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090125_calc_updates/Original 715s - Locked/"/>
    </mc:Choice>
  </mc:AlternateContent>
  <xr:revisionPtr revIDLastSave="29" documentId="8_{8DBF18C5-2637-49E8-A527-E50154E9A316}" xr6:coauthVersionLast="47" xr6:coauthVersionMax="47" xr10:uidLastSave="{85440B0E-8054-4565-9C6A-B1F395330F45}"/>
  <bookViews>
    <workbookView xWindow="-120" yWindow="-120" windowWidth="29040" windowHeight="15720" tabRatio="895" firstSheet="1" activeTab="1" xr2:uid="{00000000-000D-0000-FFFF-FFFF00000000}"/>
  </bookViews>
  <sheets>
    <sheet name="Engineering Log" sheetId="19" state="hidden" r:id="rId1"/>
    <sheet name="Instructions" sheetId="1" r:id="rId2"/>
    <sheet name="Project Summary" sheetId="3" r:id="rId3"/>
    <sheet name="Commercial Refrigerators" sheetId="5" r:id="rId4"/>
    <sheet name="Commercial Freezers" sheetId="6" r:id="rId5"/>
    <sheet name="Ice Machines" sheetId="7" r:id="rId6"/>
    <sheet name="Combination Ovens" sheetId="13" r:id="rId7"/>
    <sheet name="Convection Ovens" sheetId="14" r:id="rId8"/>
    <sheet name="Steam Cookers" sheetId="15" r:id="rId9"/>
    <sheet name="Fryers" sheetId="16" r:id="rId10"/>
    <sheet name="Griddles" sheetId="17" r:id="rId11"/>
    <sheet name="Hot Food Holding Cabinets" sheetId="18" r:id="rId12"/>
    <sheet name="Commerical Dishwasher" sheetId="24" r:id="rId13"/>
    <sheet name="Pre Rinse Sprayers" sheetId="20" r:id="rId14"/>
    <sheet name="Vending Controls" sheetId="11" r:id="rId15"/>
    <sheet name="Night Covers" sheetId="8" r:id="rId16"/>
    <sheet name="Strip Curtains" sheetId="9" r:id="rId17"/>
    <sheet name="Anti-Sweat Heaters" sheetId="10" r:id="rId18"/>
    <sheet name="Vending Machines" sheetId="12" state="hidden" r:id="rId19"/>
    <sheet name="ECM Evap Fan Motor" sheetId="25" r:id="rId20"/>
    <sheet name="Evap Motor Control" sheetId="26" r:id="rId21"/>
    <sheet name="Adding Doors" sheetId="21" r:id="rId22"/>
    <sheet name="Auto Door Closers" sheetId="23" r:id="rId23"/>
    <sheet name="Door Gaskets" sheetId="22" r:id="rId24"/>
    <sheet name="Evap Defrost Control" sheetId="27" r:id="rId2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 i="3" l="1"/>
  <c r="D25" i="23" s="1"/>
  <c r="K8" i="21"/>
  <c r="AG8" i="15"/>
  <c r="N9" i="27"/>
  <c r="N10" i="27"/>
  <c r="N11" i="27"/>
  <c r="N12" i="27"/>
  <c r="N13" i="27"/>
  <c r="N14" i="27"/>
  <c r="N15" i="27"/>
  <c r="N8" i="27"/>
  <c r="L9" i="27"/>
  <c r="K9" i="27" s="1"/>
  <c r="L10" i="27"/>
  <c r="K10" i="27" s="1"/>
  <c r="L11" i="27"/>
  <c r="K11" i="27" s="1"/>
  <c r="L12" i="27"/>
  <c r="K12" i="27" s="1"/>
  <c r="L13" i="27"/>
  <c r="K13" i="27" s="1"/>
  <c r="L14" i="27"/>
  <c r="K14" i="27" s="1"/>
  <c r="L15" i="27"/>
  <c r="K15" i="27" s="1"/>
  <c r="L8" i="27"/>
  <c r="K8" i="27" s="1"/>
  <c r="M9" i="27"/>
  <c r="P9" i="27" s="1"/>
  <c r="M10" i="27"/>
  <c r="P10" i="27" s="1"/>
  <c r="M11" i="27"/>
  <c r="P11" i="27" s="1"/>
  <c r="M12" i="27"/>
  <c r="P12" i="27" s="1"/>
  <c r="M13" i="27"/>
  <c r="P13" i="27" s="1"/>
  <c r="M14" i="27"/>
  <c r="P14" i="27" s="1"/>
  <c r="M15" i="27"/>
  <c r="P15" i="27" s="1"/>
  <c r="M8" i="27"/>
  <c r="P8" i="27" s="1"/>
  <c r="I16" i="27"/>
  <c r="C39" i="3" s="1"/>
  <c r="O15" i="27"/>
  <c r="O14" i="27"/>
  <c r="O13" i="27"/>
  <c r="O12" i="27"/>
  <c r="O11" i="27"/>
  <c r="O10" i="27"/>
  <c r="O9" i="27"/>
  <c r="O8" i="27"/>
  <c r="O14" i="22" l="1"/>
  <c r="C32" i="26"/>
  <c r="O8" i="23"/>
  <c r="N23" i="15"/>
  <c r="D37" i="24"/>
  <c r="D25" i="21"/>
  <c r="O13" i="23"/>
  <c r="O11" i="22"/>
  <c r="O10" i="22"/>
  <c r="C28" i="14"/>
  <c r="D30" i="24"/>
  <c r="Q10" i="21"/>
  <c r="O8" i="22"/>
  <c r="N25" i="10"/>
  <c r="O15" i="22"/>
  <c r="N20" i="15"/>
  <c r="C28" i="25"/>
  <c r="N21" i="15"/>
  <c r="D35" i="24"/>
  <c r="O15" i="23"/>
  <c r="O13" i="22"/>
  <c r="N22" i="15"/>
  <c r="D36" i="24"/>
  <c r="D24" i="21"/>
  <c r="O14" i="23"/>
  <c r="O12" i="22"/>
  <c r="C28" i="5"/>
  <c r="C25" i="16"/>
  <c r="D38" i="24"/>
  <c r="Q8" i="21"/>
  <c r="O12" i="23"/>
  <c r="C28" i="6"/>
  <c r="C19" i="17"/>
  <c r="D20" i="20"/>
  <c r="Q15" i="21"/>
  <c r="O11" i="23"/>
  <c r="O9" i="22"/>
  <c r="D29" i="7"/>
  <c r="D24" i="18"/>
  <c r="F20" i="11"/>
  <c r="Q14" i="21"/>
  <c r="O10" i="23"/>
  <c r="D24" i="22"/>
  <c r="D25" i="22"/>
  <c r="D31" i="7"/>
  <c r="K27" i="9"/>
  <c r="D31" i="24"/>
  <c r="Q9" i="21"/>
  <c r="D32" i="24"/>
  <c r="D30" i="7"/>
  <c r="D25" i="18"/>
  <c r="F21" i="11"/>
  <c r="Q13" i="21"/>
  <c r="O9" i="23"/>
  <c r="D26" i="18"/>
  <c r="F22" i="11"/>
  <c r="Q12" i="21"/>
  <c r="D24" i="23"/>
  <c r="I19" i="27"/>
  <c r="M24" i="13"/>
  <c r="D29" i="24"/>
  <c r="F25" i="8"/>
  <c r="Q11" i="21"/>
  <c r="L16" i="27"/>
  <c r="D39" i="3" s="1"/>
  <c r="N16" i="27"/>
  <c r="F39" i="3" s="1"/>
  <c r="M16" i="27"/>
  <c r="E39" i="3" s="1"/>
  <c r="O16" i="25"/>
  <c r="C34" i="3" s="1"/>
  <c r="O16" i="26"/>
  <c r="C35" i="3" s="1"/>
  <c r="Q8" i="26"/>
  <c r="X8" i="26"/>
  <c r="L16" i="24"/>
  <c r="C28" i="3" s="1"/>
  <c r="P8" i="26"/>
  <c r="R8" i="26"/>
  <c r="S8" i="26"/>
  <c r="T8" i="26"/>
  <c r="Y8" i="26"/>
  <c r="P9" i="26"/>
  <c r="R9" i="26"/>
  <c r="S9" i="26"/>
  <c r="T9" i="26"/>
  <c r="X9" i="26"/>
  <c r="Y9" i="26"/>
  <c r="P10" i="26"/>
  <c r="R10" i="26"/>
  <c r="S10" i="26"/>
  <c r="T10" i="26"/>
  <c r="X10" i="26"/>
  <c r="Y10" i="26"/>
  <c r="P11" i="26"/>
  <c r="R11" i="26"/>
  <c r="S11" i="26"/>
  <c r="T11" i="26"/>
  <c r="X11" i="26"/>
  <c r="Y11" i="26"/>
  <c r="P12" i="26"/>
  <c r="Q12" i="26"/>
  <c r="R12" i="26"/>
  <c r="S12" i="26"/>
  <c r="T12" i="26"/>
  <c r="W12" i="26"/>
  <c r="U12" i="26" s="1"/>
  <c r="X12" i="26"/>
  <c r="Y12" i="26"/>
  <c r="P13" i="26"/>
  <c r="Q13" i="26"/>
  <c r="R13" i="26"/>
  <c r="S13" i="26"/>
  <c r="T13" i="26"/>
  <c r="W13" i="26"/>
  <c r="U13" i="26" s="1"/>
  <c r="X13" i="26"/>
  <c r="Y13" i="26"/>
  <c r="P14" i="26"/>
  <c r="Q14" i="26"/>
  <c r="R14" i="26"/>
  <c r="S14" i="26"/>
  <c r="T14" i="26"/>
  <c r="W14" i="26"/>
  <c r="U14" i="26" s="1"/>
  <c r="X14" i="26"/>
  <c r="Y14" i="26"/>
  <c r="E15" i="26"/>
  <c r="P15" i="26"/>
  <c r="Q15" i="26"/>
  <c r="R15" i="26"/>
  <c r="S15" i="26"/>
  <c r="T15" i="26"/>
  <c r="W15" i="26"/>
  <c r="U15" i="26" s="1"/>
  <c r="X15" i="26"/>
  <c r="Y15" i="26"/>
  <c r="P8" i="25"/>
  <c r="Q8" i="25" s="1"/>
  <c r="R8" i="25"/>
  <c r="S8" i="25"/>
  <c r="U8" i="25" s="1"/>
  <c r="AA8" i="25"/>
  <c r="Z8" i="25" s="1"/>
  <c r="P9" i="25"/>
  <c r="Q9" i="25" s="1"/>
  <c r="R9" i="25"/>
  <c r="S9" i="25"/>
  <c r="U9" i="25" s="1"/>
  <c r="T9" i="25"/>
  <c r="Y9" i="25"/>
  <c r="X9" i="25" s="1"/>
  <c r="W9" i="25" s="1"/>
  <c r="Z9" i="25"/>
  <c r="AA9" i="25"/>
  <c r="P10" i="25"/>
  <c r="Q10" i="25" s="1"/>
  <c r="R10" i="25"/>
  <c r="S10" i="25"/>
  <c r="U10" i="25" s="1"/>
  <c r="T10" i="25"/>
  <c r="Y10" i="25"/>
  <c r="X10" i="25" s="1"/>
  <c r="W10" i="25" s="1"/>
  <c r="Z10" i="25"/>
  <c r="AA10" i="25"/>
  <c r="P11" i="25"/>
  <c r="Q11" i="25" s="1"/>
  <c r="R11" i="25"/>
  <c r="S11" i="25"/>
  <c r="U11" i="25" s="1"/>
  <c r="T11" i="25"/>
  <c r="Y11" i="25"/>
  <c r="X11" i="25" s="1"/>
  <c r="W11" i="25" s="1"/>
  <c r="Z11" i="25"/>
  <c r="AA11" i="25"/>
  <c r="P12" i="25"/>
  <c r="Q12" i="25" s="1"/>
  <c r="R12" i="25"/>
  <c r="S12" i="25"/>
  <c r="U12" i="25" s="1"/>
  <c r="T12" i="25"/>
  <c r="Y12" i="25"/>
  <c r="X12" i="25" s="1"/>
  <c r="W12" i="25" s="1"/>
  <c r="Z12" i="25"/>
  <c r="AA12" i="25"/>
  <c r="P13" i="25"/>
  <c r="Q13" i="25" s="1"/>
  <c r="R13" i="25"/>
  <c r="S13" i="25"/>
  <c r="U13" i="25" s="1"/>
  <c r="T13" i="25"/>
  <c r="Y13" i="25"/>
  <c r="X13" i="25" s="1"/>
  <c r="W13" i="25" s="1"/>
  <c r="Z13" i="25"/>
  <c r="AA13" i="25"/>
  <c r="P14" i="25"/>
  <c r="Q14" i="25" s="1"/>
  <c r="R14" i="25"/>
  <c r="S14" i="25"/>
  <c r="U14" i="25" s="1"/>
  <c r="T14" i="25"/>
  <c r="Y14" i="25"/>
  <c r="X14" i="25" s="1"/>
  <c r="W14" i="25" s="1"/>
  <c r="Z14" i="25"/>
  <c r="AA14" i="25"/>
  <c r="P15" i="25"/>
  <c r="Q15" i="25" s="1"/>
  <c r="R15" i="25"/>
  <c r="T15" i="25" s="1"/>
  <c r="S15" i="25"/>
  <c r="U15" i="25" s="1"/>
  <c r="AA15" i="25"/>
  <c r="Z15" i="25" s="1"/>
  <c r="U16" i="25"/>
  <c r="K32" i="25" a="1"/>
  <c r="K32" i="25" s="1"/>
  <c r="K35" i="25" a="1"/>
  <c r="K35" i="25" s="1"/>
  <c r="E8" i="24"/>
  <c r="M8" i="24"/>
  <c r="N8" i="24"/>
  <c r="O8" i="24"/>
  <c r="P8" i="24"/>
  <c r="Q8" i="24"/>
  <c r="R8" i="24"/>
  <c r="Z8" i="24"/>
  <c r="AA8" i="24"/>
  <c r="E9" i="24"/>
  <c r="M9" i="24"/>
  <c r="N9" i="24"/>
  <c r="O9" i="24"/>
  <c r="P9" i="24"/>
  <c r="Q9" i="24"/>
  <c r="R9" i="24"/>
  <c r="Z9" i="24"/>
  <c r="AA9" i="24"/>
  <c r="E10" i="24"/>
  <c r="M10" i="24"/>
  <c r="N10" i="24"/>
  <c r="O10" i="24"/>
  <c r="P10" i="24"/>
  <c r="Q10" i="24"/>
  <c r="R10" i="24"/>
  <c r="Z10" i="24"/>
  <c r="AA10" i="24"/>
  <c r="E11" i="24"/>
  <c r="M11" i="24"/>
  <c r="N11" i="24"/>
  <c r="O11" i="24"/>
  <c r="P11" i="24"/>
  <c r="Q11" i="24"/>
  <c r="R11" i="24"/>
  <c r="Z11" i="24"/>
  <c r="AA11" i="24"/>
  <c r="E12" i="24"/>
  <c r="M12" i="24"/>
  <c r="N12" i="24"/>
  <c r="O12" i="24"/>
  <c r="P12" i="24"/>
  <c r="Q12" i="24"/>
  <c r="R12" i="24"/>
  <c r="Z12" i="24"/>
  <c r="AA12" i="24"/>
  <c r="E13" i="24"/>
  <c r="M13" i="24"/>
  <c r="N13" i="24"/>
  <c r="O13" i="24"/>
  <c r="P13" i="24"/>
  <c r="Q13" i="24"/>
  <c r="R13" i="24"/>
  <c r="Y13" i="24"/>
  <c r="W13" i="24" s="1"/>
  <c r="Z13" i="24"/>
  <c r="AA13" i="24"/>
  <c r="E14" i="24"/>
  <c r="M14" i="24"/>
  <c r="N14" i="24"/>
  <c r="O14" i="24"/>
  <c r="P14" i="24"/>
  <c r="Q14" i="24"/>
  <c r="R14" i="24"/>
  <c r="Y14" i="24"/>
  <c r="W14" i="24" s="1"/>
  <c r="Z14" i="24"/>
  <c r="AA14" i="24"/>
  <c r="E15" i="24"/>
  <c r="M15" i="24"/>
  <c r="N15" i="24"/>
  <c r="O15" i="24"/>
  <c r="P15" i="24"/>
  <c r="Q15" i="24"/>
  <c r="R15" i="24"/>
  <c r="Y15" i="24"/>
  <c r="AC15" i="24" s="1"/>
  <c r="Z15" i="24"/>
  <c r="AA15" i="24"/>
  <c r="T10" i="24" l="1"/>
  <c r="AC13" i="24"/>
  <c r="V15" i="26"/>
  <c r="S10" i="24"/>
  <c r="U9" i="24"/>
  <c r="Z16" i="25"/>
  <c r="F34" i="3" s="1"/>
  <c r="T8" i="25"/>
  <c r="Y15" i="25"/>
  <c r="X15" i="25" s="1"/>
  <c r="W15" i="25" s="1"/>
  <c r="X16" i="26"/>
  <c r="F35" i="3" s="1"/>
  <c r="V14" i="26"/>
  <c r="V13" i="26"/>
  <c r="V12" i="26"/>
  <c r="Q9" i="26"/>
  <c r="W9" i="26" s="1"/>
  <c r="Q10" i="26"/>
  <c r="W10" i="26" s="1"/>
  <c r="Q11" i="26"/>
  <c r="W11" i="26" s="1"/>
  <c r="W8" i="26"/>
  <c r="U10" i="24"/>
  <c r="U15" i="24"/>
  <c r="AC14" i="24"/>
  <c r="Z16" i="24"/>
  <c r="F28" i="3" s="1"/>
  <c r="U13" i="24"/>
  <c r="S15" i="24"/>
  <c r="U12" i="24"/>
  <c r="S13" i="24"/>
  <c r="X13" i="24"/>
  <c r="T13" i="24"/>
  <c r="S9" i="24"/>
  <c r="U14" i="24"/>
  <c r="S11" i="24"/>
  <c r="S14" i="24"/>
  <c r="U8" i="24"/>
  <c r="Y10" i="24"/>
  <c r="X10" i="24" s="1"/>
  <c r="U11" i="24"/>
  <c r="S12" i="24"/>
  <c r="S8" i="24"/>
  <c r="Y8" i="25"/>
  <c r="X8" i="25" s="1"/>
  <c r="W8" i="25" s="1"/>
  <c r="Y9" i="24"/>
  <c r="X15" i="24"/>
  <c r="W15" i="24"/>
  <c r="T15" i="24"/>
  <c r="X14" i="24"/>
  <c r="T14" i="24"/>
  <c r="T11" i="24"/>
  <c r="T8" i="24"/>
  <c r="T12" i="24"/>
  <c r="T9" i="24"/>
  <c r="Y16" i="25" l="1"/>
  <c r="E34" i="3" s="1"/>
  <c r="X16" i="25"/>
  <c r="D34" i="3" s="1"/>
  <c r="W16" i="25"/>
  <c r="U8" i="26"/>
  <c r="W16" i="26"/>
  <c r="V11" i="26"/>
  <c r="U11" i="26"/>
  <c r="V10" i="26"/>
  <c r="U10" i="26"/>
  <c r="V9" i="26"/>
  <c r="U9" i="26"/>
  <c r="V8" i="26"/>
  <c r="V16" i="26" s="1"/>
  <c r="D35" i="3" s="1"/>
  <c r="Y11" i="24"/>
  <c r="AC11" i="24" s="1"/>
  <c r="Y12" i="24"/>
  <c r="X12" i="24" s="1"/>
  <c r="W10" i="24"/>
  <c r="Y8" i="24"/>
  <c r="X8" i="24" s="1"/>
  <c r="AC10" i="24"/>
  <c r="AC9" i="24"/>
  <c r="W9" i="24"/>
  <c r="X9" i="24"/>
  <c r="W12" i="24" l="1"/>
  <c r="AC12" i="24"/>
  <c r="W8" i="24"/>
  <c r="AC8" i="24"/>
  <c r="E35" i="3"/>
  <c r="U16" i="26"/>
  <c r="X11" i="24"/>
  <c r="X16" i="24" s="1"/>
  <c r="D28" i="3" s="1"/>
  <c r="W11" i="24"/>
  <c r="Y16" i="24"/>
  <c r="E28" i="3" s="1"/>
  <c r="K16" i="22"/>
  <c r="C38" i="3" s="1"/>
  <c r="E8" i="23"/>
  <c r="L8" i="23" s="1"/>
  <c r="O16" i="23"/>
  <c r="F37" i="3" s="1"/>
  <c r="K16" i="23"/>
  <c r="C37" i="3" s="1"/>
  <c r="J16" i="21"/>
  <c r="C36" i="3" s="1"/>
  <c r="Q16" i="21"/>
  <c r="F36" i="3" s="1"/>
  <c r="I16" i="10"/>
  <c r="C33" i="3" s="1"/>
  <c r="I16" i="9"/>
  <c r="C32" i="3" s="1"/>
  <c r="I16" i="8"/>
  <c r="C31" i="3" s="1"/>
  <c r="J16" i="11"/>
  <c r="C30" i="3" s="1"/>
  <c r="N16" i="18"/>
  <c r="O16" i="18"/>
  <c r="J16" i="18"/>
  <c r="C27" i="3" s="1"/>
  <c r="S16" i="17"/>
  <c r="C26" i="3" s="1"/>
  <c r="R16" i="16"/>
  <c r="C25" i="3" s="1"/>
  <c r="M16" i="15"/>
  <c r="R16" i="15"/>
  <c r="S16" i="15"/>
  <c r="T16" i="15"/>
  <c r="W16" i="15"/>
  <c r="J16" i="15"/>
  <c r="C24" i="3" s="1"/>
  <c r="J16" i="14"/>
  <c r="C23" i="3" s="1"/>
  <c r="J16" i="13"/>
  <c r="C22" i="3" s="1"/>
  <c r="M16" i="7"/>
  <c r="C21" i="3" s="1"/>
  <c r="O16" i="6"/>
  <c r="K16" i="6"/>
  <c r="C20" i="3" s="1"/>
  <c r="C19" i="3"/>
  <c r="O16" i="5"/>
  <c r="K16" i="5"/>
  <c r="F8" i="23"/>
  <c r="M8" i="23" s="1"/>
  <c r="E9" i="23"/>
  <c r="L9" i="23" s="1"/>
  <c r="F9" i="23"/>
  <c r="M9" i="23" s="1"/>
  <c r="N9" i="23" s="1"/>
  <c r="E10" i="23"/>
  <c r="L10" i="23" s="1"/>
  <c r="F10" i="23"/>
  <c r="M10" i="23" s="1"/>
  <c r="E11" i="23"/>
  <c r="L11" i="23" s="1"/>
  <c r="F11" i="23"/>
  <c r="M11" i="23" s="1"/>
  <c r="E12" i="23"/>
  <c r="L12" i="23" s="1"/>
  <c r="F12" i="23"/>
  <c r="M12" i="23" s="1"/>
  <c r="E13" i="23"/>
  <c r="L13" i="23" s="1"/>
  <c r="F13" i="23"/>
  <c r="M13" i="23"/>
  <c r="N13" i="23" s="1"/>
  <c r="E14" i="23"/>
  <c r="L14" i="23" s="1"/>
  <c r="F14" i="23"/>
  <c r="M14" i="23" s="1"/>
  <c r="E15" i="23"/>
  <c r="L15" i="23" s="1"/>
  <c r="F15" i="23"/>
  <c r="M15" i="23"/>
  <c r="N15" i="23" s="1"/>
  <c r="E8" i="22" a="1"/>
  <c r="E8" i="22" s="1"/>
  <c r="L8" i="22" s="1"/>
  <c r="F8" i="22" a="1"/>
  <c r="F8" i="22" s="1"/>
  <c r="M8" i="22" s="1"/>
  <c r="E9" i="22" a="1"/>
  <c r="E9" i="22"/>
  <c r="L9" i="22" s="1"/>
  <c r="F9" i="22" a="1"/>
  <c r="F9" i="22" s="1"/>
  <c r="M9" i="22" s="1"/>
  <c r="E10" i="22" a="1"/>
  <c r="E10" i="22" s="1"/>
  <c r="L10" i="22" s="1"/>
  <c r="F10" i="22" a="1"/>
  <c r="F10" i="22" s="1"/>
  <c r="M10" i="22" s="1"/>
  <c r="E11" i="22" a="1"/>
  <c r="E11" i="22" s="1"/>
  <c r="L11" i="22" s="1"/>
  <c r="F11" i="22" a="1"/>
  <c r="F11" i="22" s="1"/>
  <c r="M11" i="22" s="1"/>
  <c r="E12" i="22" a="1"/>
  <c r="E12" i="22" s="1"/>
  <c r="L12" i="22" s="1"/>
  <c r="F12" i="22" a="1"/>
  <c r="F12" i="22"/>
  <c r="M12" i="22" s="1"/>
  <c r="E13" i="22" a="1"/>
  <c r="E13" i="22" s="1"/>
  <c r="L13" i="22" s="1"/>
  <c r="F13" i="22" a="1"/>
  <c r="F13" i="22"/>
  <c r="M13" i="22" s="1"/>
  <c r="N13" i="22" s="1"/>
  <c r="E14" i="22" a="1"/>
  <c r="E14" i="22" s="1"/>
  <c r="L14" i="22" s="1"/>
  <c r="F14" i="22" a="1"/>
  <c r="F14" i="22" s="1"/>
  <c r="M14" i="22" s="1"/>
  <c r="E15" i="22" a="1"/>
  <c r="E15" i="22" s="1"/>
  <c r="L15" i="22" s="1"/>
  <c r="F15" i="22" a="1"/>
  <c r="F15" i="22" s="1"/>
  <c r="M15" i="22" s="1"/>
  <c r="L8" i="21"/>
  <c r="M8" i="21"/>
  <c r="K9" i="21"/>
  <c r="L9" i="21"/>
  <c r="M9" i="21"/>
  <c r="T9" i="21"/>
  <c r="K10" i="21"/>
  <c r="L10" i="21"/>
  <c r="M10" i="21"/>
  <c r="N10" i="21" s="1"/>
  <c r="O10" i="21" s="1"/>
  <c r="R10" i="21" s="1"/>
  <c r="T10" i="21"/>
  <c r="K11" i="21"/>
  <c r="L11" i="21"/>
  <c r="M11" i="21"/>
  <c r="N11" i="21" s="1"/>
  <c r="O11" i="21" s="1"/>
  <c r="P11" i="21" s="1"/>
  <c r="R11" i="21"/>
  <c r="T11" i="21"/>
  <c r="K12" i="21"/>
  <c r="L12" i="21"/>
  <c r="M12" i="21"/>
  <c r="N12" i="21" s="1"/>
  <c r="T12" i="21"/>
  <c r="K13" i="21"/>
  <c r="L13" i="21"/>
  <c r="M13" i="21"/>
  <c r="N13" i="21" s="1"/>
  <c r="T13" i="21"/>
  <c r="K14" i="21"/>
  <c r="L14" i="21"/>
  <c r="M14" i="21"/>
  <c r="N14" i="21" s="1"/>
  <c r="T14" i="21"/>
  <c r="K15" i="21"/>
  <c r="L15" i="21"/>
  <c r="M15" i="21"/>
  <c r="N15" i="21" s="1"/>
  <c r="O15" i="21" s="1"/>
  <c r="T15" i="21"/>
  <c r="U15" i="20"/>
  <c r="U14" i="20"/>
  <c r="U13" i="20"/>
  <c r="U12" i="20"/>
  <c r="U11" i="20"/>
  <c r="U10" i="20"/>
  <c r="U9" i="20"/>
  <c r="U8" i="20"/>
  <c r="V15" i="18"/>
  <c r="V14" i="18"/>
  <c r="V13" i="18"/>
  <c r="V12" i="18"/>
  <c r="V11" i="18"/>
  <c r="V10" i="18"/>
  <c r="V9" i="18"/>
  <c r="V8" i="18"/>
  <c r="T15" i="18"/>
  <c r="W15" i="18" s="1"/>
  <c r="T14" i="18"/>
  <c r="W14" i="18" s="1"/>
  <c r="T13" i="18"/>
  <c r="W13" i="18" s="1"/>
  <c r="T12" i="18"/>
  <c r="W12" i="18" s="1"/>
  <c r="T11" i="18"/>
  <c r="W11" i="18" s="1"/>
  <c r="T10" i="18"/>
  <c r="W10" i="18" s="1"/>
  <c r="T9" i="18"/>
  <c r="W9" i="18" s="1"/>
  <c r="T8" i="18"/>
  <c r="W8" i="18" s="1"/>
  <c r="S15" i="18"/>
  <c r="S14" i="18"/>
  <c r="S13" i="18"/>
  <c r="S12" i="18"/>
  <c r="S11" i="18"/>
  <c r="S10" i="18"/>
  <c r="S9" i="18"/>
  <c r="S8" i="18"/>
  <c r="R15" i="18"/>
  <c r="R14" i="18"/>
  <c r="R13" i="18"/>
  <c r="R12" i="18"/>
  <c r="R11" i="18"/>
  <c r="R10" i="18"/>
  <c r="R9" i="18"/>
  <c r="R8" i="18"/>
  <c r="K15" i="18"/>
  <c r="K14" i="18"/>
  <c r="K13" i="18"/>
  <c r="K12" i="18"/>
  <c r="K11" i="18"/>
  <c r="K10" i="18"/>
  <c r="K9" i="18"/>
  <c r="K8" i="18"/>
  <c r="J15" i="17"/>
  <c r="J14" i="17"/>
  <c r="J13" i="17"/>
  <c r="J12" i="17"/>
  <c r="J11" i="17"/>
  <c r="J10" i="17"/>
  <c r="J9" i="17"/>
  <c r="J8" i="17"/>
  <c r="Z15" i="17"/>
  <c r="AC15" i="17" s="1"/>
  <c r="Z14" i="17"/>
  <c r="AC14" i="17" s="1"/>
  <c r="Z13" i="17"/>
  <c r="AC13" i="17" s="1"/>
  <c r="Z12" i="17"/>
  <c r="AC12" i="17" s="1"/>
  <c r="Z11" i="17"/>
  <c r="AC11" i="17" s="1"/>
  <c r="Z10" i="17"/>
  <c r="AC10" i="17" s="1"/>
  <c r="Z9" i="17"/>
  <c r="AC9" i="17" s="1"/>
  <c r="Y15" i="17"/>
  <c r="Y14" i="17"/>
  <c r="Y13" i="17"/>
  <c r="Y12" i="17"/>
  <c r="Y11" i="17"/>
  <c r="Y10" i="17"/>
  <c r="Y9" i="17"/>
  <c r="Y15" i="16"/>
  <c r="Y14" i="16"/>
  <c r="Y13" i="16"/>
  <c r="Y12" i="16"/>
  <c r="Y11" i="16"/>
  <c r="Y10" i="16"/>
  <c r="Y9" i="16"/>
  <c r="X15" i="16"/>
  <c r="X14" i="16"/>
  <c r="X13" i="16"/>
  <c r="X12" i="16"/>
  <c r="X11" i="16"/>
  <c r="X10" i="16"/>
  <c r="X9" i="16"/>
  <c r="J15" i="16"/>
  <c r="J14" i="16"/>
  <c r="J13" i="16"/>
  <c r="J12" i="16"/>
  <c r="J11" i="16"/>
  <c r="J10" i="16"/>
  <c r="J9" i="16"/>
  <c r="J8" i="16"/>
  <c r="AA15" i="16"/>
  <c r="AA14" i="16"/>
  <c r="AA13" i="16"/>
  <c r="AA12" i="16"/>
  <c r="AA11" i="16"/>
  <c r="AA10" i="16"/>
  <c r="AA9" i="16"/>
  <c r="AA8" i="16"/>
  <c r="AH15" i="15"/>
  <c r="AH14" i="15"/>
  <c r="AH13" i="15"/>
  <c r="AH12" i="15"/>
  <c r="AH11" i="15"/>
  <c r="AH10" i="15"/>
  <c r="AH9" i="15"/>
  <c r="AH8" i="15"/>
  <c r="AA15" i="15"/>
  <c r="AA14" i="15"/>
  <c r="AA13" i="15"/>
  <c r="AA12" i="15"/>
  <c r="AA11" i="15"/>
  <c r="AA10" i="15"/>
  <c r="AA9" i="15"/>
  <c r="Z15" i="15"/>
  <c r="Z14" i="15"/>
  <c r="Z13" i="15"/>
  <c r="Z12" i="15"/>
  <c r="Z11" i="15"/>
  <c r="Z10" i="15"/>
  <c r="Z9" i="15"/>
  <c r="K15" i="15"/>
  <c r="K14" i="15"/>
  <c r="K13" i="15"/>
  <c r="K12" i="15"/>
  <c r="K11" i="15"/>
  <c r="K10" i="15"/>
  <c r="K9" i="15"/>
  <c r="K8" i="15"/>
  <c r="W15" i="14"/>
  <c r="V15" i="14" s="1"/>
  <c r="W14" i="14"/>
  <c r="V14" i="14" s="1"/>
  <c r="W13" i="14"/>
  <c r="U13" i="14" s="1"/>
  <c r="W12" i="14"/>
  <c r="U12" i="14" s="1"/>
  <c r="W11" i="14"/>
  <c r="Z11" i="14" s="1"/>
  <c r="W10" i="14"/>
  <c r="U10" i="14" s="1"/>
  <c r="W9" i="14"/>
  <c r="U9" i="14" s="1"/>
  <c r="W8" i="14"/>
  <c r="V8" i="14" s="1"/>
  <c r="Y15" i="14"/>
  <c r="Y14" i="14"/>
  <c r="Y13" i="14"/>
  <c r="Y12" i="14"/>
  <c r="Y11" i="14"/>
  <c r="Y10" i="14"/>
  <c r="Y9" i="14"/>
  <c r="Y8" i="14"/>
  <c r="K15" i="14"/>
  <c r="K14" i="14"/>
  <c r="K13" i="14"/>
  <c r="K12" i="14"/>
  <c r="K11" i="14"/>
  <c r="K10" i="14"/>
  <c r="K9" i="14"/>
  <c r="K8" i="14"/>
  <c r="K16" i="14" l="1"/>
  <c r="S16" i="18"/>
  <c r="D27" i="3" s="1"/>
  <c r="W16" i="24"/>
  <c r="N8" i="21"/>
  <c r="O8" i="21" s="1"/>
  <c r="P8" i="21" s="1"/>
  <c r="T8" i="21"/>
  <c r="O16" i="22"/>
  <c r="F38" i="3" s="1"/>
  <c r="M16" i="23"/>
  <c r="R16" i="18"/>
  <c r="K16" i="18"/>
  <c r="K16" i="15"/>
  <c r="U15" i="14"/>
  <c r="M16" i="22"/>
  <c r="N8" i="22"/>
  <c r="L16" i="22"/>
  <c r="E38" i="3" s="1"/>
  <c r="L16" i="23"/>
  <c r="E37" i="3" s="1"/>
  <c r="N11" i="23"/>
  <c r="N9" i="21"/>
  <c r="O9" i="21" s="1"/>
  <c r="P9" i="21" s="1"/>
  <c r="P10" i="21"/>
  <c r="T16" i="18"/>
  <c r="E27" i="3" s="1"/>
  <c r="W16" i="14"/>
  <c r="E23" i="3" s="1"/>
  <c r="Z10" i="14"/>
  <c r="V9" i="14"/>
  <c r="Z9" i="14"/>
  <c r="V10" i="14"/>
  <c r="O12" i="21"/>
  <c r="N9" i="22"/>
  <c r="P15" i="21"/>
  <c r="P13" i="22"/>
  <c r="O14" i="21"/>
  <c r="P15" i="22"/>
  <c r="N15" i="22"/>
  <c r="N12" i="22"/>
  <c r="P12" i="22"/>
  <c r="O13" i="21"/>
  <c r="N14" i="23"/>
  <c r="N14" i="22"/>
  <c r="P11" i="22"/>
  <c r="P8" i="22"/>
  <c r="N12" i="23"/>
  <c r="P9" i="22"/>
  <c r="N10" i="23"/>
  <c r="N11" i="22"/>
  <c r="P14" i="22"/>
  <c r="N8" i="23"/>
  <c r="N10" i="22"/>
  <c r="P10" i="22"/>
  <c r="R9" i="21"/>
  <c r="U14" i="14"/>
  <c r="Z14" i="14"/>
  <c r="V12" i="14"/>
  <c r="Z12" i="14"/>
  <c r="Z13" i="14"/>
  <c r="V11" i="14"/>
  <c r="Z15" i="14"/>
  <c r="V13" i="14"/>
  <c r="U11" i="14"/>
  <c r="U8" i="14"/>
  <c r="Z8" i="14"/>
  <c r="V16" i="14" l="1"/>
  <c r="D23" i="3" s="1"/>
  <c r="N16" i="22"/>
  <c r="D38" i="3" s="1"/>
  <c r="N16" i="23"/>
  <c r="D37" i="3" s="1"/>
  <c r="O16" i="21"/>
  <c r="N16" i="21"/>
  <c r="U16" i="14"/>
  <c r="R15" i="21"/>
  <c r="P13" i="21"/>
  <c r="R13" i="21"/>
  <c r="R8" i="21"/>
  <c r="P14" i="21"/>
  <c r="R14" i="21"/>
  <c r="P12" i="21"/>
  <c r="P16" i="21" s="1"/>
  <c r="R12" i="21"/>
  <c r="AE15" i="13"/>
  <c r="AE14" i="13"/>
  <c r="AE13" i="13"/>
  <c r="AE12" i="13"/>
  <c r="AE11" i="13"/>
  <c r="AE10" i="13"/>
  <c r="AE9" i="13"/>
  <c r="AD15" i="13"/>
  <c r="AD14" i="13"/>
  <c r="AD13" i="13"/>
  <c r="AD12" i="13"/>
  <c r="AD11" i="13"/>
  <c r="AD10" i="13"/>
  <c r="AD9" i="13"/>
  <c r="AC15" i="13"/>
  <c r="AC14" i="13"/>
  <c r="AC13" i="13"/>
  <c r="AC12" i="13"/>
  <c r="AC11" i="13"/>
  <c r="AC10" i="13"/>
  <c r="AC9" i="13"/>
  <c r="O15" i="11"/>
  <c r="O14" i="11"/>
  <c r="O13" i="11"/>
  <c r="O12" i="11"/>
  <c r="O11" i="11"/>
  <c r="O10" i="11"/>
  <c r="O9" i="11"/>
  <c r="O8" i="11"/>
  <c r="M9" i="10"/>
  <c r="M10" i="10"/>
  <c r="M11" i="10"/>
  <c r="M12" i="10"/>
  <c r="M13" i="10"/>
  <c r="M14" i="10"/>
  <c r="M15" i="10"/>
  <c r="M8" i="10"/>
  <c r="O15" i="10"/>
  <c r="O14" i="10"/>
  <c r="O13" i="10"/>
  <c r="O12" i="10"/>
  <c r="O11" i="10"/>
  <c r="O10" i="10"/>
  <c r="O9" i="10"/>
  <c r="O8" i="10"/>
  <c r="K15" i="10"/>
  <c r="K14" i="10"/>
  <c r="K13" i="10"/>
  <c r="K12" i="10"/>
  <c r="K11" i="10"/>
  <c r="K10" i="10"/>
  <c r="K9" i="10"/>
  <c r="K8" i="10"/>
  <c r="K26" i="10"/>
  <c r="K25" i="10"/>
  <c r="K24" i="10"/>
  <c r="K22" i="10"/>
  <c r="K21" i="10"/>
  <c r="K20" i="10"/>
  <c r="L15" i="9"/>
  <c r="L14" i="9"/>
  <c r="L13" i="9"/>
  <c r="L12" i="9"/>
  <c r="L11" i="9"/>
  <c r="L10" i="9"/>
  <c r="L9" i="9"/>
  <c r="L8" i="9"/>
  <c r="K15" i="9"/>
  <c r="K14" i="9"/>
  <c r="K13" i="9"/>
  <c r="K12" i="9"/>
  <c r="K11" i="9"/>
  <c r="K10" i="9"/>
  <c r="K9" i="9"/>
  <c r="K8" i="9"/>
  <c r="J15" i="9"/>
  <c r="J14" i="9"/>
  <c r="J13" i="9"/>
  <c r="J12" i="9"/>
  <c r="J11" i="9"/>
  <c r="J10" i="9"/>
  <c r="J9" i="9"/>
  <c r="J8" i="9"/>
  <c r="P15" i="8"/>
  <c r="P14" i="8"/>
  <c r="P13" i="8"/>
  <c r="P12" i="8"/>
  <c r="P11" i="8"/>
  <c r="P10" i="8"/>
  <c r="P9" i="8"/>
  <c r="P8" i="8"/>
  <c r="N15" i="8"/>
  <c r="N14" i="8"/>
  <c r="N13" i="8"/>
  <c r="N12" i="8"/>
  <c r="N11" i="8"/>
  <c r="N10" i="8"/>
  <c r="N9" i="8"/>
  <c r="N8" i="8"/>
  <c r="M16" i="10" l="1"/>
  <c r="E33" i="3" s="1"/>
  <c r="D36" i="3"/>
  <c r="E36" i="3"/>
  <c r="L16" i="9"/>
  <c r="E32" i="3" s="1"/>
  <c r="K16" i="9"/>
  <c r="D32" i="3" s="1"/>
  <c r="N16" i="8"/>
  <c r="E31" i="3" s="1"/>
  <c r="AN15" i="7"/>
  <c r="AQ15" i="7" s="1"/>
  <c r="AN14" i="7"/>
  <c r="AQ14" i="7" s="1"/>
  <c r="AN13" i="7"/>
  <c r="AQ13" i="7" s="1"/>
  <c r="AN12" i="7"/>
  <c r="AQ12" i="7" s="1"/>
  <c r="AN11" i="7"/>
  <c r="AQ11" i="7" s="1"/>
  <c r="AN10" i="7"/>
  <c r="AQ10" i="7" s="1"/>
  <c r="AN9" i="7"/>
  <c r="AQ9" i="7" s="1"/>
  <c r="AM15" i="7"/>
  <c r="AM14" i="7"/>
  <c r="AM13" i="7"/>
  <c r="AM12" i="7"/>
  <c r="AM11" i="7"/>
  <c r="AM10" i="7"/>
  <c r="AM9" i="7"/>
  <c r="AL15" i="7"/>
  <c r="AL14" i="7"/>
  <c r="AL13" i="7"/>
  <c r="AL12" i="7"/>
  <c r="AL11" i="7"/>
  <c r="AL10" i="7"/>
  <c r="AL9" i="7"/>
  <c r="AP15" i="7"/>
  <c r="AP14" i="7"/>
  <c r="AP13" i="7"/>
  <c r="AP12" i="7"/>
  <c r="AP11" i="7"/>
  <c r="AP10" i="7"/>
  <c r="AP9" i="7"/>
  <c r="AP8" i="7"/>
  <c r="R15" i="6"/>
  <c r="R14" i="6"/>
  <c r="R13" i="6"/>
  <c r="R12" i="6"/>
  <c r="R11" i="6"/>
  <c r="R10" i="6"/>
  <c r="R9" i="6"/>
  <c r="R8" i="6"/>
  <c r="T15" i="6"/>
  <c r="T14" i="6"/>
  <c r="T13" i="6"/>
  <c r="T12" i="6"/>
  <c r="T11" i="6"/>
  <c r="T10" i="6"/>
  <c r="T9" i="6"/>
  <c r="T8" i="6"/>
  <c r="E15" i="6"/>
  <c r="E14" i="6"/>
  <c r="E13" i="6"/>
  <c r="E12" i="6"/>
  <c r="E11" i="6"/>
  <c r="E10" i="6"/>
  <c r="E9" i="6"/>
  <c r="E8" i="6"/>
  <c r="T15" i="5"/>
  <c r="T14" i="5"/>
  <c r="T13" i="5"/>
  <c r="T12" i="5"/>
  <c r="T11" i="5"/>
  <c r="T10" i="5"/>
  <c r="T9" i="5"/>
  <c r="T8" i="5"/>
  <c r="R15" i="5"/>
  <c r="R14" i="5"/>
  <c r="R13" i="5"/>
  <c r="R12" i="5"/>
  <c r="R11" i="5"/>
  <c r="R10" i="5"/>
  <c r="R9" i="5"/>
  <c r="R8" i="5"/>
  <c r="E15" i="5"/>
  <c r="E14" i="5"/>
  <c r="E13" i="5"/>
  <c r="E12" i="5"/>
  <c r="E11" i="5"/>
  <c r="E10" i="5"/>
  <c r="E9" i="5"/>
  <c r="E8" i="5"/>
  <c r="R16" i="6" l="1"/>
  <c r="E20" i="3" s="1"/>
  <c r="R16" i="5"/>
  <c r="E19" i="3" s="1"/>
  <c r="AC35" i="6"/>
  <c r="AC34" i="6"/>
  <c r="AC33" i="6"/>
  <c r="AC32" i="6"/>
  <c r="AB35" i="6"/>
  <c r="AB34" i="6"/>
  <c r="AB33" i="6"/>
  <c r="AB32" i="6"/>
  <c r="AA35" i="6"/>
  <c r="AA34" i="6"/>
  <c r="AA33" i="6"/>
  <c r="AA32" i="6"/>
  <c r="Z35" i="6"/>
  <c r="Z34" i="6"/>
  <c r="Z33" i="6"/>
  <c r="Z32" i="6"/>
  <c r="Y35" i="6"/>
  <c r="Y34" i="6"/>
  <c r="Y33" i="6"/>
  <c r="Y32" i="6"/>
  <c r="X35" i="6"/>
  <c r="X34" i="6"/>
  <c r="X33" i="6"/>
  <c r="X32" i="6"/>
  <c r="W35" i="6"/>
  <c r="W34" i="6"/>
  <c r="W33" i="6"/>
  <c r="W32" i="6"/>
  <c r="V35" i="6"/>
  <c r="V34" i="6"/>
  <c r="V33" i="6"/>
  <c r="V32" i="6"/>
  <c r="AC46" i="6"/>
  <c r="AC45" i="6"/>
  <c r="AC44" i="6"/>
  <c r="AC43" i="6"/>
  <c r="AB46" i="6"/>
  <c r="AB45" i="6"/>
  <c r="AB44" i="6"/>
  <c r="AB43" i="6"/>
  <c r="AA46" i="6"/>
  <c r="AA45" i="6"/>
  <c r="AA44" i="6"/>
  <c r="AA43" i="6"/>
  <c r="Z47" i="6"/>
  <c r="Z46" i="6"/>
  <c r="Z45" i="6"/>
  <c r="Z44" i="6"/>
  <c r="Z43" i="6"/>
  <c r="Y46" i="6"/>
  <c r="Y45" i="6"/>
  <c r="Y44" i="6"/>
  <c r="Y43" i="6"/>
  <c r="X46" i="6"/>
  <c r="X45" i="6"/>
  <c r="X44" i="6"/>
  <c r="X43" i="6"/>
  <c r="AC39" i="6"/>
  <c r="AB39" i="6"/>
  <c r="AA39" i="6"/>
  <c r="Z39" i="6"/>
  <c r="Y39" i="6"/>
  <c r="X39" i="6"/>
  <c r="W39" i="6"/>
  <c r="V39" i="6"/>
  <c r="AC38" i="6"/>
  <c r="AB38" i="6"/>
  <c r="AA38" i="6"/>
  <c r="Z38" i="6"/>
  <c r="Y38" i="6"/>
  <c r="X38" i="6"/>
  <c r="W38" i="6"/>
  <c r="V38" i="6"/>
  <c r="AC37" i="6"/>
  <c r="AB37" i="6"/>
  <c r="AA37" i="6"/>
  <c r="Z37" i="6"/>
  <c r="Y37" i="6"/>
  <c r="X37" i="6"/>
  <c r="W37" i="6"/>
  <c r="V37" i="6"/>
  <c r="AC36" i="6"/>
  <c r="AB36" i="6"/>
  <c r="AA36" i="6"/>
  <c r="Z36" i="6"/>
  <c r="Y36" i="6"/>
  <c r="X36" i="6"/>
  <c r="W36" i="6"/>
  <c r="V36" i="6"/>
  <c r="Z48" i="6"/>
  <c r="AA48" i="6"/>
  <c r="AB48" i="6"/>
  <c r="AC48" i="6"/>
  <c r="Z49" i="6"/>
  <c r="AA49" i="6"/>
  <c r="AB49" i="6"/>
  <c r="AC49" i="6"/>
  <c r="Z50" i="6"/>
  <c r="AA50" i="6"/>
  <c r="AB50" i="6"/>
  <c r="AC50" i="6"/>
  <c r="AC47" i="6"/>
  <c r="AB47" i="6"/>
  <c r="AA47" i="6"/>
  <c r="Y48" i="6"/>
  <c r="Y49" i="6"/>
  <c r="Y50" i="6"/>
  <c r="Y47" i="6"/>
  <c r="X48" i="6"/>
  <c r="X49" i="6"/>
  <c r="X50" i="6"/>
  <c r="X47" i="6"/>
  <c r="W48" i="6"/>
  <c r="W49" i="6"/>
  <c r="W50" i="6"/>
  <c r="W47" i="6"/>
  <c r="W46" i="6"/>
  <c r="W45" i="6"/>
  <c r="W44" i="6"/>
  <c r="W43" i="6"/>
  <c r="V48" i="6"/>
  <c r="V49" i="6"/>
  <c r="V50" i="6"/>
  <c r="V47" i="6"/>
  <c r="V46" i="6"/>
  <c r="V45" i="6"/>
  <c r="V44" i="6"/>
  <c r="V43" i="6"/>
  <c r="AC50" i="5"/>
  <c r="AC49" i="5"/>
  <c r="AC48" i="5"/>
  <c r="AC47" i="5"/>
  <c r="AC46" i="5"/>
  <c r="AC45" i="5"/>
  <c r="AC44" i="5"/>
  <c r="AC43" i="5"/>
  <c r="AB50" i="5"/>
  <c r="AB49" i="5"/>
  <c r="AB48" i="5"/>
  <c r="AB47" i="5"/>
  <c r="AB46" i="5"/>
  <c r="AB45" i="5"/>
  <c r="AB44" i="5"/>
  <c r="AB43" i="5"/>
  <c r="AA49" i="5"/>
  <c r="AA50" i="5"/>
  <c r="AA48" i="5"/>
  <c r="AA47" i="5"/>
  <c r="AA46" i="5"/>
  <c r="AA45" i="5"/>
  <c r="AA44" i="5"/>
  <c r="AA43" i="5"/>
  <c r="Z50" i="5"/>
  <c r="Z49" i="5"/>
  <c r="Z48" i="5"/>
  <c r="Z47" i="5"/>
  <c r="Z46" i="5"/>
  <c r="Z45" i="5"/>
  <c r="Z44" i="5"/>
  <c r="Z43" i="5"/>
  <c r="Y50" i="5"/>
  <c r="Y49" i="5"/>
  <c r="Y48" i="5"/>
  <c r="Y47" i="5"/>
  <c r="Y46" i="5"/>
  <c r="Y45" i="5"/>
  <c r="Y44" i="5"/>
  <c r="Y43" i="5"/>
  <c r="X50" i="5"/>
  <c r="X49" i="5"/>
  <c r="X48" i="5"/>
  <c r="X47" i="5"/>
  <c r="X46" i="5"/>
  <c r="X45" i="5"/>
  <c r="X44" i="5"/>
  <c r="X43" i="5"/>
  <c r="W50" i="5"/>
  <c r="W49" i="5"/>
  <c r="W48" i="5"/>
  <c r="W47" i="5"/>
  <c r="W46" i="5"/>
  <c r="W45" i="5"/>
  <c r="W44" i="5"/>
  <c r="W43" i="5"/>
  <c r="V50" i="5"/>
  <c r="V49" i="5"/>
  <c r="V48" i="5"/>
  <c r="V47" i="5"/>
  <c r="V46" i="5"/>
  <c r="V45" i="5"/>
  <c r="V44" i="5"/>
  <c r="V43" i="5"/>
  <c r="AC39" i="5"/>
  <c r="AC38" i="5"/>
  <c r="AC37" i="5"/>
  <c r="AC36" i="5"/>
  <c r="AC35" i="5"/>
  <c r="AC34" i="5"/>
  <c r="AC33" i="5"/>
  <c r="AC32" i="5"/>
  <c r="AB39" i="5"/>
  <c r="AB38" i="5"/>
  <c r="AB37" i="5"/>
  <c r="AB36" i="5"/>
  <c r="AB35" i="5"/>
  <c r="AB34" i="5"/>
  <c r="AB33" i="5"/>
  <c r="AB32" i="5"/>
  <c r="AA39" i="5"/>
  <c r="AA38" i="5"/>
  <c r="AA37" i="5"/>
  <c r="AA36" i="5"/>
  <c r="AA35" i="5"/>
  <c r="AA34" i="5"/>
  <c r="AA33" i="5"/>
  <c r="AA32" i="5"/>
  <c r="Z39" i="5"/>
  <c r="Z38" i="5"/>
  <c r="Z37" i="5"/>
  <c r="Z36" i="5"/>
  <c r="Z35" i="5"/>
  <c r="Z34" i="5"/>
  <c r="Z33" i="5"/>
  <c r="Z32" i="5"/>
  <c r="Y39" i="5"/>
  <c r="Y38" i="5"/>
  <c r="Y37" i="5"/>
  <c r="Y36" i="5"/>
  <c r="Y35" i="5"/>
  <c r="Y34" i="5"/>
  <c r="Y33" i="5"/>
  <c r="Y32" i="5"/>
  <c r="X39" i="5"/>
  <c r="X38" i="5"/>
  <c r="X37" i="5"/>
  <c r="X36" i="5"/>
  <c r="X35" i="5"/>
  <c r="X34" i="5"/>
  <c r="X33" i="5"/>
  <c r="X32" i="5"/>
  <c r="W39" i="5"/>
  <c r="W38" i="5"/>
  <c r="W37" i="5"/>
  <c r="W36" i="5"/>
  <c r="W35" i="5"/>
  <c r="W34" i="5"/>
  <c r="W33" i="5"/>
  <c r="W32" i="5"/>
  <c r="V39" i="5"/>
  <c r="V38" i="5"/>
  <c r="V37" i="5"/>
  <c r="V36" i="5"/>
  <c r="V35" i="5"/>
  <c r="V34" i="5"/>
  <c r="V33" i="5"/>
  <c r="V32" i="5"/>
  <c r="Q9" i="17" l="1"/>
  <c r="Q10" i="17"/>
  <c r="Q11" i="17"/>
  <c r="Q12" i="17"/>
  <c r="Q13" i="17"/>
  <c r="Q14" i="17"/>
  <c r="Q15" i="17"/>
  <c r="Q8" i="17"/>
  <c r="P9" i="16"/>
  <c r="P10" i="16"/>
  <c r="P11" i="16"/>
  <c r="P12" i="16"/>
  <c r="P13" i="16"/>
  <c r="P14" i="16"/>
  <c r="P15" i="16"/>
  <c r="P8" i="16"/>
  <c r="X9" i="15"/>
  <c r="X10" i="15"/>
  <c r="X11" i="15"/>
  <c r="X12" i="15"/>
  <c r="X13" i="15"/>
  <c r="X14" i="15"/>
  <c r="X15" i="15"/>
  <c r="X8" i="15"/>
  <c r="R9" i="14"/>
  <c r="R10" i="14"/>
  <c r="R11" i="14"/>
  <c r="R12" i="14"/>
  <c r="R13" i="14"/>
  <c r="R14" i="14"/>
  <c r="R15" i="14"/>
  <c r="R8" i="14"/>
  <c r="S9" i="7"/>
  <c r="S10" i="7"/>
  <c r="S11" i="7"/>
  <c r="S12" i="7"/>
  <c r="S13" i="7"/>
  <c r="S14" i="7"/>
  <c r="S15" i="7"/>
  <c r="S8" i="7"/>
  <c r="X16" i="15" l="1"/>
  <c r="R16" i="14"/>
  <c r="S16" i="7"/>
  <c r="N9" i="11"/>
  <c r="N10" i="11"/>
  <c r="N11" i="11"/>
  <c r="N12" i="11"/>
  <c r="N13" i="11"/>
  <c r="N14" i="11"/>
  <c r="N15" i="11"/>
  <c r="N8" i="11"/>
  <c r="N16" i="11" l="1"/>
  <c r="F30" i="3" s="1"/>
  <c r="J8" i="12"/>
  <c r="J9" i="12"/>
  <c r="J10" i="12"/>
  <c r="J11" i="12"/>
  <c r="J12" i="12"/>
  <c r="J13" i="12"/>
  <c r="J14" i="12"/>
  <c r="J7" i="12"/>
  <c r="M39" i="20" l="1"/>
  <c r="M38" i="20"/>
  <c r="M37" i="20"/>
  <c r="M36" i="20"/>
  <c r="P8" i="20" s="1" a="1"/>
  <c r="P8" i="20" s="1"/>
  <c r="M35" i="20"/>
  <c r="M34" i="20"/>
  <c r="M33" i="20"/>
  <c r="M32" i="20"/>
  <c r="N19" i="20"/>
  <c r="I17" i="20"/>
  <c r="C29" i="3" s="1"/>
  <c r="T15" i="20"/>
  <c r="P15" i="20" a="1"/>
  <c r="P15" i="20" s="1"/>
  <c r="O15" i="20" a="1"/>
  <c r="O15" i="20" s="1"/>
  <c r="N15" i="20" a="1"/>
  <c r="N15" i="20" s="1"/>
  <c r="M15" i="20" a="1"/>
  <c r="M15" i="20" s="1"/>
  <c r="L15" i="20" a="1"/>
  <c r="L15" i="20" s="1"/>
  <c r="K15" i="20"/>
  <c r="T14" i="20"/>
  <c r="P14" i="20" a="1"/>
  <c r="P14" i="20" s="1"/>
  <c r="O14" i="20" a="1"/>
  <c r="O14" i="20" s="1"/>
  <c r="N14" i="20" a="1"/>
  <c r="N14" i="20" s="1"/>
  <c r="M14" i="20" a="1"/>
  <c r="M14" i="20" s="1"/>
  <c r="L14" i="20" a="1"/>
  <c r="L14" i="20" s="1"/>
  <c r="K14" i="20"/>
  <c r="T13" i="20"/>
  <c r="P13" i="20" a="1"/>
  <c r="P13" i="20" s="1"/>
  <c r="O13" i="20" a="1"/>
  <c r="O13" i="20" s="1"/>
  <c r="N13" i="20" a="1"/>
  <c r="N13" i="20" s="1"/>
  <c r="M13" i="20" a="1"/>
  <c r="M13" i="20" s="1"/>
  <c r="L13" i="20" a="1"/>
  <c r="L13" i="20" s="1"/>
  <c r="K13" i="20"/>
  <c r="T12" i="20"/>
  <c r="P12" i="20" a="1"/>
  <c r="P12" i="20" s="1"/>
  <c r="O12" i="20" a="1"/>
  <c r="O12" i="20" s="1"/>
  <c r="N12" i="20" a="1"/>
  <c r="N12" i="20" s="1"/>
  <c r="M12" i="20" a="1"/>
  <c r="M12" i="20" s="1"/>
  <c r="L12" i="20" a="1"/>
  <c r="L12" i="20" s="1"/>
  <c r="K12" i="20"/>
  <c r="T11" i="20"/>
  <c r="P11" i="20" a="1"/>
  <c r="P11" i="20" s="1"/>
  <c r="O11" i="20" a="1"/>
  <c r="O11" i="20" s="1"/>
  <c r="N11" i="20" a="1"/>
  <c r="N11" i="20" s="1"/>
  <c r="M11" i="20" a="1"/>
  <c r="M11" i="20" s="1"/>
  <c r="L11" i="20" a="1"/>
  <c r="L11" i="20" s="1"/>
  <c r="K11" i="20"/>
  <c r="T10" i="20"/>
  <c r="P10" i="20" a="1"/>
  <c r="P10" i="20" s="1"/>
  <c r="O10" i="20" a="1"/>
  <c r="O10" i="20" s="1"/>
  <c r="N10" i="20" a="1"/>
  <c r="N10" i="20" s="1"/>
  <c r="M10" i="20" a="1"/>
  <c r="M10" i="20" s="1"/>
  <c r="L10" i="20" a="1"/>
  <c r="L10" i="20" s="1"/>
  <c r="K10" i="20"/>
  <c r="T9" i="20"/>
  <c r="P9" i="20" a="1"/>
  <c r="P9" i="20" s="1"/>
  <c r="O9" i="20" a="1"/>
  <c r="O9" i="20" s="1"/>
  <c r="N9" i="20" a="1"/>
  <c r="N9" i="20" s="1"/>
  <c r="M9" i="20" a="1"/>
  <c r="M9" i="20" s="1"/>
  <c r="L9" i="20" a="1"/>
  <c r="L9" i="20" s="1"/>
  <c r="S9" i="20" s="1"/>
  <c r="V9" i="20" s="1"/>
  <c r="K9" i="20"/>
  <c r="T8" i="20"/>
  <c r="O8" i="20" a="1"/>
  <c r="O8" i="20" s="1"/>
  <c r="N8" i="20" a="1"/>
  <c r="N8" i="20" s="1"/>
  <c r="M8" i="20" a="1"/>
  <c r="M8" i="20" s="1"/>
  <c r="L8" i="20" a="1"/>
  <c r="L8" i="20" s="1"/>
  <c r="K8" i="20"/>
  <c r="S15" i="20" l="1"/>
  <c r="R15" i="20" s="1"/>
  <c r="Q15" i="20" s="1"/>
  <c r="S11" i="20"/>
  <c r="V11" i="20" s="1"/>
  <c r="S8" i="20"/>
  <c r="V8" i="20" s="1"/>
  <c r="S10" i="20"/>
  <c r="V10" i="20" s="1"/>
  <c r="S14" i="20"/>
  <c r="V14" i="20" s="1"/>
  <c r="R9" i="20"/>
  <c r="Q9" i="20" s="1"/>
  <c r="S13" i="20"/>
  <c r="V13" i="20" s="1"/>
  <c r="S12" i="20"/>
  <c r="V12" i="20" s="1"/>
  <c r="T17" i="20"/>
  <c r="F29" i="3" s="1"/>
  <c r="M19" i="20"/>
  <c r="L19" i="20"/>
  <c r="P9" i="10"/>
  <c r="P10" i="10"/>
  <c r="P11" i="10"/>
  <c r="P12" i="10"/>
  <c r="P13" i="10"/>
  <c r="P14" i="10"/>
  <c r="P15" i="10"/>
  <c r="P8" i="10"/>
  <c r="L9" i="10"/>
  <c r="L10" i="10"/>
  <c r="L11" i="10"/>
  <c r="L12" i="10"/>
  <c r="L13" i="10"/>
  <c r="L14" i="10"/>
  <c r="L15" i="10"/>
  <c r="L8" i="10"/>
  <c r="N9" i="10"/>
  <c r="N10" i="10"/>
  <c r="N11" i="10"/>
  <c r="N12" i="10"/>
  <c r="N13" i="10"/>
  <c r="N14" i="10"/>
  <c r="N15" i="10"/>
  <c r="N8" i="10"/>
  <c r="N16" i="10" s="1"/>
  <c r="F33" i="3" s="1"/>
  <c r="C21" i="7"/>
  <c r="AJ9" i="7" s="1"/>
  <c r="Z9" i="7" a="1"/>
  <c r="Z9" i="7" s="1"/>
  <c r="Z10" i="7" a="1"/>
  <c r="Z10" i="7" s="1"/>
  <c r="Z11" i="7" a="1"/>
  <c r="Z11" i="7" s="1"/>
  <c r="Z12" i="7" a="1"/>
  <c r="Z12" i="7" s="1"/>
  <c r="Z13" i="7" a="1"/>
  <c r="Z13" i="7" s="1"/>
  <c r="Z14" i="7" a="1"/>
  <c r="Z14" i="7" s="1"/>
  <c r="Z15" i="7" a="1"/>
  <c r="Z15" i="7" s="1"/>
  <c r="AI9" i="7" a="1"/>
  <c r="AI9" i="7" s="1"/>
  <c r="AI10" i="7" a="1"/>
  <c r="AI10" i="7" s="1"/>
  <c r="AI11" i="7" a="1"/>
  <c r="AI11" i="7" s="1"/>
  <c r="AI12" i="7" a="1"/>
  <c r="AI12" i="7" s="1"/>
  <c r="AI13" i="7" a="1"/>
  <c r="AI13" i="7" s="1"/>
  <c r="AI14" i="7" a="1"/>
  <c r="AI14" i="7" s="1"/>
  <c r="AI15" i="7" a="1"/>
  <c r="AI15" i="7" s="1"/>
  <c r="AH8" i="7"/>
  <c r="AH16" i="7" s="1"/>
  <c r="AG9" i="7" a="1"/>
  <c r="AG9" i="7" s="1"/>
  <c r="AG10" i="7" a="1"/>
  <c r="AG10" i="7" s="1"/>
  <c r="AG11" i="7" a="1"/>
  <c r="AG11" i="7" s="1"/>
  <c r="AG12" i="7" a="1"/>
  <c r="AG12" i="7" s="1"/>
  <c r="AG13" i="7" a="1"/>
  <c r="AG13" i="7" s="1"/>
  <c r="AG14" i="7" a="1"/>
  <c r="AG14" i="7" s="1"/>
  <c r="AG15" i="7" a="1"/>
  <c r="AG15" i="7" s="1"/>
  <c r="AF9" i="7"/>
  <c r="AF10" i="7"/>
  <c r="AF11" i="7"/>
  <c r="AF12" i="7"/>
  <c r="AF13" i="7"/>
  <c r="AF14" i="7"/>
  <c r="AF15" i="7"/>
  <c r="AE9" i="7" a="1"/>
  <c r="AE9" i="7" s="1"/>
  <c r="AE10" i="7" a="1"/>
  <c r="AE10" i="7" s="1"/>
  <c r="AE11" i="7" a="1"/>
  <c r="AE11" i="7" s="1"/>
  <c r="AE12" i="7" a="1"/>
  <c r="AE12" i="7" s="1"/>
  <c r="AE13" i="7" a="1"/>
  <c r="AE13" i="7" s="1"/>
  <c r="AE14" i="7" a="1"/>
  <c r="AE14" i="7" s="1"/>
  <c r="AE15" i="7" a="1"/>
  <c r="AE15" i="7" s="1"/>
  <c r="AF8" i="7"/>
  <c r="AD9" i="7"/>
  <c r="AD10" i="7"/>
  <c r="AD11" i="7"/>
  <c r="AD12" i="7"/>
  <c r="AD13" i="7"/>
  <c r="AD14" i="7"/>
  <c r="AD15" i="7"/>
  <c r="AC9" i="7" a="1"/>
  <c r="AC9" i="7" s="1"/>
  <c r="AC10" i="7" a="1"/>
  <c r="AC10" i="7" s="1"/>
  <c r="AC11" i="7" a="1"/>
  <c r="AC11" i="7" s="1"/>
  <c r="AC12" i="7" a="1"/>
  <c r="AC12" i="7" s="1"/>
  <c r="AC13" i="7" a="1"/>
  <c r="AC13" i="7" s="1"/>
  <c r="AC14" i="7" a="1"/>
  <c r="AC14" i="7" s="1"/>
  <c r="AC15" i="7" a="1"/>
  <c r="AC15" i="7" s="1"/>
  <c r="AB9" i="7"/>
  <c r="AB10" i="7"/>
  <c r="AB11" i="7"/>
  <c r="AB12" i="7"/>
  <c r="AB13" i="7"/>
  <c r="AB14" i="7"/>
  <c r="AB15" i="7"/>
  <c r="W8" i="7"/>
  <c r="AD8" i="7"/>
  <c r="AD16" i="7" s="1"/>
  <c r="N9" i="18"/>
  <c r="N10" i="18"/>
  <c r="N11" i="18"/>
  <c r="N12" i="18"/>
  <c r="N13" i="18"/>
  <c r="N14" i="18"/>
  <c r="N15" i="18"/>
  <c r="N8" i="18"/>
  <c r="AA9" i="17"/>
  <c r="AA10" i="17"/>
  <c r="AA11" i="17"/>
  <c r="AA12" i="17"/>
  <c r="AA13" i="17"/>
  <c r="AA14" i="17"/>
  <c r="AA15" i="17"/>
  <c r="T9" i="17"/>
  <c r="AB9" i="17" s="1"/>
  <c r="U9" i="17"/>
  <c r="T10" i="17"/>
  <c r="AB10" i="17" s="1"/>
  <c r="U10" i="17"/>
  <c r="T11" i="17"/>
  <c r="AB11" i="17" s="1"/>
  <c r="U11" i="17"/>
  <c r="T12" i="17"/>
  <c r="AB12" i="17" s="1"/>
  <c r="U12" i="17"/>
  <c r="T13" i="17"/>
  <c r="AB13" i="17" s="1"/>
  <c r="U13" i="17"/>
  <c r="T14" i="17"/>
  <c r="AB14" i="17" s="1"/>
  <c r="U14" i="17"/>
  <c r="T15" i="17"/>
  <c r="AB15" i="17" s="1"/>
  <c r="U15" i="17"/>
  <c r="U8" i="17"/>
  <c r="T8" i="17"/>
  <c r="AA8" i="17"/>
  <c r="T10" i="16"/>
  <c r="T11" i="16"/>
  <c r="T12" i="16"/>
  <c r="T13" i="16"/>
  <c r="T14" i="16"/>
  <c r="T15" i="16"/>
  <c r="S10" i="16"/>
  <c r="S11" i="16"/>
  <c r="S12" i="16"/>
  <c r="S13" i="16"/>
  <c r="S14" i="16"/>
  <c r="S15" i="16"/>
  <c r="K9" i="16"/>
  <c r="K10" i="16"/>
  <c r="Q10" i="16" s="1"/>
  <c r="K11" i="16"/>
  <c r="Q11" i="16" s="1"/>
  <c r="K12" i="16"/>
  <c r="Q12" i="16" s="1"/>
  <c r="K13" i="16"/>
  <c r="Q13" i="16" s="1"/>
  <c r="K14" i="16"/>
  <c r="Q14" i="16" s="1"/>
  <c r="K15" i="16"/>
  <c r="Q15" i="16" s="1"/>
  <c r="K8" i="16"/>
  <c r="M9" i="11"/>
  <c r="M10" i="11"/>
  <c r="M11" i="11"/>
  <c r="M12" i="11"/>
  <c r="M13" i="11"/>
  <c r="M14" i="11"/>
  <c r="M15" i="11"/>
  <c r="M8" i="11"/>
  <c r="L9" i="11"/>
  <c r="L10" i="11"/>
  <c r="L11" i="11"/>
  <c r="L12" i="11"/>
  <c r="L13" i="11"/>
  <c r="L14" i="11"/>
  <c r="L15" i="11"/>
  <c r="K8" i="8"/>
  <c r="L8" i="8" s="1"/>
  <c r="AB8" i="7"/>
  <c r="T128" i="7"/>
  <c r="S128" i="7"/>
  <c r="R128" i="7"/>
  <c r="Q128" i="7"/>
  <c r="P128" i="7"/>
  <c r="O128" i="7"/>
  <c r="N128" i="7"/>
  <c r="M128" i="7"/>
  <c r="T127" i="7"/>
  <c r="S127" i="7"/>
  <c r="R127" i="7"/>
  <c r="Q127" i="7"/>
  <c r="P127" i="7"/>
  <c r="O127" i="7"/>
  <c r="N127" i="7"/>
  <c r="M127" i="7"/>
  <c r="T125" i="7"/>
  <c r="S125" i="7"/>
  <c r="R125" i="7"/>
  <c r="Q125" i="7"/>
  <c r="P125" i="7"/>
  <c r="O125" i="7"/>
  <c r="N125" i="7"/>
  <c r="M125" i="7"/>
  <c r="T123" i="7"/>
  <c r="S123" i="7"/>
  <c r="R123" i="7"/>
  <c r="Q123" i="7"/>
  <c r="P123" i="7"/>
  <c r="O123" i="7"/>
  <c r="N123" i="7"/>
  <c r="M123" i="7"/>
  <c r="T121" i="7"/>
  <c r="S121" i="7"/>
  <c r="R121" i="7"/>
  <c r="Q121" i="7"/>
  <c r="P121" i="7"/>
  <c r="O121" i="7"/>
  <c r="N121" i="7"/>
  <c r="M121" i="7"/>
  <c r="T120" i="7"/>
  <c r="S120" i="7"/>
  <c r="R120" i="7"/>
  <c r="Q120" i="7"/>
  <c r="P120" i="7"/>
  <c r="O120" i="7"/>
  <c r="N120" i="7"/>
  <c r="M120" i="7"/>
  <c r="T119" i="7"/>
  <c r="S119" i="7"/>
  <c r="R119" i="7"/>
  <c r="Q119" i="7"/>
  <c r="P119" i="7"/>
  <c r="O119" i="7"/>
  <c r="N119" i="7"/>
  <c r="M119" i="7"/>
  <c r="T142" i="7"/>
  <c r="S142" i="7"/>
  <c r="R142" i="7"/>
  <c r="Q142" i="7"/>
  <c r="P142" i="7"/>
  <c r="O142" i="7"/>
  <c r="N142" i="7"/>
  <c r="M142" i="7"/>
  <c r="T141" i="7"/>
  <c r="S141" i="7"/>
  <c r="R141" i="7"/>
  <c r="Q141" i="7"/>
  <c r="P141" i="7"/>
  <c r="O141" i="7"/>
  <c r="N141" i="7"/>
  <c r="M141" i="7"/>
  <c r="T139" i="7"/>
  <c r="S139" i="7"/>
  <c r="R139" i="7"/>
  <c r="Q139" i="7"/>
  <c r="P139" i="7"/>
  <c r="O139" i="7"/>
  <c r="N139" i="7"/>
  <c r="T137" i="7"/>
  <c r="S137" i="7"/>
  <c r="R137" i="7"/>
  <c r="Q137" i="7"/>
  <c r="P137" i="7"/>
  <c r="O137" i="7"/>
  <c r="N137" i="7"/>
  <c r="M139" i="7"/>
  <c r="M137" i="7"/>
  <c r="T135" i="7"/>
  <c r="S135" i="7"/>
  <c r="R135" i="7"/>
  <c r="Q135" i="7"/>
  <c r="P135" i="7"/>
  <c r="O135" i="7"/>
  <c r="N135" i="7"/>
  <c r="M135" i="7"/>
  <c r="T134" i="7"/>
  <c r="S134" i="7"/>
  <c r="R134" i="7"/>
  <c r="Q134" i="7"/>
  <c r="P134" i="7"/>
  <c r="O134" i="7"/>
  <c r="N134" i="7"/>
  <c r="M134" i="7"/>
  <c r="T113" i="7"/>
  <c r="S113" i="7"/>
  <c r="R113" i="7"/>
  <c r="Q113" i="7"/>
  <c r="P113" i="7"/>
  <c r="O113" i="7"/>
  <c r="N113" i="7"/>
  <c r="M113" i="7"/>
  <c r="T112" i="7"/>
  <c r="S112" i="7"/>
  <c r="R112" i="7"/>
  <c r="Q112" i="7"/>
  <c r="P112" i="7"/>
  <c r="O112" i="7"/>
  <c r="N112" i="7"/>
  <c r="M112" i="7"/>
  <c r="T110" i="7"/>
  <c r="S110" i="7"/>
  <c r="R110" i="7"/>
  <c r="Q110" i="7"/>
  <c r="P110" i="7"/>
  <c r="O110" i="7"/>
  <c r="N110" i="7"/>
  <c r="M110" i="7"/>
  <c r="T108" i="7"/>
  <c r="S108" i="7"/>
  <c r="R108" i="7"/>
  <c r="Q108" i="7"/>
  <c r="P108" i="7"/>
  <c r="O108" i="7"/>
  <c r="N108" i="7"/>
  <c r="M108" i="7"/>
  <c r="T106" i="7"/>
  <c r="S106" i="7"/>
  <c r="R106" i="7"/>
  <c r="Q106" i="7"/>
  <c r="P106" i="7"/>
  <c r="O106" i="7"/>
  <c r="N106" i="7"/>
  <c r="M106" i="7"/>
  <c r="T105" i="7"/>
  <c r="S105" i="7"/>
  <c r="R105" i="7"/>
  <c r="Q105" i="7"/>
  <c r="P105" i="7"/>
  <c r="O105" i="7"/>
  <c r="N105" i="7"/>
  <c r="M105" i="7"/>
  <c r="T99" i="7"/>
  <c r="S99" i="7"/>
  <c r="R99" i="7"/>
  <c r="Q99" i="7"/>
  <c r="P99" i="7"/>
  <c r="O99" i="7"/>
  <c r="N99" i="7"/>
  <c r="M99" i="7"/>
  <c r="T98" i="7"/>
  <c r="S98" i="7"/>
  <c r="R98" i="7"/>
  <c r="Q98" i="7"/>
  <c r="P98" i="7"/>
  <c r="O98" i="7"/>
  <c r="N98" i="7"/>
  <c r="M98" i="7"/>
  <c r="T96" i="7"/>
  <c r="S96" i="7"/>
  <c r="R96" i="7"/>
  <c r="Q96" i="7"/>
  <c r="P96" i="7"/>
  <c r="O96" i="7"/>
  <c r="N96" i="7"/>
  <c r="M96" i="7"/>
  <c r="T94" i="7"/>
  <c r="S94" i="7"/>
  <c r="R94" i="7"/>
  <c r="Q94" i="7"/>
  <c r="P94" i="7"/>
  <c r="O94" i="7"/>
  <c r="N94" i="7"/>
  <c r="M94" i="7"/>
  <c r="T92" i="7"/>
  <c r="S92" i="7"/>
  <c r="R92" i="7"/>
  <c r="Q92" i="7"/>
  <c r="P92" i="7"/>
  <c r="O92" i="7"/>
  <c r="N92" i="7"/>
  <c r="M92" i="7"/>
  <c r="T91" i="7"/>
  <c r="S91" i="7"/>
  <c r="R91" i="7"/>
  <c r="Q91" i="7"/>
  <c r="P91" i="7"/>
  <c r="O91" i="7"/>
  <c r="N91" i="7"/>
  <c r="M91" i="7"/>
  <c r="T90" i="7"/>
  <c r="S90" i="7"/>
  <c r="R90" i="7"/>
  <c r="Q90" i="7"/>
  <c r="P90" i="7"/>
  <c r="O90" i="7"/>
  <c r="N90" i="7"/>
  <c r="M90" i="7"/>
  <c r="R50" i="6"/>
  <c r="Q50" i="6"/>
  <c r="P50" i="6"/>
  <c r="O50" i="6"/>
  <c r="N50" i="6"/>
  <c r="M50" i="6"/>
  <c r="L50" i="6"/>
  <c r="K50" i="6"/>
  <c r="R49" i="6"/>
  <c r="Q49" i="6"/>
  <c r="P49" i="6"/>
  <c r="O49" i="6"/>
  <c r="N49" i="6"/>
  <c r="M49" i="6"/>
  <c r="L49" i="6"/>
  <c r="K49" i="6"/>
  <c r="R48" i="6"/>
  <c r="Q48" i="6"/>
  <c r="P48" i="6"/>
  <c r="O48" i="6"/>
  <c r="N48" i="6"/>
  <c r="M48" i="6"/>
  <c r="L48" i="6"/>
  <c r="K48" i="6"/>
  <c r="R47" i="6"/>
  <c r="Q47" i="6"/>
  <c r="P47" i="6"/>
  <c r="O47" i="6"/>
  <c r="N47" i="6"/>
  <c r="M47" i="6"/>
  <c r="L47" i="6"/>
  <c r="K47" i="6"/>
  <c r="R46" i="6"/>
  <c r="Q46" i="6"/>
  <c r="P46" i="6"/>
  <c r="O46" i="6"/>
  <c r="N46" i="6"/>
  <c r="M46" i="6"/>
  <c r="L46" i="6"/>
  <c r="K46" i="6"/>
  <c r="R45" i="6"/>
  <c r="Q45" i="6"/>
  <c r="P45" i="6"/>
  <c r="O45" i="6"/>
  <c r="N45" i="6"/>
  <c r="M45" i="6"/>
  <c r="L45" i="6"/>
  <c r="K45" i="6"/>
  <c r="R44" i="6"/>
  <c r="Q44" i="6"/>
  <c r="P44" i="6"/>
  <c r="O44" i="6"/>
  <c r="N44" i="6"/>
  <c r="M44" i="6"/>
  <c r="L44" i="6"/>
  <c r="K44" i="6"/>
  <c r="R43" i="6"/>
  <c r="Q43" i="6"/>
  <c r="P43" i="6"/>
  <c r="O43" i="6"/>
  <c r="N43" i="6"/>
  <c r="M43" i="6"/>
  <c r="L43" i="6"/>
  <c r="K43" i="6"/>
  <c r="R50" i="5"/>
  <c r="Q50" i="5"/>
  <c r="P50" i="5"/>
  <c r="O50" i="5"/>
  <c r="N50" i="5"/>
  <c r="M50" i="5"/>
  <c r="L50" i="5"/>
  <c r="K50" i="5"/>
  <c r="R49" i="5"/>
  <c r="Q49" i="5"/>
  <c r="P49" i="5"/>
  <c r="O49" i="5"/>
  <c r="N49" i="5"/>
  <c r="M49" i="5"/>
  <c r="L49" i="5"/>
  <c r="K49" i="5"/>
  <c r="R48" i="5"/>
  <c r="Q48" i="5"/>
  <c r="P48" i="5"/>
  <c r="O48" i="5"/>
  <c r="N48" i="5"/>
  <c r="M48" i="5"/>
  <c r="L48" i="5"/>
  <c r="K48" i="5"/>
  <c r="R47" i="5"/>
  <c r="Q47" i="5"/>
  <c r="P47" i="5"/>
  <c r="O47" i="5"/>
  <c r="N47" i="5"/>
  <c r="M47" i="5"/>
  <c r="L47" i="5"/>
  <c r="K47" i="5"/>
  <c r="R46" i="5"/>
  <c r="Q46" i="5"/>
  <c r="P46" i="5"/>
  <c r="O46" i="5"/>
  <c r="N46" i="5"/>
  <c r="M46" i="5"/>
  <c r="L46" i="5"/>
  <c r="K46" i="5"/>
  <c r="R45" i="5"/>
  <c r="Q45" i="5"/>
  <c r="P45" i="5"/>
  <c r="O45" i="5"/>
  <c r="N45" i="5"/>
  <c r="M45" i="5"/>
  <c r="L45" i="5"/>
  <c r="K45" i="5"/>
  <c r="R44" i="5"/>
  <c r="Q44" i="5"/>
  <c r="P44" i="5"/>
  <c r="O44" i="5"/>
  <c r="N44" i="5"/>
  <c r="M44" i="5"/>
  <c r="L44" i="5"/>
  <c r="K44" i="5"/>
  <c r="R43" i="5"/>
  <c r="Q43" i="5"/>
  <c r="P43" i="5"/>
  <c r="O43" i="5"/>
  <c r="N43" i="5"/>
  <c r="M43" i="5"/>
  <c r="L43" i="5"/>
  <c r="K43" i="5"/>
  <c r="L8" i="5"/>
  <c r="L16" i="10" l="1"/>
  <c r="D33" i="3" s="1"/>
  <c r="M16" i="11"/>
  <c r="E30" i="3" s="1"/>
  <c r="V15" i="20"/>
  <c r="R10" i="20"/>
  <c r="Q10" i="20" s="1"/>
  <c r="R8" i="20"/>
  <c r="Q8" i="20" s="1"/>
  <c r="R11" i="20"/>
  <c r="Q11" i="20" s="1"/>
  <c r="AB8" i="17"/>
  <c r="T16" i="17"/>
  <c r="AA16" i="17"/>
  <c r="F26" i="3" s="1"/>
  <c r="U16" i="17"/>
  <c r="AB16" i="7"/>
  <c r="AF16" i="7"/>
  <c r="R12" i="20"/>
  <c r="Q12" i="20" s="1"/>
  <c r="R13" i="20"/>
  <c r="Q13" i="20" s="1"/>
  <c r="R14" i="20"/>
  <c r="Q14" i="20" s="1"/>
  <c r="K15" i="11"/>
  <c r="P15" i="11"/>
  <c r="P8" i="11"/>
  <c r="K8" i="11"/>
  <c r="K13" i="11"/>
  <c r="P13" i="11"/>
  <c r="K10" i="11"/>
  <c r="P10" i="11"/>
  <c r="K12" i="11"/>
  <c r="P12" i="11"/>
  <c r="K11" i="11"/>
  <c r="P11" i="11"/>
  <c r="K9" i="11"/>
  <c r="P9" i="11"/>
  <c r="K14" i="11"/>
  <c r="P14" i="11"/>
  <c r="S17" i="20"/>
  <c r="E29" i="3" s="1"/>
  <c r="AC8" i="7" a="1"/>
  <c r="AC8" i="7" s="1"/>
  <c r="AC16" i="7" s="1"/>
  <c r="Q8" i="16"/>
  <c r="T8" i="16"/>
  <c r="S8" i="16"/>
  <c r="S16" i="16" s="1"/>
  <c r="T9" i="16"/>
  <c r="S9" i="16"/>
  <c r="AE8" i="7" a="1"/>
  <c r="AE8" i="7" s="1"/>
  <c r="AE16" i="7" s="1"/>
  <c r="AG8" i="7" a="1"/>
  <c r="AG8" i="7" s="1"/>
  <c r="AG16" i="7" s="1"/>
  <c r="AI8" i="7" a="1"/>
  <c r="AI8" i="7" s="1"/>
  <c r="AI16" i="7" s="1"/>
  <c r="AJ14" i="7"/>
  <c r="AJ15" i="7"/>
  <c r="AJ13" i="7"/>
  <c r="AJ12" i="7"/>
  <c r="AJ11" i="7"/>
  <c r="AJ10" i="7"/>
  <c r="Q9" i="16"/>
  <c r="S8" i="5"/>
  <c r="T16" i="16" l="1"/>
  <c r="K16" i="11"/>
  <c r="R17" i="20"/>
  <c r="D29" i="3" s="1"/>
  <c r="AC28" i="6"/>
  <c r="AB28" i="6"/>
  <c r="AA28" i="6"/>
  <c r="Z28" i="6"/>
  <c r="Y28" i="6"/>
  <c r="X28" i="6"/>
  <c r="W28" i="6"/>
  <c r="V28" i="6"/>
  <c r="AC27" i="6"/>
  <c r="AB27" i="6"/>
  <c r="AA27" i="6"/>
  <c r="Z27" i="6"/>
  <c r="Y27" i="6"/>
  <c r="X27" i="6"/>
  <c r="W27" i="6"/>
  <c r="V27" i="6"/>
  <c r="AC26" i="6"/>
  <c r="AB26" i="6"/>
  <c r="AA26" i="6"/>
  <c r="Z26" i="6"/>
  <c r="Y26" i="6"/>
  <c r="X26" i="6"/>
  <c r="W26" i="6"/>
  <c r="V26" i="6"/>
  <c r="AC25" i="6"/>
  <c r="AB25" i="6"/>
  <c r="AA25" i="6"/>
  <c r="Z25" i="6"/>
  <c r="Y25" i="6"/>
  <c r="X25" i="6"/>
  <c r="W25" i="6"/>
  <c r="V25" i="6"/>
  <c r="AC24" i="6"/>
  <c r="AB24" i="6"/>
  <c r="AA24" i="6"/>
  <c r="Z24" i="6"/>
  <c r="Y24" i="6"/>
  <c r="X24" i="6"/>
  <c r="W24" i="6"/>
  <c r="V24" i="6"/>
  <c r="AC23" i="6"/>
  <c r="AB23" i="6"/>
  <c r="AA23" i="6"/>
  <c r="Z23" i="6"/>
  <c r="Y23" i="6"/>
  <c r="X23" i="6"/>
  <c r="W23" i="6"/>
  <c r="V23" i="6"/>
  <c r="AC22" i="6"/>
  <c r="AB22" i="6"/>
  <c r="AA22" i="6"/>
  <c r="Z22" i="6"/>
  <c r="Y22" i="6"/>
  <c r="X22" i="6"/>
  <c r="W22" i="6"/>
  <c r="V22" i="6"/>
  <c r="V27" i="5"/>
  <c r="V26" i="5"/>
  <c r="V25" i="5"/>
  <c r="V24" i="5"/>
  <c r="V23" i="5"/>
  <c r="V22" i="5"/>
  <c r="V21" i="5"/>
  <c r="P21" i="6" l="1"/>
  <c r="N77" i="7" l="1"/>
  <c r="M77" i="7"/>
  <c r="T77" i="7"/>
  <c r="S77" i="7"/>
  <c r="R77" i="7"/>
  <c r="Q77" i="7"/>
  <c r="P77" i="7"/>
  <c r="O77" i="7"/>
  <c r="N44" i="7" l="1"/>
  <c r="N72" i="7"/>
  <c r="M72" i="7"/>
  <c r="Y8" i="7" l="1"/>
  <c r="T85" i="7"/>
  <c r="S85" i="7"/>
  <c r="R85" i="7"/>
  <c r="Q85" i="7"/>
  <c r="P85" i="7"/>
  <c r="O85" i="7"/>
  <c r="N85" i="7"/>
  <c r="M85" i="7"/>
  <c r="T84" i="7"/>
  <c r="S84" i="7"/>
  <c r="R84" i="7"/>
  <c r="Q84" i="7"/>
  <c r="P84" i="7"/>
  <c r="O84" i="7"/>
  <c r="N84" i="7"/>
  <c r="M84" i="7"/>
  <c r="R83" i="7"/>
  <c r="T83" i="7"/>
  <c r="S83" i="7"/>
  <c r="Q83" i="7"/>
  <c r="P83" i="7"/>
  <c r="O83" i="7"/>
  <c r="N83" i="7"/>
  <c r="M83" i="7"/>
  <c r="T82" i="7"/>
  <c r="AA15" i="7" s="1"/>
  <c r="S82" i="7"/>
  <c r="AA14" i="7" s="1"/>
  <c r="R82" i="7"/>
  <c r="AA13" i="7" s="1"/>
  <c r="Q82" i="7"/>
  <c r="AA12" i="7" s="1"/>
  <c r="P82" i="7"/>
  <c r="AA11" i="7" s="1"/>
  <c r="O82" i="7"/>
  <c r="AA10" i="7" s="1"/>
  <c r="N82" i="7"/>
  <c r="AA9" i="7" s="1"/>
  <c r="M82" i="7"/>
  <c r="T76" i="7"/>
  <c r="S76" i="7"/>
  <c r="R76" i="7"/>
  <c r="Q76" i="7"/>
  <c r="P76" i="7"/>
  <c r="O76" i="7"/>
  <c r="N76" i="7"/>
  <c r="M76" i="7"/>
  <c r="T75" i="7"/>
  <c r="S75" i="7"/>
  <c r="R75" i="7"/>
  <c r="Q75" i="7"/>
  <c r="P75" i="7"/>
  <c r="O75" i="7"/>
  <c r="N75" i="7"/>
  <c r="M75" i="7"/>
  <c r="T74" i="7"/>
  <c r="S74" i="7"/>
  <c r="R74" i="7"/>
  <c r="Q74" i="7"/>
  <c r="P74" i="7"/>
  <c r="O74" i="7"/>
  <c r="N74" i="7"/>
  <c r="M74" i="7"/>
  <c r="T73" i="7"/>
  <c r="S73" i="7"/>
  <c r="R73" i="7"/>
  <c r="Q73" i="7"/>
  <c r="P73" i="7"/>
  <c r="O73" i="7"/>
  <c r="N73" i="7"/>
  <c r="M73" i="7"/>
  <c r="T72" i="7"/>
  <c r="S72" i="7"/>
  <c r="R72" i="7"/>
  <c r="Q72" i="7"/>
  <c r="P72" i="7"/>
  <c r="O72" i="7"/>
  <c r="T66" i="7"/>
  <c r="S66" i="7"/>
  <c r="R66" i="7"/>
  <c r="Q66" i="7"/>
  <c r="P66" i="7"/>
  <c r="O66" i="7"/>
  <c r="N66" i="7"/>
  <c r="M66" i="7"/>
  <c r="T65" i="7"/>
  <c r="S65" i="7"/>
  <c r="R65" i="7"/>
  <c r="Q65" i="7"/>
  <c r="P65" i="7"/>
  <c r="O65" i="7"/>
  <c r="N65" i="7"/>
  <c r="M65" i="7"/>
  <c r="T63" i="7"/>
  <c r="S63" i="7"/>
  <c r="R63" i="7"/>
  <c r="Q63" i="7"/>
  <c r="P63" i="7"/>
  <c r="O63" i="7"/>
  <c r="N63" i="7"/>
  <c r="M63" i="7"/>
  <c r="T61" i="7"/>
  <c r="S61" i="7"/>
  <c r="R61" i="7"/>
  <c r="Q61" i="7"/>
  <c r="P61" i="7"/>
  <c r="O61" i="7"/>
  <c r="N61" i="7"/>
  <c r="M61" i="7"/>
  <c r="T59" i="7"/>
  <c r="S59" i="7"/>
  <c r="R59" i="7"/>
  <c r="Q59" i="7"/>
  <c r="P59" i="7"/>
  <c r="O59" i="7"/>
  <c r="N59" i="7"/>
  <c r="M59" i="7"/>
  <c r="T58" i="7"/>
  <c r="S58" i="7"/>
  <c r="R58" i="7"/>
  <c r="Q58" i="7"/>
  <c r="P58" i="7"/>
  <c r="O58" i="7"/>
  <c r="N58" i="7"/>
  <c r="M58" i="7"/>
  <c r="X8" i="7" s="1" a="1"/>
  <c r="X8" i="7" s="1"/>
  <c r="T52" i="7"/>
  <c r="S52" i="7"/>
  <c r="R52" i="7"/>
  <c r="Q52" i="7"/>
  <c r="P52" i="7"/>
  <c r="O52" i="7"/>
  <c r="N52" i="7"/>
  <c r="T51" i="7"/>
  <c r="S51" i="7"/>
  <c r="R51" i="7"/>
  <c r="Q51" i="7"/>
  <c r="P51" i="7"/>
  <c r="O51" i="7"/>
  <c r="N51" i="7"/>
  <c r="M52" i="7"/>
  <c r="M51" i="7"/>
  <c r="T49" i="7"/>
  <c r="S49" i="7"/>
  <c r="R49" i="7"/>
  <c r="Q49" i="7"/>
  <c r="P49" i="7"/>
  <c r="O49" i="7"/>
  <c r="N49" i="7"/>
  <c r="M49" i="7"/>
  <c r="T47" i="7"/>
  <c r="S47" i="7"/>
  <c r="R47" i="7"/>
  <c r="Q47" i="7"/>
  <c r="P47" i="7"/>
  <c r="O47" i="7"/>
  <c r="N47" i="7"/>
  <c r="M47" i="7"/>
  <c r="T45" i="7"/>
  <c r="S45" i="7"/>
  <c r="R45" i="7"/>
  <c r="Q45" i="7"/>
  <c r="P45" i="7"/>
  <c r="O45" i="7"/>
  <c r="N45" i="7"/>
  <c r="M45" i="7"/>
  <c r="T44" i="7"/>
  <c r="S44" i="7"/>
  <c r="R44" i="7"/>
  <c r="Q44" i="7"/>
  <c r="P44" i="7"/>
  <c r="O44" i="7"/>
  <c r="M44" i="7"/>
  <c r="T43" i="7"/>
  <c r="S43" i="7"/>
  <c r="R43" i="7"/>
  <c r="Q43" i="7"/>
  <c r="P43" i="7"/>
  <c r="O43" i="7"/>
  <c r="N43" i="7"/>
  <c r="M43" i="7"/>
  <c r="Y9" i="7"/>
  <c r="Y10" i="7"/>
  <c r="Y11" i="7"/>
  <c r="Y12" i="7"/>
  <c r="Y13" i="7"/>
  <c r="Y14" i="7"/>
  <c r="Y15" i="7"/>
  <c r="U9" i="7"/>
  <c r="U10" i="7"/>
  <c r="V10" i="7" s="1" a="1"/>
  <c r="V10" i="7" s="1"/>
  <c r="U11" i="7"/>
  <c r="U12" i="7"/>
  <c r="V12" i="7" s="1" a="1"/>
  <c r="V12" i="7" s="1"/>
  <c r="U13" i="7"/>
  <c r="U14" i="7"/>
  <c r="V14" i="7" s="1" a="1"/>
  <c r="V14" i="7" s="1"/>
  <c r="U15" i="7"/>
  <c r="V15" i="7" s="1" a="1"/>
  <c r="V15" i="7" s="1"/>
  <c r="U8" i="7"/>
  <c r="W9" i="7"/>
  <c r="W10" i="7"/>
  <c r="X10" i="7" s="1" a="1"/>
  <c r="X10" i="7" s="1"/>
  <c r="W11" i="7"/>
  <c r="W12" i="7"/>
  <c r="X12" i="7" s="1" a="1"/>
  <c r="X12" i="7" s="1"/>
  <c r="W13" i="7"/>
  <c r="W14" i="7"/>
  <c r="X14" i="7" s="1" a="1"/>
  <c r="X14" i="7" s="1"/>
  <c r="W15" i="7"/>
  <c r="X15" i="7" s="1" a="1"/>
  <c r="X15" i="7" s="1"/>
  <c r="Z8" i="7" l="1" a="1"/>
  <c r="Z8" i="7" s="1"/>
  <c r="Z16" i="7" s="1"/>
  <c r="Y16" i="7"/>
  <c r="W16" i="7"/>
  <c r="U16" i="7"/>
  <c r="V8" i="7" a="1"/>
  <c r="V8" i="7" s="1"/>
  <c r="AA8" i="7"/>
  <c r="AA16" i="7" s="1"/>
  <c r="AO14" i="7"/>
  <c r="X13" i="7" a="1"/>
  <c r="X13" i="7" s="1"/>
  <c r="X9" i="7" a="1"/>
  <c r="X9" i="7" s="1"/>
  <c r="V13" i="7" a="1"/>
  <c r="V13" i="7" s="1"/>
  <c r="V9" i="7" a="1"/>
  <c r="V9" i="7" s="1"/>
  <c r="X11" i="7" a="1"/>
  <c r="X11" i="7" s="1"/>
  <c r="V11" i="7" a="1"/>
  <c r="V11" i="7" s="1"/>
  <c r="P14" i="7"/>
  <c r="X16" i="7" l="1"/>
  <c r="AJ8" i="7"/>
  <c r="V16" i="7"/>
  <c r="AO15" i="7"/>
  <c r="AJ16" i="7" l="1"/>
  <c r="K37" i="6"/>
  <c r="L37" i="6"/>
  <c r="M37" i="6"/>
  <c r="N37" i="6"/>
  <c r="O37" i="6"/>
  <c r="P37" i="6"/>
  <c r="Q37" i="6"/>
  <c r="R37" i="6"/>
  <c r="K38" i="6"/>
  <c r="L38" i="6"/>
  <c r="M38" i="6"/>
  <c r="N38" i="6"/>
  <c r="O38" i="6"/>
  <c r="P38" i="6"/>
  <c r="Q38" i="6"/>
  <c r="R38" i="6"/>
  <c r="K39" i="6"/>
  <c r="L39" i="6"/>
  <c r="M39" i="6"/>
  <c r="N39" i="6"/>
  <c r="O39" i="6"/>
  <c r="P39" i="6"/>
  <c r="Q39" i="6"/>
  <c r="R39" i="6"/>
  <c r="R36" i="6"/>
  <c r="Q36" i="6"/>
  <c r="P36" i="6"/>
  <c r="O36" i="6"/>
  <c r="N36" i="6"/>
  <c r="M36" i="6"/>
  <c r="L36" i="6"/>
  <c r="K36" i="6"/>
  <c r="K33" i="6"/>
  <c r="L33" i="6"/>
  <c r="M33" i="6"/>
  <c r="N33" i="6"/>
  <c r="O33" i="6"/>
  <c r="P33" i="6"/>
  <c r="Q33" i="6"/>
  <c r="R33" i="6"/>
  <c r="K34" i="6"/>
  <c r="L34" i="6"/>
  <c r="M34" i="6"/>
  <c r="N34" i="6"/>
  <c r="O34" i="6"/>
  <c r="P34" i="6"/>
  <c r="Q34" i="6"/>
  <c r="R34" i="6"/>
  <c r="K35" i="6"/>
  <c r="L35" i="6"/>
  <c r="M35" i="6"/>
  <c r="N35" i="6"/>
  <c r="O35" i="6"/>
  <c r="P35" i="6"/>
  <c r="Q35" i="6"/>
  <c r="R35" i="6"/>
  <c r="R32" i="6"/>
  <c r="Q32" i="6"/>
  <c r="P32" i="6"/>
  <c r="O32" i="6"/>
  <c r="N32" i="6"/>
  <c r="M32" i="6"/>
  <c r="L32" i="6"/>
  <c r="K32" i="6"/>
  <c r="C34" i="6"/>
  <c r="R39" i="5"/>
  <c r="Q39" i="5"/>
  <c r="P39" i="5"/>
  <c r="O39" i="5"/>
  <c r="N39" i="5"/>
  <c r="M39" i="5"/>
  <c r="L39" i="5"/>
  <c r="K39" i="5"/>
  <c r="R38" i="5"/>
  <c r="Q38" i="5"/>
  <c r="P38" i="5"/>
  <c r="O38" i="5"/>
  <c r="N38" i="5"/>
  <c r="M38" i="5"/>
  <c r="L38" i="5"/>
  <c r="K38" i="5"/>
  <c r="R37" i="5"/>
  <c r="Q37" i="5"/>
  <c r="P37" i="5"/>
  <c r="O37" i="5"/>
  <c r="N37" i="5"/>
  <c r="M37" i="5"/>
  <c r="L37" i="5"/>
  <c r="K37" i="5"/>
  <c r="R36" i="5"/>
  <c r="Q36" i="5"/>
  <c r="P36" i="5"/>
  <c r="O36" i="5"/>
  <c r="N36" i="5"/>
  <c r="M36" i="5"/>
  <c r="L36" i="5"/>
  <c r="K36" i="5"/>
  <c r="R35" i="5"/>
  <c r="Q35" i="5"/>
  <c r="P35" i="5"/>
  <c r="O35" i="5"/>
  <c r="N35" i="5"/>
  <c r="M35" i="5"/>
  <c r="L35" i="5"/>
  <c r="K35" i="5"/>
  <c r="R34" i="5"/>
  <c r="Q34" i="5"/>
  <c r="P34" i="5"/>
  <c r="O34" i="5"/>
  <c r="N34" i="5"/>
  <c r="M34" i="5"/>
  <c r="L34" i="5"/>
  <c r="K34" i="5"/>
  <c r="R33" i="5"/>
  <c r="Q33" i="5"/>
  <c r="P33" i="5"/>
  <c r="O33" i="5"/>
  <c r="N33" i="5"/>
  <c r="M33" i="5"/>
  <c r="L33" i="5"/>
  <c r="K33" i="5"/>
  <c r="R32" i="5"/>
  <c r="Q32" i="5"/>
  <c r="P32" i="5"/>
  <c r="O32" i="5"/>
  <c r="N32" i="5"/>
  <c r="M32" i="5"/>
  <c r="L32" i="5"/>
  <c r="K32" i="5"/>
  <c r="C34" i="5"/>
  <c r="N8" i="5" l="1" a="1"/>
  <c r="N8" i="5" s="1"/>
  <c r="M8" i="5" a="1"/>
  <c r="M8" i="5" s="1"/>
  <c r="AG9" i="15"/>
  <c r="AG10" i="15"/>
  <c r="AG11" i="15"/>
  <c r="AG12" i="15"/>
  <c r="AG13" i="15"/>
  <c r="AG14" i="15"/>
  <c r="AG15" i="15"/>
  <c r="Q8" i="5" l="1"/>
  <c r="P8" i="5"/>
  <c r="O8" i="8"/>
  <c r="O9" i="8"/>
  <c r="O10" i="8"/>
  <c r="O11" i="8"/>
  <c r="O12" i="8"/>
  <c r="O13" i="8"/>
  <c r="O14" i="8"/>
  <c r="O15" i="8"/>
  <c r="M9" i="8"/>
  <c r="M10" i="8"/>
  <c r="M11" i="8"/>
  <c r="M12" i="8"/>
  <c r="M13" i="8"/>
  <c r="M14" i="8"/>
  <c r="M15" i="8"/>
  <c r="R15" i="17"/>
  <c r="R14" i="17"/>
  <c r="R13" i="17"/>
  <c r="R12" i="17"/>
  <c r="R11" i="17"/>
  <c r="R10" i="17"/>
  <c r="R9" i="17"/>
  <c r="R8" i="17"/>
  <c r="Y9" i="15"/>
  <c r="Y10" i="15"/>
  <c r="Y11" i="15"/>
  <c r="Y12" i="15"/>
  <c r="Y13" i="15"/>
  <c r="Y14" i="15"/>
  <c r="Y15" i="15"/>
  <c r="Y8" i="15"/>
  <c r="T9" i="7"/>
  <c r="T10" i="7"/>
  <c r="T11" i="7"/>
  <c r="T12" i="7"/>
  <c r="T13" i="7"/>
  <c r="T14" i="7"/>
  <c r="T15" i="7"/>
  <c r="T8" i="7"/>
  <c r="P9" i="18"/>
  <c r="P10" i="18"/>
  <c r="P11" i="18"/>
  <c r="P12" i="18"/>
  <c r="P13" i="18"/>
  <c r="P14" i="18"/>
  <c r="P15" i="18"/>
  <c r="P16" i="18" s="1"/>
  <c r="Q15" i="18"/>
  <c r="AB10" i="16"/>
  <c r="T27" i="7"/>
  <c r="S27" i="7"/>
  <c r="R27" i="7"/>
  <c r="Q27" i="7"/>
  <c r="P27" i="7"/>
  <c r="O27" i="7"/>
  <c r="N27" i="7"/>
  <c r="M27" i="7"/>
  <c r="L8" i="18"/>
  <c r="P8" i="18"/>
  <c r="L9" i="18"/>
  <c r="M9" i="18" s="1"/>
  <c r="L10" i="18"/>
  <c r="M10" i="18" s="1"/>
  <c r="L11" i="18"/>
  <c r="U11" i="18"/>
  <c r="L12" i="18"/>
  <c r="M12" i="18" s="1"/>
  <c r="U12" i="18"/>
  <c r="Q12" i="18"/>
  <c r="L13" i="18"/>
  <c r="M13" i="18" s="1"/>
  <c r="Q13" i="18"/>
  <c r="L14" i="18"/>
  <c r="M14" i="18" s="1"/>
  <c r="L15" i="18"/>
  <c r="M15" i="18" s="1"/>
  <c r="Z8" i="16"/>
  <c r="Z9" i="16"/>
  <c r="Z10" i="16"/>
  <c r="Z11" i="16"/>
  <c r="Z12" i="16"/>
  <c r="Z13" i="16"/>
  <c r="Z14" i="16"/>
  <c r="Z15" i="16"/>
  <c r="L8" i="15"/>
  <c r="N8" i="15"/>
  <c r="O8" i="15"/>
  <c r="P8" i="15"/>
  <c r="Q8" i="15"/>
  <c r="U8" i="15"/>
  <c r="V8" i="15"/>
  <c r="AG16" i="15"/>
  <c r="F24" i="3" s="1"/>
  <c r="L9" i="15"/>
  <c r="N9" i="15"/>
  <c r="O9" i="15"/>
  <c r="P9" i="15"/>
  <c r="Q9" i="15"/>
  <c r="U9" i="15"/>
  <c r="V9" i="15"/>
  <c r="L10" i="15"/>
  <c r="N10" i="15"/>
  <c r="O10" i="15"/>
  <c r="P10" i="15"/>
  <c r="Q10" i="15"/>
  <c r="U10" i="15"/>
  <c r="V10" i="15"/>
  <c r="L11" i="15"/>
  <c r="N11" i="15"/>
  <c r="O11" i="15"/>
  <c r="P11" i="15"/>
  <c r="Q11" i="15"/>
  <c r="U11" i="15"/>
  <c r="V11" i="15"/>
  <c r="L12" i="15"/>
  <c r="N12" i="15"/>
  <c r="O12" i="15"/>
  <c r="P12" i="15"/>
  <c r="Q12" i="15"/>
  <c r="U12" i="15"/>
  <c r="V12" i="15"/>
  <c r="L13" i="15"/>
  <c r="N13" i="15"/>
  <c r="O13" i="15"/>
  <c r="P13" i="15"/>
  <c r="Q13" i="15"/>
  <c r="U13" i="15"/>
  <c r="V13" i="15"/>
  <c r="L14" i="15"/>
  <c r="N14" i="15"/>
  <c r="O14" i="15"/>
  <c r="P14" i="15"/>
  <c r="Q14" i="15"/>
  <c r="U14" i="15"/>
  <c r="V14" i="15"/>
  <c r="L15" i="15"/>
  <c r="N15" i="15"/>
  <c r="O15" i="15"/>
  <c r="P15" i="15"/>
  <c r="Q15" i="15"/>
  <c r="U15" i="15"/>
  <c r="V15" i="15"/>
  <c r="L8" i="14"/>
  <c r="M8" i="14"/>
  <c r="N8" i="14"/>
  <c r="O8" i="14"/>
  <c r="P8" i="14"/>
  <c r="Q8" i="14"/>
  <c r="X8" i="14"/>
  <c r="L9" i="14"/>
  <c r="M9" i="14"/>
  <c r="N9" i="14"/>
  <c r="O9" i="14"/>
  <c r="P9" i="14"/>
  <c r="Q9" i="14"/>
  <c r="X9" i="14"/>
  <c r="L10" i="14"/>
  <c r="M10" i="14"/>
  <c r="N10" i="14"/>
  <c r="O10" i="14"/>
  <c r="P10" i="14"/>
  <c r="Q10" i="14"/>
  <c r="X10" i="14"/>
  <c r="L11" i="14"/>
  <c r="M11" i="14"/>
  <c r="N11" i="14"/>
  <c r="O11" i="14"/>
  <c r="P11" i="14"/>
  <c r="Q11" i="14"/>
  <c r="X11" i="14"/>
  <c r="L12" i="14"/>
  <c r="M12" i="14"/>
  <c r="N12" i="14"/>
  <c r="O12" i="14"/>
  <c r="P12" i="14"/>
  <c r="Q12" i="14"/>
  <c r="X12" i="14"/>
  <c r="L13" i="14"/>
  <c r="M13" i="14"/>
  <c r="N13" i="14"/>
  <c r="O13" i="14"/>
  <c r="P13" i="14"/>
  <c r="Q13" i="14"/>
  <c r="X13" i="14"/>
  <c r="L14" i="14"/>
  <c r="M14" i="14"/>
  <c r="N14" i="14"/>
  <c r="O14" i="14"/>
  <c r="P14" i="14"/>
  <c r="Q14" i="14"/>
  <c r="X14" i="14"/>
  <c r="L15" i="14"/>
  <c r="M15" i="14"/>
  <c r="N15" i="14"/>
  <c r="O15" i="14"/>
  <c r="P15" i="14"/>
  <c r="Q15" i="14"/>
  <c r="X15" i="14"/>
  <c r="K8" i="13"/>
  <c r="S8" i="13"/>
  <c r="T8" i="13"/>
  <c r="AF8" i="13"/>
  <c r="K9" i="13"/>
  <c r="X9" i="13" s="1"/>
  <c r="S9" i="13"/>
  <c r="T9" i="13"/>
  <c r="AF9" i="13"/>
  <c r="K10" i="13"/>
  <c r="S10" i="13"/>
  <c r="T10" i="13"/>
  <c r="AF10" i="13"/>
  <c r="K11" i="13"/>
  <c r="W11" i="13" s="1"/>
  <c r="S11" i="13"/>
  <c r="T11" i="13"/>
  <c r="AF11" i="13"/>
  <c r="K12" i="13"/>
  <c r="U12" i="13" s="1"/>
  <c r="S12" i="13"/>
  <c r="T12" i="13"/>
  <c r="AF12" i="13"/>
  <c r="K13" i="13"/>
  <c r="P13" i="13" s="1"/>
  <c r="S13" i="13"/>
  <c r="T13" i="13"/>
  <c r="AF13" i="13"/>
  <c r="K14" i="13"/>
  <c r="S14" i="13"/>
  <c r="T14" i="13"/>
  <c r="AF14" i="13"/>
  <c r="K15" i="13"/>
  <c r="P15" i="13" s="1"/>
  <c r="S15" i="13"/>
  <c r="T15" i="13"/>
  <c r="AF15" i="13"/>
  <c r="K7" i="12"/>
  <c r="M7" i="12" s="1"/>
  <c r="L7" i="12"/>
  <c r="N7" i="12"/>
  <c r="M8" i="12"/>
  <c r="K8" i="12"/>
  <c r="L8" i="12"/>
  <c r="N8" i="12"/>
  <c r="K9" i="12"/>
  <c r="M9" i="12"/>
  <c r="L9" i="12"/>
  <c r="N9" i="12"/>
  <c r="M10" i="12"/>
  <c r="K10" i="12"/>
  <c r="L10" i="12"/>
  <c r="N10" i="12"/>
  <c r="M11" i="12"/>
  <c r="K11" i="12"/>
  <c r="L11" i="12"/>
  <c r="N11" i="12"/>
  <c r="M12" i="12"/>
  <c r="K12" i="12"/>
  <c r="L12" i="12"/>
  <c r="N12" i="12"/>
  <c r="M13" i="12"/>
  <c r="K13" i="12"/>
  <c r="L13" i="12"/>
  <c r="N13" i="12"/>
  <c r="M14" i="12"/>
  <c r="K14" i="12"/>
  <c r="L14" i="12"/>
  <c r="N14" i="12"/>
  <c r="L8" i="11"/>
  <c r="L16" i="11" s="1"/>
  <c r="D30" i="3" s="1"/>
  <c r="M8" i="9"/>
  <c r="M9" i="9"/>
  <c r="M10" i="9"/>
  <c r="M11" i="9"/>
  <c r="M12" i="9"/>
  <c r="M13" i="9"/>
  <c r="M14" i="9"/>
  <c r="M15" i="9"/>
  <c r="M8" i="8"/>
  <c r="K9" i="8"/>
  <c r="L9" i="8" s="1"/>
  <c r="K10" i="8"/>
  <c r="L10" i="8" s="1"/>
  <c r="K11" i="8"/>
  <c r="L11" i="8" s="1"/>
  <c r="K12" i="8"/>
  <c r="L12" i="8" s="1"/>
  <c r="K13" i="8"/>
  <c r="L13" i="8" s="1"/>
  <c r="K14" i="8"/>
  <c r="L14" i="8" s="1"/>
  <c r="K15" i="8"/>
  <c r="L15" i="8" s="1"/>
  <c r="O8" i="7"/>
  <c r="P8" i="7"/>
  <c r="O9" i="7"/>
  <c r="N9" i="7" s="1"/>
  <c r="P9" i="7"/>
  <c r="O10" i="7"/>
  <c r="N10" i="7" s="1"/>
  <c r="P10" i="7"/>
  <c r="O11" i="7"/>
  <c r="N11" i="7" s="1"/>
  <c r="P11" i="7"/>
  <c r="O12" i="7"/>
  <c r="N12" i="7" s="1"/>
  <c r="P12" i="7"/>
  <c r="O13" i="7"/>
  <c r="N13" i="7" s="1"/>
  <c r="P13" i="7"/>
  <c r="O14" i="7"/>
  <c r="N14" i="7" s="1"/>
  <c r="Q14" i="7" s="1" a="1"/>
  <c r="Q14" i="7" s="1"/>
  <c r="AK14" i="7" s="1"/>
  <c r="O15" i="7"/>
  <c r="N15" i="7" s="1"/>
  <c r="P15" i="7"/>
  <c r="M21" i="7"/>
  <c r="N21" i="7"/>
  <c r="O21" i="7"/>
  <c r="P21" i="7"/>
  <c r="Q21" i="7"/>
  <c r="R21" i="7"/>
  <c r="S21" i="7"/>
  <c r="T21" i="7"/>
  <c r="M22" i="7"/>
  <c r="N22" i="7"/>
  <c r="O22" i="7"/>
  <c r="P22" i="7"/>
  <c r="Q22" i="7"/>
  <c r="R22" i="7"/>
  <c r="S22" i="7"/>
  <c r="T22" i="7"/>
  <c r="M23" i="7"/>
  <c r="N23" i="7"/>
  <c r="O23" i="7"/>
  <c r="P23" i="7"/>
  <c r="Q23" i="7"/>
  <c r="R23" i="7"/>
  <c r="S23" i="7"/>
  <c r="T23" i="7"/>
  <c r="M25" i="7"/>
  <c r="N25" i="7"/>
  <c r="O25" i="7"/>
  <c r="P25" i="7"/>
  <c r="Q25" i="7"/>
  <c r="R25" i="7"/>
  <c r="S25" i="7"/>
  <c r="T25" i="7"/>
  <c r="M33" i="7"/>
  <c r="N33" i="7"/>
  <c r="O33" i="7"/>
  <c r="P33" i="7"/>
  <c r="Q33" i="7"/>
  <c r="R33" i="7"/>
  <c r="S33" i="7"/>
  <c r="T33" i="7"/>
  <c r="M34" i="7"/>
  <c r="N34" i="7"/>
  <c r="O34" i="7"/>
  <c r="P34" i="7"/>
  <c r="Q34" i="7"/>
  <c r="R34" i="7"/>
  <c r="S34" i="7"/>
  <c r="T34" i="7"/>
  <c r="M35" i="7"/>
  <c r="N35" i="7"/>
  <c r="O35" i="7"/>
  <c r="P35" i="7"/>
  <c r="Q35" i="7"/>
  <c r="R35" i="7"/>
  <c r="S35" i="7"/>
  <c r="T35" i="7"/>
  <c r="M36" i="7"/>
  <c r="N36" i="7"/>
  <c r="O36" i="7"/>
  <c r="P36" i="7"/>
  <c r="Q36" i="7"/>
  <c r="R36" i="7"/>
  <c r="S36" i="7"/>
  <c r="T36" i="7"/>
  <c r="M37" i="7"/>
  <c r="N37" i="7"/>
  <c r="O37" i="7"/>
  <c r="P37" i="7"/>
  <c r="Q37" i="7"/>
  <c r="R37" i="7"/>
  <c r="S37" i="7"/>
  <c r="T37" i="7"/>
  <c r="M38" i="7"/>
  <c r="N38" i="7"/>
  <c r="O38" i="7"/>
  <c r="P38" i="7"/>
  <c r="Q38" i="7"/>
  <c r="R38" i="7"/>
  <c r="S38" i="7"/>
  <c r="R14" i="7" s="1" a="1"/>
  <c r="R14" i="7" s="1"/>
  <c r="T38" i="7"/>
  <c r="L8" i="6"/>
  <c r="S8" i="6"/>
  <c r="L9" i="6"/>
  <c r="S9" i="6"/>
  <c r="L10" i="6"/>
  <c r="S10" i="6"/>
  <c r="L11" i="6"/>
  <c r="S11" i="6"/>
  <c r="L12" i="6"/>
  <c r="M12" i="6" s="1" a="1"/>
  <c r="M12" i="6" s="1"/>
  <c r="S12" i="6"/>
  <c r="L13" i="6"/>
  <c r="S13" i="6"/>
  <c r="L14" i="6"/>
  <c r="M14" i="6" s="1" a="1"/>
  <c r="M14" i="6" s="1"/>
  <c r="S14" i="6"/>
  <c r="L15" i="6"/>
  <c r="S15" i="6"/>
  <c r="K21" i="6"/>
  <c r="L21" i="6"/>
  <c r="M21" i="6"/>
  <c r="N21" i="6"/>
  <c r="O21" i="6"/>
  <c r="Q21" i="6"/>
  <c r="R21" i="6"/>
  <c r="V21" i="6"/>
  <c r="W21" i="6"/>
  <c r="X21" i="6"/>
  <c r="Y21" i="6"/>
  <c r="Z21" i="6"/>
  <c r="AA21" i="6"/>
  <c r="AB21" i="6"/>
  <c r="AC21" i="6"/>
  <c r="K22" i="6"/>
  <c r="L22" i="6"/>
  <c r="M22" i="6"/>
  <c r="N22" i="6"/>
  <c r="O22" i="6"/>
  <c r="P22" i="6"/>
  <c r="Q22" i="6"/>
  <c r="R22" i="6"/>
  <c r="K23" i="6"/>
  <c r="L23" i="6"/>
  <c r="M23" i="6"/>
  <c r="N23" i="6"/>
  <c r="O23" i="6"/>
  <c r="P23" i="6"/>
  <c r="Q23" i="6"/>
  <c r="R23" i="6"/>
  <c r="K24" i="6"/>
  <c r="L24" i="6"/>
  <c r="M24" i="6"/>
  <c r="N24" i="6"/>
  <c r="O24" i="6"/>
  <c r="P24" i="6"/>
  <c r="Q24" i="6"/>
  <c r="R24" i="6"/>
  <c r="K25" i="6"/>
  <c r="L25" i="6"/>
  <c r="M25" i="6"/>
  <c r="N25" i="6"/>
  <c r="O25" i="6"/>
  <c r="P25" i="6"/>
  <c r="Q25" i="6"/>
  <c r="R25" i="6"/>
  <c r="K26" i="6"/>
  <c r="L26" i="6"/>
  <c r="M26" i="6"/>
  <c r="N26" i="6"/>
  <c r="O26" i="6"/>
  <c r="P26" i="6"/>
  <c r="Q26" i="6"/>
  <c r="R26" i="6"/>
  <c r="K27" i="6"/>
  <c r="L27" i="6"/>
  <c r="M27" i="6"/>
  <c r="N27" i="6"/>
  <c r="O27" i="6"/>
  <c r="P27" i="6"/>
  <c r="Q27" i="6"/>
  <c r="R27" i="6"/>
  <c r="K28" i="6"/>
  <c r="L28" i="6"/>
  <c r="M28" i="6"/>
  <c r="N28" i="6"/>
  <c r="O28" i="6"/>
  <c r="P28" i="6"/>
  <c r="Q28" i="6"/>
  <c r="R28" i="6"/>
  <c r="L9" i="5"/>
  <c r="S9" i="5"/>
  <c r="L10" i="5"/>
  <c r="S10" i="5"/>
  <c r="L11" i="5"/>
  <c r="S11" i="5"/>
  <c r="L12" i="5"/>
  <c r="S12" i="5"/>
  <c r="L13" i="5"/>
  <c r="S13" i="5"/>
  <c r="L14" i="5"/>
  <c r="M14" i="5" s="1" a="1"/>
  <c r="M14" i="5" s="1"/>
  <c r="S14" i="5"/>
  <c r="L15" i="5"/>
  <c r="M15" i="5" s="1" a="1"/>
  <c r="M15" i="5" s="1"/>
  <c r="S15" i="5"/>
  <c r="K21" i="5"/>
  <c r="L21" i="5"/>
  <c r="M21" i="5"/>
  <c r="N21" i="5"/>
  <c r="O21" i="5"/>
  <c r="P21" i="5"/>
  <c r="Q21" i="5"/>
  <c r="R21" i="5"/>
  <c r="W21" i="5"/>
  <c r="X21" i="5"/>
  <c r="Y21" i="5"/>
  <c r="Z21" i="5"/>
  <c r="AA21" i="5"/>
  <c r="AB21" i="5"/>
  <c r="AC21" i="5"/>
  <c r="K22" i="5"/>
  <c r="L22" i="5"/>
  <c r="M22" i="5"/>
  <c r="N22" i="5"/>
  <c r="O22" i="5"/>
  <c r="P22" i="5"/>
  <c r="Q22" i="5"/>
  <c r="R22" i="5"/>
  <c r="W22" i="5"/>
  <c r="X22" i="5"/>
  <c r="Y22" i="5"/>
  <c r="Z22" i="5"/>
  <c r="AA22" i="5"/>
  <c r="AB22" i="5"/>
  <c r="AC22" i="5"/>
  <c r="K23" i="5"/>
  <c r="L23" i="5"/>
  <c r="M23" i="5"/>
  <c r="N23" i="5"/>
  <c r="O23" i="5"/>
  <c r="P23" i="5"/>
  <c r="Q23" i="5"/>
  <c r="R23" i="5"/>
  <c r="W23" i="5"/>
  <c r="X23" i="5"/>
  <c r="Y23" i="5"/>
  <c r="Z23" i="5"/>
  <c r="AA23" i="5"/>
  <c r="AB23" i="5"/>
  <c r="AC23" i="5"/>
  <c r="K24" i="5"/>
  <c r="L24" i="5"/>
  <c r="M24" i="5"/>
  <c r="N24" i="5"/>
  <c r="O24" i="5"/>
  <c r="P24" i="5"/>
  <c r="Q24" i="5"/>
  <c r="R24" i="5"/>
  <c r="W24" i="5"/>
  <c r="X24" i="5"/>
  <c r="Y24" i="5"/>
  <c r="Z24" i="5"/>
  <c r="AA24" i="5"/>
  <c r="AB24" i="5"/>
  <c r="AC24" i="5"/>
  <c r="K25" i="5"/>
  <c r="L25" i="5"/>
  <c r="M25" i="5"/>
  <c r="N25" i="5"/>
  <c r="O25" i="5"/>
  <c r="P25" i="5"/>
  <c r="Q25" i="5"/>
  <c r="R25" i="5"/>
  <c r="W25" i="5"/>
  <c r="X25" i="5"/>
  <c r="Y25" i="5"/>
  <c r="Z25" i="5"/>
  <c r="AA25" i="5"/>
  <c r="AB25" i="5"/>
  <c r="AC25" i="5"/>
  <c r="K26" i="5"/>
  <c r="L26" i="5"/>
  <c r="M26" i="5"/>
  <c r="N26" i="5"/>
  <c r="O26" i="5"/>
  <c r="P26" i="5"/>
  <c r="Q26" i="5"/>
  <c r="R26" i="5"/>
  <c r="W26" i="5"/>
  <c r="X26" i="5"/>
  <c r="Y26" i="5"/>
  <c r="Z26" i="5"/>
  <c r="AA26" i="5"/>
  <c r="AB26" i="5"/>
  <c r="AC26" i="5"/>
  <c r="K27" i="5"/>
  <c r="L27" i="5"/>
  <c r="M27" i="5"/>
  <c r="N27" i="5"/>
  <c r="O27" i="5"/>
  <c r="P27" i="5"/>
  <c r="Q27" i="5"/>
  <c r="R27" i="5"/>
  <c r="W27" i="5"/>
  <c r="X27" i="5"/>
  <c r="Y27" i="5"/>
  <c r="Z27" i="5"/>
  <c r="AA27" i="5"/>
  <c r="AB27" i="5"/>
  <c r="AC27" i="5"/>
  <c r="K28" i="5"/>
  <c r="L28" i="5"/>
  <c r="M28" i="5"/>
  <c r="N28" i="5"/>
  <c r="O28" i="5"/>
  <c r="P28" i="5"/>
  <c r="Q28" i="5"/>
  <c r="R28" i="5"/>
  <c r="V28" i="5"/>
  <c r="W28" i="5"/>
  <c r="X28" i="5"/>
  <c r="Y28" i="5"/>
  <c r="Z28" i="5"/>
  <c r="AA28" i="5"/>
  <c r="AB28" i="5"/>
  <c r="AC28" i="5"/>
  <c r="Q10" i="18"/>
  <c r="U10" i="18"/>
  <c r="Q14" i="18"/>
  <c r="Q11" i="18"/>
  <c r="M11" i="18"/>
  <c r="V11" i="17"/>
  <c r="AB14" i="16"/>
  <c r="AB15" i="16"/>
  <c r="AB11" i="16"/>
  <c r="AB13" i="16"/>
  <c r="AB12" i="16"/>
  <c r="U13" i="18"/>
  <c r="U15" i="18"/>
  <c r="U14" i="18"/>
  <c r="U8" i="18"/>
  <c r="T16" i="13" l="1"/>
  <c r="S16" i="13"/>
  <c r="M16" i="8"/>
  <c r="D31" i="3" s="1"/>
  <c r="Z16" i="16"/>
  <c r="F25" i="3" s="1"/>
  <c r="Y16" i="15"/>
  <c r="O16" i="15"/>
  <c r="P16" i="14"/>
  <c r="M16" i="9"/>
  <c r="F32" i="3" s="1"/>
  <c r="O16" i="8"/>
  <c r="F31" i="3" s="1"/>
  <c r="M8" i="18"/>
  <c r="M16" i="18" s="1"/>
  <c r="L16" i="18"/>
  <c r="Q16" i="15"/>
  <c r="P16" i="15"/>
  <c r="N16" i="15"/>
  <c r="L16" i="15"/>
  <c r="V16" i="15"/>
  <c r="U16" i="15"/>
  <c r="X16" i="14"/>
  <c r="F23" i="3" s="1"/>
  <c r="Q16" i="14"/>
  <c r="L16" i="14"/>
  <c r="O16" i="14"/>
  <c r="N16" i="14"/>
  <c r="M16" i="14"/>
  <c r="K16" i="13"/>
  <c r="AF16" i="13"/>
  <c r="F22" i="3" s="1"/>
  <c r="P16" i="7"/>
  <c r="N8" i="7"/>
  <c r="N16" i="7" s="1"/>
  <c r="O16" i="7"/>
  <c r="T16" i="7"/>
  <c r="L16" i="6"/>
  <c r="S16" i="6"/>
  <c r="F20" i="3" s="1"/>
  <c r="L16" i="5"/>
  <c r="S16" i="5"/>
  <c r="F19" i="3" s="1"/>
  <c r="W11" i="17"/>
  <c r="X11" i="17"/>
  <c r="W15" i="13"/>
  <c r="O15" i="13"/>
  <c r="N13" i="5" a="1"/>
  <c r="N13" i="5" s="1"/>
  <c r="M13" i="5" a="1"/>
  <c r="M13" i="5" s="1"/>
  <c r="N11" i="5" a="1"/>
  <c r="N11" i="5" s="1"/>
  <c r="M11" i="5" a="1"/>
  <c r="M11" i="5" s="1"/>
  <c r="N8" i="13"/>
  <c r="L8" i="13"/>
  <c r="N10" i="5" a="1"/>
  <c r="N10" i="5" s="1"/>
  <c r="M10" i="5" a="1"/>
  <c r="M10" i="5" s="1"/>
  <c r="M11" i="6" a="1"/>
  <c r="M11" i="6" s="1"/>
  <c r="N11" i="6" a="1"/>
  <c r="N11" i="6" s="1"/>
  <c r="O13" i="13"/>
  <c r="L13" i="13"/>
  <c r="N12" i="5" a="1"/>
  <c r="N12" i="5" s="1"/>
  <c r="M12" i="5" a="1"/>
  <c r="M12" i="5" s="1"/>
  <c r="O11" i="13"/>
  <c r="L11" i="13"/>
  <c r="N11" i="13"/>
  <c r="V11" i="13"/>
  <c r="N9" i="5" a="1"/>
  <c r="N9" i="5" s="1"/>
  <c r="M9" i="5" a="1"/>
  <c r="M9" i="5" s="1"/>
  <c r="M10" i="6" a="1"/>
  <c r="M10" i="6" s="1"/>
  <c r="N10" i="6" a="1"/>
  <c r="N10" i="6" s="1"/>
  <c r="N14" i="13"/>
  <c r="L14" i="13"/>
  <c r="M13" i="6" a="1"/>
  <c r="M13" i="6" s="1"/>
  <c r="N13" i="6" a="1"/>
  <c r="N13" i="6" s="1"/>
  <c r="M15" i="6" a="1"/>
  <c r="M15" i="6" s="1"/>
  <c r="N15" i="6" a="1"/>
  <c r="N15" i="6" s="1"/>
  <c r="M9" i="6" a="1"/>
  <c r="M9" i="6" s="1"/>
  <c r="N9" i="6" a="1"/>
  <c r="N9" i="6" s="1"/>
  <c r="M15" i="13"/>
  <c r="L15" i="13"/>
  <c r="Q12" i="13"/>
  <c r="L12" i="13"/>
  <c r="M10" i="13"/>
  <c r="L10" i="13"/>
  <c r="W9" i="13"/>
  <c r="L9" i="13"/>
  <c r="M8" i="13"/>
  <c r="Q10" i="13"/>
  <c r="M12" i="13"/>
  <c r="Q9" i="18"/>
  <c r="Q8" i="18"/>
  <c r="U9" i="18"/>
  <c r="U16" i="18" s="1"/>
  <c r="F27" i="3" s="1"/>
  <c r="M8" i="6" a="1"/>
  <c r="M8" i="6" s="1"/>
  <c r="N8" i="6" a="1"/>
  <c r="N8" i="6" s="1"/>
  <c r="V9" i="17"/>
  <c r="X9" i="17" s="1"/>
  <c r="U14" i="16"/>
  <c r="U12" i="16"/>
  <c r="S14" i="14"/>
  <c r="M14" i="13"/>
  <c r="V12" i="13"/>
  <c r="U15" i="16"/>
  <c r="X13" i="13"/>
  <c r="O9" i="13"/>
  <c r="O12" i="13"/>
  <c r="W8" i="13"/>
  <c r="V9" i="13"/>
  <c r="U10" i="13"/>
  <c r="R12" i="13"/>
  <c r="Q13" i="13"/>
  <c r="S15" i="14"/>
  <c r="AD10" i="15"/>
  <c r="AB10" i="15"/>
  <c r="AD9" i="15"/>
  <c r="AB9" i="15"/>
  <c r="V14" i="17"/>
  <c r="U8" i="16"/>
  <c r="Y8" i="16" s="1"/>
  <c r="Y16" i="16" s="1"/>
  <c r="E25" i="3" s="1"/>
  <c r="V13" i="13"/>
  <c r="Q9" i="13"/>
  <c r="W13" i="13"/>
  <c r="R9" i="13"/>
  <c r="P12" i="13"/>
  <c r="O8" i="13"/>
  <c r="P8" i="13"/>
  <c r="X12" i="13"/>
  <c r="U13" i="13"/>
  <c r="S11" i="14"/>
  <c r="S10" i="14"/>
  <c r="U9" i="16"/>
  <c r="M13" i="13"/>
  <c r="N13" i="13"/>
  <c r="N9" i="13"/>
  <c r="P9" i="13"/>
  <c r="M9" i="13"/>
  <c r="W12" i="13"/>
  <c r="X8" i="13"/>
  <c r="U9" i="13"/>
  <c r="N12" i="13"/>
  <c r="R13" i="13"/>
  <c r="O10" i="13"/>
  <c r="U10" i="16"/>
  <c r="R13" i="7" a="1"/>
  <c r="R13" i="7" s="1"/>
  <c r="R11" i="7" a="1"/>
  <c r="R11" i="7" s="1"/>
  <c r="R8" i="7" a="1"/>
  <c r="R8" i="7" s="1"/>
  <c r="Q15" i="7" a="1"/>
  <c r="Q15" i="7" s="1"/>
  <c r="AK15" i="7" s="1"/>
  <c r="Q10" i="7" a="1"/>
  <c r="Q10" i="7" s="1"/>
  <c r="AK10" i="7" s="1"/>
  <c r="Q12" i="7" a="1"/>
  <c r="Q12" i="7" s="1"/>
  <c r="AK12" i="7" s="1"/>
  <c r="R10" i="7" a="1"/>
  <c r="R10" i="7" s="1"/>
  <c r="R12" i="7" a="1"/>
  <c r="R12" i="7" s="1"/>
  <c r="Q8" i="7" a="1"/>
  <c r="Q8" i="7" s="1"/>
  <c r="Q13" i="7" a="1"/>
  <c r="Q13" i="7" s="1"/>
  <c r="R9" i="7" a="1"/>
  <c r="R9" i="7" s="1"/>
  <c r="Q9" i="7" a="1"/>
  <c r="Q9" i="7" s="1"/>
  <c r="AK9" i="7" s="1"/>
  <c r="R15" i="7" a="1"/>
  <c r="R15" i="7" s="1"/>
  <c r="Q11" i="7" a="1"/>
  <c r="Q11" i="7" s="1"/>
  <c r="V12" i="17"/>
  <c r="T12" i="14"/>
  <c r="AD14" i="15"/>
  <c r="AB14" i="15"/>
  <c r="AD13" i="15"/>
  <c r="AB13" i="15"/>
  <c r="AD12" i="15"/>
  <c r="AB12" i="15"/>
  <c r="AD11" i="15"/>
  <c r="AB11" i="15"/>
  <c r="AC10" i="15"/>
  <c r="AC9" i="15"/>
  <c r="S13" i="14"/>
  <c r="U11" i="16"/>
  <c r="T14" i="14"/>
  <c r="T13" i="14"/>
  <c r="AD15" i="15"/>
  <c r="AB15" i="15"/>
  <c r="AC14" i="15"/>
  <c r="AC13" i="15"/>
  <c r="AC12" i="15"/>
  <c r="AC11" i="15"/>
  <c r="V15" i="17"/>
  <c r="V13" i="17"/>
  <c r="V10" i="17"/>
  <c r="T15" i="14"/>
  <c r="S12" i="14"/>
  <c r="S9" i="14"/>
  <c r="T8" i="14"/>
  <c r="T16" i="14" s="1"/>
  <c r="AC15" i="15"/>
  <c r="AD8" i="15"/>
  <c r="AB8" i="15"/>
  <c r="AC8" i="15"/>
  <c r="M11" i="13"/>
  <c r="R11" i="13"/>
  <c r="X11" i="13"/>
  <c r="R14" i="13"/>
  <c r="Q14" i="13"/>
  <c r="V15" i="13"/>
  <c r="U11" i="13"/>
  <c r="O14" i="13"/>
  <c r="W10" i="13"/>
  <c r="X10" i="13"/>
  <c r="P10" i="13"/>
  <c r="X15" i="13"/>
  <c r="Q15" i="13"/>
  <c r="U15" i="13"/>
  <c r="X14" i="13"/>
  <c r="W14" i="13"/>
  <c r="V14" i="13"/>
  <c r="R10" i="13"/>
  <c r="R15" i="13"/>
  <c r="N15" i="13"/>
  <c r="Q11" i="13"/>
  <c r="P11" i="13"/>
  <c r="U14" i="13"/>
  <c r="P14" i="13"/>
  <c r="V10" i="13"/>
  <c r="N10" i="13"/>
  <c r="U13" i="16"/>
  <c r="Q8" i="13"/>
  <c r="R8" i="13"/>
  <c r="U8" i="13"/>
  <c r="V8" i="13"/>
  <c r="T11" i="14"/>
  <c r="S8" i="14"/>
  <c r="S16" i="14" s="1"/>
  <c r="V8" i="17"/>
  <c r="Z8" i="17" s="1"/>
  <c r="T10" i="14"/>
  <c r="T9" i="14"/>
  <c r="AC8" i="17" l="1"/>
  <c r="Z16" i="17"/>
  <c r="E26" i="3" s="1"/>
  <c r="Q16" i="18"/>
  <c r="U16" i="16"/>
  <c r="AC16" i="15"/>
  <c r="AB16" i="15"/>
  <c r="U16" i="13"/>
  <c r="Q16" i="13"/>
  <c r="L16" i="13"/>
  <c r="X8" i="17"/>
  <c r="V16" i="17"/>
  <c r="AD16" i="15"/>
  <c r="N16" i="13"/>
  <c r="W16" i="13"/>
  <c r="R16" i="13"/>
  <c r="X16" i="13"/>
  <c r="P16" i="13"/>
  <c r="O16" i="13"/>
  <c r="M16" i="13"/>
  <c r="V16" i="13"/>
  <c r="AK8" i="7"/>
  <c r="AN8" i="7" s="1"/>
  <c r="Q16" i="7"/>
  <c r="R16" i="7"/>
  <c r="M16" i="6"/>
  <c r="M16" i="5"/>
  <c r="P11" i="5"/>
  <c r="Q11" i="5"/>
  <c r="P13" i="5"/>
  <c r="Q13" i="5"/>
  <c r="Q9" i="5"/>
  <c r="P9" i="5"/>
  <c r="Q10" i="5"/>
  <c r="P10" i="5"/>
  <c r="P12" i="5"/>
  <c r="Q12" i="5"/>
  <c r="W15" i="17"/>
  <c r="X15" i="17"/>
  <c r="W12" i="17"/>
  <c r="X12" i="17"/>
  <c r="W14" i="17"/>
  <c r="X14" i="17"/>
  <c r="W10" i="17"/>
  <c r="X10" i="17"/>
  <c r="W13" i="17"/>
  <c r="X13" i="17"/>
  <c r="W10" i="16"/>
  <c r="V10" i="16"/>
  <c r="W12" i="16"/>
  <c r="V12" i="16"/>
  <c r="W14" i="16"/>
  <c r="V14" i="16"/>
  <c r="W15" i="16"/>
  <c r="V15" i="16"/>
  <c r="W8" i="16"/>
  <c r="X8" i="16" s="1"/>
  <c r="X16" i="16" s="1"/>
  <c r="D25" i="3" s="1"/>
  <c r="V8" i="16"/>
  <c r="W9" i="16"/>
  <c r="V9" i="16"/>
  <c r="W13" i="16"/>
  <c r="V13" i="16"/>
  <c r="W11" i="16"/>
  <c r="V11" i="16"/>
  <c r="P10" i="6"/>
  <c r="Q10" i="6"/>
  <c r="P11" i="6"/>
  <c r="Q11" i="6"/>
  <c r="Q9" i="6"/>
  <c r="P9" i="6"/>
  <c r="P15" i="6"/>
  <c r="Q15" i="6"/>
  <c r="Q8" i="6"/>
  <c r="P8" i="6"/>
  <c r="Q13" i="6"/>
  <c r="P13" i="6"/>
  <c r="AA15" i="13"/>
  <c r="AB15" i="13"/>
  <c r="Y15" i="13"/>
  <c r="Z15" i="13"/>
  <c r="AA12" i="13"/>
  <c r="Z12" i="13"/>
  <c r="Y12" i="13"/>
  <c r="AB12" i="13"/>
  <c r="AA8" i="13"/>
  <c r="AB8" i="13"/>
  <c r="Y8" i="13"/>
  <c r="AE8" i="13" s="1"/>
  <c r="Z8" i="13"/>
  <c r="Z10" i="13"/>
  <c r="AA10" i="13"/>
  <c r="AB10" i="13"/>
  <c r="Y10" i="13"/>
  <c r="AB11" i="13"/>
  <c r="Y11" i="13"/>
  <c r="Z11" i="13"/>
  <c r="AA11" i="13"/>
  <c r="AA9" i="13"/>
  <c r="AB9" i="13"/>
  <c r="Y9" i="13"/>
  <c r="Z9" i="13"/>
  <c r="AB14" i="13"/>
  <c r="Y14" i="13"/>
  <c r="Z14" i="13"/>
  <c r="AA14" i="13"/>
  <c r="AB13" i="13"/>
  <c r="Z13" i="13"/>
  <c r="Y13" i="13"/>
  <c r="AA13" i="13"/>
  <c r="N12" i="6" a="1"/>
  <c r="N12" i="6" s="1"/>
  <c r="AK11" i="7"/>
  <c r="AK13" i="7"/>
  <c r="W9" i="17"/>
  <c r="W8" i="17"/>
  <c r="Y8" i="17" s="1"/>
  <c r="Y16" i="17" s="1"/>
  <c r="D26" i="3" s="1"/>
  <c r="AE9" i="15"/>
  <c r="AF9" i="15" s="1"/>
  <c r="AE14" i="15"/>
  <c r="AF14" i="15" s="1"/>
  <c r="AE15" i="15"/>
  <c r="AF15" i="15" s="1"/>
  <c r="AE10" i="15"/>
  <c r="AF10" i="15" s="1"/>
  <c r="AE13" i="15"/>
  <c r="AF13" i="15" s="1"/>
  <c r="AE12" i="15"/>
  <c r="AF12" i="15" s="1"/>
  <c r="V8" i="5"/>
  <c r="AO13" i="7"/>
  <c r="AO10" i="7"/>
  <c r="AO11" i="7"/>
  <c r="AE8" i="15"/>
  <c r="AE11" i="15"/>
  <c r="AF11" i="15" s="1"/>
  <c r="AM8" i="7" l="1"/>
  <c r="AM16" i="7" s="1"/>
  <c r="D21" i="3" s="1"/>
  <c r="AL8" i="7"/>
  <c r="AL16" i="7" s="1"/>
  <c r="AQ8" i="7"/>
  <c r="AN16" i="7"/>
  <c r="E21" i="3" s="1"/>
  <c r="AO8" i="7"/>
  <c r="AC8" i="13"/>
  <c r="AC16" i="13" s="1"/>
  <c r="AE16" i="13"/>
  <c r="E22" i="3" s="1"/>
  <c r="AD8" i="13"/>
  <c r="AD16" i="13" s="1"/>
  <c r="D22" i="3" s="1"/>
  <c r="X16" i="17"/>
  <c r="W16" i="17"/>
  <c r="V16" i="16"/>
  <c r="W16" i="16"/>
  <c r="AF8" i="15"/>
  <c r="AE16" i="15"/>
  <c r="Z16" i="13"/>
  <c r="Y16" i="13"/>
  <c r="AB16" i="13"/>
  <c r="AA16" i="13"/>
  <c r="AK16" i="7"/>
  <c r="AB8" i="16"/>
  <c r="AB9" i="16"/>
  <c r="P12" i="6"/>
  <c r="Q12" i="6"/>
  <c r="V13" i="5"/>
  <c r="V9" i="5"/>
  <c r="V12" i="5"/>
  <c r="V10" i="5"/>
  <c r="V11" i="5"/>
  <c r="AH10" i="13"/>
  <c r="AH8" i="13"/>
  <c r="AH9" i="13"/>
  <c r="N14" i="6" a="1"/>
  <c r="N14" i="6" s="1"/>
  <c r="N16" i="6" s="1"/>
  <c r="N15" i="5" a="1"/>
  <c r="N15" i="5" s="1"/>
  <c r="N14" i="5" a="1"/>
  <c r="N14" i="5" s="1"/>
  <c r="AO12" i="7"/>
  <c r="AO9" i="7"/>
  <c r="AF16" i="15" l="1"/>
  <c r="E24" i="3" s="1"/>
  <c r="C14" i="3" s="1"/>
  <c r="AA8" i="15"/>
  <c r="AA16" i="15" s="1"/>
  <c r="D24" i="3" s="1"/>
  <c r="Z8" i="15"/>
  <c r="Z16" i="15" s="1"/>
  <c r="N16" i="5"/>
  <c r="AO16" i="7"/>
  <c r="F21" i="3" s="1"/>
  <c r="C16" i="3" s="1"/>
  <c r="Q14" i="5"/>
  <c r="P14" i="5"/>
  <c r="P15" i="5"/>
  <c r="Q15" i="5"/>
  <c r="AH14" i="13"/>
  <c r="AH12" i="13"/>
  <c r="AH11" i="13"/>
  <c r="AH13" i="13"/>
  <c r="AH15" i="13"/>
  <c r="P14" i="6"/>
  <c r="P16" i="6" s="1"/>
  <c r="Q14" i="6"/>
  <c r="Q16" i="6" s="1"/>
  <c r="D20" i="3" s="1"/>
  <c r="V14" i="5"/>
  <c r="V15" i="5"/>
  <c r="P16" i="5" l="1"/>
  <c r="Q16" i="5"/>
  <c r="D19" i="3" s="1"/>
  <c r="C1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12" authorId="0" shapeId="0" xr:uid="{00000000-0006-0000-0100-000001000000}">
      <text>
        <r>
          <rPr>
            <sz val="9"/>
            <color indexed="81"/>
            <rFont val="Tahoma"/>
            <family val="2"/>
          </rPr>
          <t xml:space="preserve">Leave blank if submitting this project for pre-approval.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K6" authorId="0" shapeId="0" xr:uid="{00000000-0006-0000-0400-000001000000}">
      <text>
        <r>
          <rPr>
            <sz val="9"/>
            <color indexed="81"/>
            <rFont val="Tahoma"/>
            <family val="2"/>
          </rPr>
          <t xml:space="preserve">For self contained ice machines the minimum ice production rate must be greater than or equal to 50lbs/day to qualify. For all other machine types, the minimum production rate is 200lbs/day.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Dombrosky</author>
  </authors>
  <commentList>
    <comment ref="L20" authorId="0" shapeId="0" xr:uid="{C79B9860-1B95-45CF-B796-72014C9C6969}">
      <text>
        <r>
          <rPr>
            <b/>
            <sz val="9"/>
            <color indexed="81"/>
            <rFont val="Tahoma"/>
            <family val="2"/>
          </rPr>
          <t>Nicholas Dombrosky:</t>
        </r>
        <r>
          <rPr>
            <sz val="9"/>
            <color indexed="81"/>
            <rFont val="Tahoma"/>
            <family val="2"/>
          </rPr>
          <t xml:space="preserve">
Energy Star calculator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G6" authorId="0" shapeId="0" xr:uid="{00000000-0006-0000-0900-000001000000}">
      <text>
        <r>
          <rPr>
            <b/>
            <sz val="9"/>
            <color indexed="81"/>
            <rFont val="Tahoma"/>
            <family val="2"/>
          </rPr>
          <t>Class A</t>
        </r>
        <r>
          <rPr>
            <sz val="9"/>
            <color indexed="81"/>
            <rFont val="Tahoma"/>
            <family val="2"/>
          </rPr>
          <t xml:space="preserve"> - refrigerated bottled or canned beverage vending machine that is fully cooled, and is not a combination vending machine.
</t>
        </r>
        <r>
          <rPr>
            <b/>
            <sz val="9"/>
            <color indexed="81"/>
            <rFont val="Tahoma"/>
            <family val="2"/>
          </rPr>
          <t>Class B</t>
        </r>
        <r>
          <rPr>
            <sz val="9"/>
            <color indexed="81"/>
            <rFont val="Tahoma"/>
            <family val="2"/>
          </rPr>
          <t xml:space="preserve"> - refrigerated bottled or canned beverage vending machine not considered to be Class A, and is not a combination vending machine.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 Walters</author>
  </authors>
  <commentList>
    <comment ref="D25" authorId="0" shapeId="0" xr:uid="{CA0AF19E-5558-45A6-B669-FC516BA3FE05}">
      <text>
        <r>
          <rPr>
            <sz val="9"/>
            <color indexed="81"/>
            <rFont val="Tahoma"/>
            <family val="2"/>
          </rPr>
          <t>For demand reduction during the period of June 1 – August 30: M – Fr 2:00 – 6:00 pm (Excludes Holidays and Weekends)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 Walters</author>
  </authors>
  <commentList>
    <comment ref="D25" authorId="0" shapeId="0" xr:uid="{77E4F105-561E-461E-B0AD-E09001422E1F}">
      <text>
        <r>
          <rPr>
            <sz val="9"/>
            <color indexed="81"/>
            <rFont val="Tahoma"/>
            <family val="2"/>
          </rPr>
          <t>For demand reduction during the period of June 1 – August 30: M – Fr 2:00 – 6:00 pm (Excludes Holidays and Weekends)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 Walters</author>
  </authors>
  <commentList>
    <comment ref="D25" authorId="0" shapeId="0" xr:uid="{6DEC9CE8-78B9-478D-998A-A0D130AD793C}">
      <text>
        <r>
          <rPr>
            <sz val="9"/>
            <color indexed="81"/>
            <rFont val="Tahoma"/>
            <family val="2"/>
          </rPr>
          <t>For demand reduction during the period of June 1 – August 30: M – Fr 2:00 – 6:00 pm (Excludes Holidays and Weekends)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<sst xmlns="http://schemas.openxmlformats.org/spreadsheetml/2006/main" count="2639" uniqueCount="799">
  <si>
    <t>Engineering Log</t>
  </si>
  <si>
    <t>Version</t>
  </si>
  <si>
    <t>Date</t>
  </si>
  <si>
    <t>Engineer</t>
  </si>
  <si>
    <t>QC Engineer</t>
  </si>
  <si>
    <t>Notes</t>
  </si>
  <si>
    <t>3.3.1</t>
  </si>
  <si>
    <t>-</t>
  </si>
  <si>
    <t>Original Sodexo Version</t>
  </si>
  <si>
    <t>Andrew Gilmore</t>
  </si>
  <si>
    <t>Ryan Novosedliak</t>
  </si>
  <si>
    <t>Ice Machines - switched sizes on energy efficient batch types for p10-12 remote condensind ice machines (did not affect calcs, just to make table accurate)</t>
  </si>
  <si>
    <t>Fryers - Updated Energy efficient model Indle kw and EFF to match with 2019 mid atlantic TRM. Changed CF to 1, since no CF noted in 2019 midatlantic trm</t>
  </si>
  <si>
    <t>Griddles - Changed CF to 1, since no CF noted in 2019 midatlantic trm</t>
  </si>
  <si>
    <t>Hot Food Holding Cabinets - Changed CF to 1, since no CF noted in 2019 midatlantic trm</t>
  </si>
  <si>
    <t>Commercial refrigerator - changed values for efficient cases for PY9-PY12 to match those of PY8, since no updated values for efficient cases given in 2016 TRM</t>
  </si>
  <si>
    <t>Commercial freezer- changed values for efficient cases for PY9-PY12 to match those of PY8, since no updated values for efficient cases given in 2016 TRM</t>
  </si>
  <si>
    <t>Updated Data Export to function correctly</t>
  </si>
  <si>
    <t>Updated Eficient calculations for PY9-PY12 for refrigerators and freezers to match Energy Star Standards as noted by ADM.</t>
  </si>
  <si>
    <t>4.0</t>
  </si>
  <si>
    <t>Sarah Speck</t>
  </si>
  <si>
    <t>Added Pre-Rinse Sprayers to calculator</t>
  </si>
  <si>
    <t>Updated all existing measure to Phase IV TRM</t>
  </si>
  <si>
    <t>Updated ES Vending Machines to match ES current qualifications; not in Phase IV TRM</t>
  </si>
  <si>
    <t>Ashley Faircloth</t>
  </si>
  <si>
    <t>Updated all kW, kWh, and incentive to round appropriately. Loader mappings</t>
  </si>
  <si>
    <t>INSTRUCTIONS</t>
  </si>
  <si>
    <t xml:space="preserve">Worksheet Version  </t>
  </si>
  <si>
    <t>Energy Solutions for Business Program</t>
  </si>
  <si>
    <t xml:space="preserve">Food Service Incentive Program applicants must submit a completed, electronic copy of the Food Service Equipment Worksheet along with an online application.  The most up-to-date version of this calculator tool can be found on the Program website: www.energysavePA-business.com.
Use the calculator index to find the type of equipment being installed.  Click on the equipment type label to bring up the appropriate calculator worksheet.  The Project Summary tab displays the calculated incentive as well as the estimated annual energy and demand savings. Only new, ENERGY STAR®-certified equipment is eligible for incentives through the Food Services incentive program. 
For more information regarding the Food Service incentive program, we encourage you to please visit energysavePA-business.com.  If you have questions regarding this calculator, please call 
844-323-6399 or send us an email to energysavePA@franklinenergy.com. </t>
  </si>
  <si>
    <t>Calculator Key</t>
  </si>
  <si>
    <t>Yellow Cells</t>
  </si>
  <si>
    <t>This is a read only or calculated field</t>
  </si>
  <si>
    <t>White Cells</t>
  </si>
  <si>
    <t>Equipment input fields</t>
  </si>
  <si>
    <t>Gray Cells</t>
  </si>
  <si>
    <t>Cell not applicable to the particular piece of proposed equipment</t>
  </si>
  <si>
    <t>Red Cells</t>
  </si>
  <si>
    <t>Indicates a required field was left blank or the proposed equipment does not qualify for incentives</t>
  </si>
  <si>
    <t>Calculator Tabs</t>
  </si>
  <si>
    <r>
      <rPr>
        <b/>
        <sz val="10"/>
        <color indexed="8"/>
        <rFont val="Calibri"/>
        <family val="2"/>
      </rPr>
      <t>Project Summary:</t>
    </r>
    <r>
      <rPr>
        <sz val="10"/>
        <color indexed="8"/>
        <rFont val="Calibri"/>
        <family val="2"/>
      </rPr>
      <t xml:space="preserve"> The Project Summary tab shows the estimated incentive, demand and energy savings.  Information such as the customer name, building name and the facility address should be entered on the Project Summary worksheet.  
Clicking on the title of each equipment type on the Project Summary tab will bring up the appropriate calculator worksheet.
Each type of Appliances and Electronics measure has its own calculation worksheet.  Complete one row for every unique project, and complete all white cells in each row to estimate the annual energy savings and incentive. 
The Project Summary tab shows the estimated incentive, demand and energy savings. </t>
    </r>
  </si>
  <si>
    <t>Project Estimated Summary</t>
  </si>
  <si>
    <t xml:space="preserve"> Customer Name   </t>
  </si>
  <si>
    <t xml:space="preserve"> Building Name   </t>
  </si>
  <si>
    <t xml:space="preserve"> Building Address   </t>
  </si>
  <si>
    <t xml:space="preserve"> Project ID</t>
  </si>
  <si>
    <t xml:space="preserve"> External ID</t>
  </si>
  <si>
    <t xml:space="preserve"> Invoice Date</t>
  </si>
  <si>
    <t xml:space="preserve"> Total Estimated Annual Energy Savings (kWh)   </t>
  </si>
  <si>
    <t xml:space="preserve"> Total Demand Reduction (kW)</t>
  </si>
  <si>
    <t xml:space="preserve"> Total Calculated Project Incentive</t>
  </si>
  <si>
    <t>Quantity</t>
  </si>
  <si>
    <t>Demand Savings (kW)</t>
  </si>
  <si>
    <t>Energy Savings (kWh)</t>
  </si>
  <si>
    <t>Incentive</t>
  </si>
  <si>
    <t>Commercial Reach-in Refrigerators</t>
  </si>
  <si>
    <t>Commercial Reach-in Freezers</t>
  </si>
  <si>
    <t>Ice Machines</t>
  </si>
  <si>
    <t>Refrigerated Case Night Covers</t>
  </si>
  <si>
    <t>Strip Curtains for Walk-in Freezers &amp; Coolers</t>
  </si>
  <si>
    <t>Anti-Sweat Heater Controls</t>
  </si>
  <si>
    <t>Vending Machine Controls</t>
  </si>
  <si>
    <t>Combination Ovens</t>
  </si>
  <si>
    <t>Convection Ovens</t>
  </si>
  <si>
    <t>Steam Cookers</t>
  </si>
  <si>
    <t>Fryers</t>
  </si>
  <si>
    <t>Griddles</t>
  </si>
  <si>
    <t>Pre-Rinse Sprayers</t>
  </si>
  <si>
    <t>Hot Food Holding Cabinet</t>
  </si>
  <si>
    <t>Franklin Energy 844-323-6399 - energysavePA@franklinenergy.com</t>
  </si>
  <si>
    <t>Total Incentive</t>
  </si>
  <si>
    <t>Measure ID</t>
  </si>
  <si>
    <t>Ice Machine &lt; 500lbs/day</t>
  </si>
  <si>
    <t>Ice Machines &gt; 1000 lbs/day</t>
  </si>
  <si>
    <t>Ice Machines 501 to 1000 lbs/day</t>
  </si>
  <si>
    <t>Strip Curtains</t>
  </si>
  <si>
    <t>PA TRM 2021</t>
  </si>
  <si>
    <t>p 146</t>
  </si>
  <si>
    <t xml:space="preserve">   ENERGY STAR® Commercial Reach-In Refrigerators</t>
  </si>
  <si>
    <t>Return to Project Summary</t>
  </si>
  <si>
    <t>ENERGY STAR® refrigerators must be self-contained with vertical-closed transparent or solid doors.  Residential style refrigerators are not eligible for incentives under this measure, but may be eligible under the Appliances and Electronics program.  New installations and replacement projects are eligible under this measure.</t>
  </si>
  <si>
    <t xml:space="preserve">Line </t>
  </si>
  <si>
    <t>Measure</t>
  </si>
  <si>
    <t>Installation Type</t>
  </si>
  <si>
    <t>Replacement Type</t>
  </si>
  <si>
    <t>New Equipment Cost (excluding labor)</t>
  </si>
  <si>
    <t>New Equipment Manufacturer</t>
  </si>
  <si>
    <t>New Equipment Model Number</t>
  </si>
  <si>
    <t>Door Type</t>
  </si>
  <si>
    <r>
      <t>Refrigerator Volume Cubic Feet (ft</t>
    </r>
    <r>
      <rPr>
        <b/>
        <vertAlign val="superscript"/>
        <sz val="11"/>
        <color indexed="9"/>
        <rFont val="Calibri"/>
        <family val="2"/>
      </rPr>
      <t>3</t>
    </r>
    <r>
      <rPr>
        <b/>
        <sz val="11"/>
        <color indexed="9"/>
        <rFont val="Calibri"/>
        <family val="2"/>
      </rPr>
      <t>)</t>
    </r>
  </si>
  <si>
    <t>Volume Category</t>
  </si>
  <si>
    <r>
      <t>kWh</t>
    </r>
    <r>
      <rPr>
        <b/>
        <vertAlign val="subscript"/>
        <sz val="11"/>
        <color indexed="9"/>
        <rFont val="Calibri"/>
        <family val="2"/>
      </rPr>
      <t>base</t>
    </r>
    <r>
      <rPr>
        <b/>
        <sz val="11"/>
        <color indexed="9"/>
        <rFont val="Calibri"/>
        <family val="2"/>
      </rPr>
      <t>/day</t>
    </r>
  </si>
  <si>
    <r>
      <t>kWh</t>
    </r>
    <r>
      <rPr>
        <b/>
        <vertAlign val="subscript"/>
        <sz val="11"/>
        <color indexed="9"/>
        <rFont val="Calibri"/>
        <family val="2"/>
      </rPr>
      <t>ee</t>
    </r>
    <r>
      <rPr>
        <b/>
        <sz val="11"/>
        <color indexed="9"/>
        <rFont val="Calibri"/>
        <family val="2"/>
      </rPr>
      <t>/day</t>
    </r>
  </si>
  <si>
    <t>CF</t>
  </si>
  <si>
    <t>Total kW (non coincident)</t>
  </si>
  <si>
    <r>
      <t>Total Demand Reductions (kW</t>
    </r>
    <r>
      <rPr>
        <b/>
        <sz val="11"/>
        <color indexed="9"/>
        <rFont val="Calibri"/>
        <family val="2"/>
      </rPr>
      <t>)</t>
    </r>
  </si>
  <si>
    <t>Total Energy Savings (kWh)</t>
  </si>
  <si>
    <t>Uncapped Incentive</t>
  </si>
  <si>
    <t>Navigator Measure</t>
  </si>
  <si>
    <t>Does this measure qualify for a rebate?</t>
  </si>
  <si>
    <t>Key</t>
  </si>
  <si>
    <t>Install</t>
  </si>
  <si>
    <t>ReplType</t>
  </si>
  <si>
    <t>MeasureCost</t>
  </si>
  <si>
    <t>Manufacturer</t>
  </si>
  <si>
    <t>Model</t>
  </si>
  <si>
    <t>Door</t>
  </si>
  <si>
    <t>Vol</t>
  </si>
  <si>
    <t>NcpkW</t>
  </si>
  <si>
    <t>CoinckW</t>
  </si>
  <si>
    <t>kWh</t>
  </si>
  <si>
    <t>CapIncentive</t>
  </si>
  <si>
    <t>UncapIncentive</t>
  </si>
  <si>
    <t>ExternalID</t>
  </si>
  <si>
    <t>MeasureQualifies</t>
  </si>
  <si>
    <t>Commercial Refrigerator</t>
  </si>
  <si>
    <t>CI-CO-PR-IT-RE-000001-01-FEPA-CI</t>
  </si>
  <si>
    <t xml:space="preserve">Lookup Tables </t>
  </si>
  <si>
    <t>Base (PY8)</t>
  </si>
  <si>
    <t>Efficient</t>
  </si>
  <si>
    <t>Cabinet Type</t>
  </si>
  <si>
    <t>Volume 
Category</t>
  </si>
  <si>
    <r>
      <t>kWh</t>
    </r>
    <r>
      <rPr>
        <b/>
        <vertAlign val="subscript"/>
        <sz val="11"/>
        <color indexed="8"/>
        <rFont val="Calibri"/>
        <family val="2"/>
      </rPr>
      <t>base</t>
    </r>
    <r>
      <rPr>
        <b/>
        <sz val="11"/>
        <color indexed="8"/>
        <rFont val="Calibri"/>
        <family val="2"/>
      </rPr>
      <t>/day</t>
    </r>
  </si>
  <si>
    <r>
      <t>kWh</t>
    </r>
    <r>
      <rPr>
        <b/>
        <vertAlign val="subscript"/>
        <sz val="11"/>
        <color indexed="8"/>
        <rFont val="Calibri"/>
        <family val="2"/>
      </rPr>
      <t>ee</t>
    </r>
    <r>
      <rPr>
        <b/>
        <sz val="11"/>
        <color indexed="8"/>
        <rFont val="Calibri"/>
        <family val="2"/>
      </rPr>
      <t>/day</t>
    </r>
  </si>
  <si>
    <t>Early Replacement</t>
  </si>
  <si>
    <t>Solid Door</t>
  </si>
  <si>
    <t>0 &lt; V &lt; 15</t>
  </si>
  <si>
    <t>0.10*V + 2.04</t>
  </si>
  <si>
    <t>0.089*V + 1.411</t>
  </si>
  <si>
    <t>New Installation</t>
  </si>
  <si>
    <t>New Equipment</t>
  </si>
  <si>
    <r>
      <t xml:space="preserve">15 </t>
    </r>
    <r>
      <rPr>
        <sz val="11"/>
        <color indexed="8"/>
        <rFont val="Calibri"/>
        <family val="2"/>
      </rPr>
      <t>≤ V &lt; 30</t>
    </r>
  </si>
  <si>
    <t>0.037*V + 2.200</t>
  </si>
  <si>
    <r>
      <t xml:space="preserve">30 </t>
    </r>
    <r>
      <rPr>
        <sz val="11"/>
        <color indexed="8"/>
        <rFont val="Calibri"/>
        <family val="2"/>
      </rPr>
      <t>≤ V &lt; 50</t>
    </r>
  </si>
  <si>
    <t>0.056*V + 1.635</t>
  </si>
  <si>
    <t>Days per year</t>
  </si>
  <si>
    <t>50 ≤ V</t>
  </si>
  <si>
    <t>0.060*V + 1.416</t>
  </si>
  <si>
    <t>Glass Door</t>
  </si>
  <si>
    <t>0.12*V + 3.34</t>
  </si>
  <si>
    <t>0.118*V + 1.382</t>
  </si>
  <si>
    <t>0.140*V + 1.050</t>
  </si>
  <si>
    <t>Refrigerator Incentive</t>
  </si>
  <si>
    <t>0.088*V + 2.625</t>
  </si>
  <si>
    <t>Per Refrigerator</t>
  </si>
  <si>
    <t>0.110*V + 1.500</t>
  </si>
  <si>
    <t>Measure Life (years)</t>
  </si>
  <si>
    <t>Base (PY9-PY12)</t>
  </si>
  <si>
    <t>0.05*V + 1.36</t>
  </si>
  <si>
    <t>0.022*V + 0.97</t>
  </si>
  <si>
    <t>PY for Calculations</t>
  </si>
  <si>
    <t>0.066*V + 0.31</t>
  </si>
  <si>
    <t>0.04*V + 1.09</t>
  </si>
  <si>
    <t>0.024*V + 1.89</t>
  </si>
  <si>
    <t>0.1*V + 0.86</t>
  </si>
  <si>
    <t>0.095*V + 0.445</t>
  </si>
  <si>
    <t>0.05*V + 1.12</t>
  </si>
  <si>
    <t>0.076*V + 0.34</t>
  </si>
  <si>
    <t>0.105*V - 1.111</t>
  </si>
  <si>
    <t>Base (PY13-PY16)</t>
  </si>
  <si>
    <t xml:space="preserve">   ENERGY STAR® Commercial Reach-In Freezers</t>
  </si>
  <si>
    <t>ENERGY STAR® freezers must be self-contained with vertical-closed transparent or solid doors.  Residential style freezers are not eligible for incentives under this measure, but may be eligible under the Appliances and Electronics program.  New construction and replacement projects are eligible under this measure.</t>
  </si>
  <si>
    <t>Total Equipment Cost (not including Labor)</t>
  </si>
  <si>
    <r>
      <t>Freezer Volume Cubic Feet (ft</t>
    </r>
    <r>
      <rPr>
        <b/>
        <vertAlign val="superscript"/>
        <sz val="11"/>
        <color indexed="9"/>
        <rFont val="Calibri"/>
        <family val="2"/>
      </rPr>
      <t>3</t>
    </r>
    <r>
      <rPr>
        <b/>
        <sz val="11"/>
        <color indexed="9"/>
        <rFont val="Calibri"/>
        <family val="2"/>
      </rPr>
      <t>)</t>
    </r>
  </si>
  <si>
    <t>Commercial Freezer</t>
  </si>
  <si>
    <t>CI-CO-PR-IT-RE-000002-01-FEPA-CI</t>
  </si>
  <si>
    <t>0.4*V + 1.38</t>
  </si>
  <si>
    <t>0.250*V + 1.25</t>
  </si>
  <si>
    <t>0.40*V - 1.00</t>
  </si>
  <si>
    <t>0.163*V + 6.125</t>
  </si>
  <si>
    <t>0.158*V + 6.333</t>
  </si>
  <si>
    <t>0.75*V + 4.10</t>
  </si>
  <si>
    <t>0.607*V + 0.893</t>
  </si>
  <si>
    <t>0.733*V -1.00</t>
  </si>
  <si>
    <t>Freezer Incentive</t>
  </si>
  <si>
    <t>0.250*V + 13.50</t>
  </si>
  <si>
    <t>Per Freezer</t>
  </si>
  <si>
    <t>0.450*V + 3.50</t>
  </si>
  <si>
    <t>0.22*V + 1.38</t>
  </si>
  <si>
    <t>0.21*V + 0.9</t>
  </si>
  <si>
    <t>0.12*V + 2.248</t>
  </si>
  <si>
    <t>0.285*V - 2.703</t>
  </si>
  <si>
    <t>0.142*V + 4.445</t>
  </si>
  <si>
    <t>0.29*V + 2.95</t>
  </si>
  <si>
    <t>0.232*V + 2.36</t>
  </si>
  <si>
    <t>PA TRM 2016</t>
  </si>
  <si>
    <t>p 431</t>
  </si>
  <si>
    <t xml:space="preserve">  ENERGY STAR® Commercial Ice Machines</t>
  </si>
  <si>
    <t>Eligible equipment includes ENERGY STAR® ice machines that are air-cooled and produce ice continuously or in batches.  New installation and replacement projects are eligible.</t>
  </si>
  <si>
    <t>PY8 - PY9 Calcs</t>
  </si>
  <si>
    <t>PY10-PY12 Base</t>
  </si>
  <si>
    <t>PY10-PY12 Efficient</t>
  </si>
  <si>
    <t>PY13-PY16 Base</t>
  </si>
  <si>
    <t>PY13-PY16 Efficient</t>
  </si>
  <si>
    <t>Line</t>
  </si>
  <si>
    <t>ENERGY STAR ID</t>
  </si>
  <si>
    <t>Equipment Cost (Excluding Labor)</t>
  </si>
  <si>
    <t>Equipment Type</t>
  </si>
  <si>
    <t>Ice Making Style</t>
  </si>
  <si>
    <t>Ice production capacity (lbs/day)</t>
  </si>
  <si>
    <t>Energy Use
(kWh/100 lbs of ice)</t>
  </si>
  <si>
    <r>
      <t>kWh</t>
    </r>
    <r>
      <rPr>
        <b/>
        <vertAlign val="subscript"/>
        <sz val="11"/>
        <color indexed="9"/>
        <rFont val="Calibri"/>
        <family val="2"/>
      </rPr>
      <t>base</t>
    </r>
    <r>
      <rPr>
        <b/>
        <sz val="11"/>
        <color indexed="9"/>
        <rFont val="Calibri"/>
        <family val="2"/>
      </rPr>
      <t xml:space="preserve"> capacity lookup 1</t>
    </r>
  </si>
  <si>
    <r>
      <t>kWh</t>
    </r>
    <r>
      <rPr>
        <b/>
        <vertAlign val="subscript"/>
        <sz val="11"/>
        <color indexed="9"/>
        <rFont val="Calibri"/>
        <family val="2"/>
      </rPr>
      <t>base</t>
    </r>
    <r>
      <rPr>
        <b/>
        <sz val="11"/>
        <color indexed="9"/>
        <rFont val="Calibri"/>
        <family val="2"/>
      </rPr>
      <t xml:space="preserve"> capacity lookup 2</t>
    </r>
  </si>
  <si>
    <r>
      <t>kWh</t>
    </r>
    <r>
      <rPr>
        <b/>
        <vertAlign val="subscript"/>
        <sz val="11"/>
        <color indexed="9"/>
        <rFont val="Calibri"/>
        <family val="2"/>
      </rPr>
      <t>ee</t>
    </r>
    <r>
      <rPr>
        <b/>
        <sz val="11"/>
        <color indexed="9"/>
        <rFont val="Calibri"/>
        <family val="2"/>
      </rPr>
      <t xml:space="preserve"> capacity lookup 1</t>
    </r>
  </si>
  <si>
    <r>
      <t>kWh</t>
    </r>
    <r>
      <rPr>
        <b/>
        <vertAlign val="subscript"/>
        <sz val="11"/>
        <color indexed="9"/>
        <rFont val="Calibri"/>
        <family val="2"/>
      </rPr>
      <t>base</t>
    </r>
  </si>
  <si>
    <r>
      <t>kWh</t>
    </r>
    <r>
      <rPr>
        <b/>
        <vertAlign val="subscript"/>
        <sz val="11"/>
        <color indexed="9"/>
        <rFont val="Calibri"/>
        <family val="2"/>
      </rPr>
      <t>ee</t>
    </r>
  </si>
  <si>
    <t>SDX Measure Name</t>
  </si>
  <si>
    <r>
      <t>Batch Type kWh</t>
    </r>
    <r>
      <rPr>
        <b/>
        <vertAlign val="subscript"/>
        <sz val="11"/>
        <color indexed="9"/>
        <rFont val="Calibri"/>
        <family val="2"/>
      </rPr>
      <t>base</t>
    </r>
    <r>
      <rPr>
        <b/>
        <sz val="11"/>
        <color indexed="9"/>
        <rFont val="Calibri"/>
        <family val="2"/>
      </rPr>
      <t xml:space="preserve"> capacity lookup</t>
    </r>
  </si>
  <si>
    <r>
      <t>Batch Type kWh</t>
    </r>
    <r>
      <rPr>
        <b/>
        <vertAlign val="subscript"/>
        <sz val="11"/>
        <color theme="0"/>
        <rFont val="Calibri"/>
        <family val="2"/>
        <scheme val="minor"/>
      </rPr>
      <t>base</t>
    </r>
  </si>
  <si>
    <r>
      <t>Continuous Type kWh</t>
    </r>
    <r>
      <rPr>
        <b/>
        <vertAlign val="subscript"/>
        <sz val="11"/>
        <color indexed="9"/>
        <rFont val="Calibri"/>
        <family val="2"/>
      </rPr>
      <t>base</t>
    </r>
    <r>
      <rPr>
        <b/>
        <sz val="11"/>
        <color indexed="9"/>
        <rFont val="Calibri"/>
        <family val="2"/>
      </rPr>
      <t xml:space="preserve"> capacity lookup</t>
    </r>
  </si>
  <si>
    <r>
      <t>Continuous Type kWh</t>
    </r>
    <r>
      <rPr>
        <b/>
        <vertAlign val="subscript"/>
        <sz val="11"/>
        <color theme="0"/>
        <rFont val="Calibri"/>
        <family val="2"/>
        <scheme val="minor"/>
      </rPr>
      <t>base</t>
    </r>
  </si>
  <si>
    <r>
      <t>Batch Type kWh</t>
    </r>
    <r>
      <rPr>
        <b/>
        <vertAlign val="subscript"/>
        <sz val="11"/>
        <color indexed="9"/>
        <rFont val="Calibri"/>
        <family val="2"/>
      </rPr>
      <t xml:space="preserve">ee </t>
    </r>
    <r>
      <rPr>
        <b/>
        <sz val="11"/>
        <color indexed="9"/>
        <rFont val="Calibri"/>
        <family val="2"/>
      </rPr>
      <t>capacity lookup</t>
    </r>
  </si>
  <si>
    <r>
      <t>Batch Type kWh</t>
    </r>
    <r>
      <rPr>
        <b/>
        <vertAlign val="subscript"/>
        <sz val="11"/>
        <color theme="0"/>
        <rFont val="Calibri"/>
        <family val="2"/>
        <scheme val="minor"/>
      </rPr>
      <t>ee</t>
    </r>
  </si>
  <si>
    <r>
      <t>Continuous Type kWh</t>
    </r>
    <r>
      <rPr>
        <b/>
        <vertAlign val="subscript"/>
        <sz val="11"/>
        <color theme="0"/>
        <rFont val="Calibri"/>
        <family val="2"/>
        <scheme val="minor"/>
      </rPr>
      <t>ee</t>
    </r>
  </si>
  <si>
    <r>
      <t>Continuous Type kWh</t>
    </r>
    <r>
      <rPr>
        <b/>
        <vertAlign val="subscript"/>
        <sz val="11"/>
        <color indexed="9"/>
        <rFont val="Calibri"/>
        <family val="2"/>
      </rPr>
      <t xml:space="preserve">ee </t>
    </r>
    <r>
      <rPr>
        <b/>
        <sz val="11"/>
        <color indexed="9"/>
        <rFont val="Calibri"/>
        <family val="2"/>
      </rPr>
      <t>capacity lookup</t>
    </r>
  </si>
  <si>
    <t>Total kW</t>
  </si>
  <si>
    <t xml:space="preserve">Energy Savings (kWh) </t>
  </si>
  <si>
    <t>Measure Qualifies?</t>
  </si>
  <si>
    <t>energystar</t>
  </si>
  <si>
    <t>EquipType</t>
  </si>
  <si>
    <t>IceStyle</t>
  </si>
  <si>
    <t>Prod</t>
  </si>
  <si>
    <t>Commercial Ice Machines</t>
  </si>
  <si>
    <t>CI-CO-PR-IT-RE-000006-01-FEPA-CI</t>
  </si>
  <si>
    <t xml:space="preserve">PY8 - PY9 </t>
  </si>
  <si>
    <t>Baseline Machine - Batch Type</t>
  </si>
  <si>
    <t>Ice Machine Type</t>
  </si>
  <si>
    <t>Ice Harvest Rate (H) (lbs/day)</t>
  </si>
  <si>
    <t>Baseline energy use per 100 lbs of ice</t>
  </si>
  <si>
    <t>Row 1</t>
  </si>
  <si>
    <t>Row 2</t>
  </si>
  <si>
    <t>Row 3</t>
  </si>
  <si>
    <t>Row 4</t>
  </si>
  <si>
    <t>Row 5</t>
  </si>
  <si>
    <t>Row 6</t>
  </si>
  <si>
    <t>Row 7</t>
  </si>
  <si>
    <t>Row 8</t>
  </si>
  <si>
    <t>Ice Making Head</t>
  </si>
  <si>
    <t>&lt; 450</t>
  </si>
  <si>
    <t>10.26 - 0.0086*H</t>
  </si>
  <si>
    <r>
      <rPr>
        <sz val="11"/>
        <color indexed="8"/>
        <rFont val="Calibri"/>
        <family val="2"/>
      </rPr>
      <t xml:space="preserve">≥ </t>
    </r>
    <r>
      <rPr>
        <sz val="11"/>
        <color theme="1"/>
        <rFont val="Calibri"/>
        <family val="2"/>
        <scheme val="minor"/>
      </rPr>
      <t>450</t>
    </r>
  </si>
  <si>
    <t>6.89 - 0.0011*H</t>
  </si>
  <si>
    <t>Remote-Condensing without Remote Compressor</t>
  </si>
  <si>
    <t>&lt; 1000</t>
  </si>
  <si>
    <t>8.85 - 0.0038*H</t>
  </si>
  <si>
    <r>
      <rPr>
        <sz val="11"/>
        <color indexed="8"/>
        <rFont val="Calibri"/>
        <family val="2"/>
      </rPr>
      <t>≥</t>
    </r>
    <r>
      <rPr>
        <sz val="11"/>
        <color theme="1"/>
        <rFont val="Calibri"/>
        <family val="2"/>
        <scheme val="minor"/>
      </rPr>
      <t xml:space="preserve"> 1000</t>
    </r>
  </si>
  <si>
    <t>Remote-Condensing with Remote Compressor</t>
  </si>
  <si>
    <t>&lt; 934</t>
  </si>
  <si>
    <t>Self Contained</t>
  </si>
  <si>
    <r>
      <rPr>
        <sz val="11"/>
        <color indexed="8"/>
        <rFont val="Calibri"/>
        <family val="2"/>
      </rPr>
      <t>≥</t>
    </r>
    <r>
      <rPr>
        <sz val="11"/>
        <color theme="1"/>
        <rFont val="Calibri"/>
        <family val="2"/>
        <scheme val="minor"/>
      </rPr>
      <t xml:space="preserve"> 934</t>
    </r>
  </si>
  <si>
    <t>&lt; 175</t>
  </si>
  <si>
    <t>18 - 0.0469*H</t>
  </si>
  <si>
    <t>Ice Machine Capacity (lbs/day)</t>
  </si>
  <si>
    <t xml:space="preserve">Incentive </t>
  </si>
  <si>
    <t>FE Reporting Name</t>
  </si>
  <si>
    <r>
      <rPr>
        <sz val="11"/>
        <color indexed="8"/>
        <rFont val="Calibri"/>
        <family val="2"/>
      </rPr>
      <t>≥</t>
    </r>
    <r>
      <rPr>
        <sz val="11"/>
        <color theme="1"/>
        <rFont val="Calibri"/>
        <family val="2"/>
        <scheme val="minor"/>
      </rPr>
      <t xml:space="preserve"> 175</t>
    </r>
  </si>
  <si>
    <t>500 or less</t>
  </si>
  <si>
    <t>501 to 1000</t>
  </si>
  <si>
    <t>PY8 - PY9</t>
  </si>
  <si>
    <t>1001 or greater</t>
  </si>
  <si>
    <t>Efficient Machine - Batch Type</t>
  </si>
  <si>
    <t>Efficient energy use per 100 lbs of ice</t>
  </si>
  <si>
    <r>
      <t xml:space="preserve">200 </t>
    </r>
    <r>
      <rPr>
        <sz val="11"/>
        <color indexed="8"/>
        <rFont val="Calibri"/>
        <family val="2"/>
      </rPr>
      <t>≤ H ≤ 1600</t>
    </r>
  </si>
  <si>
    <r>
      <t>≤ 37.72*H</t>
    </r>
    <r>
      <rPr>
        <vertAlign val="superscript"/>
        <sz val="11"/>
        <color indexed="8"/>
        <rFont val="Calibri"/>
        <family val="2"/>
      </rPr>
      <t xml:space="preserve"> -0.298</t>
    </r>
  </si>
  <si>
    <r>
      <t xml:space="preserve">400 </t>
    </r>
    <r>
      <rPr>
        <sz val="11"/>
        <color indexed="8"/>
        <rFont val="Calibri"/>
        <family val="2"/>
      </rPr>
      <t>≤ H ≤ 1600</t>
    </r>
  </si>
  <si>
    <r>
      <t xml:space="preserve">≤ 22.95*H </t>
    </r>
    <r>
      <rPr>
        <vertAlign val="superscript"/>
        <sz val="11"/>
        <color indexed="8"/>
        <rFont val="Calibri"/>
        <family val="2"/>
      </rPr>
      <t>-0.258</t>
    </r>
    <r>
      <rPr>
        <sz val="11"/>
        <color theme="1"/>
        <rFont val="Calibri"/>
        <family val="2"/>
        <scheme val="minor"/>
      </rPr>
      <t xml:space="preserve"> + 1.00</t>
    </r>
  </si>
  <si>
    <r>
      <t xml:space="preserve">1600 </t>
    </r>
    <r>
      <rPr>
        <sz val="11"/>
        <color indexed="8"/>
        <rFont val="Calibri"/>
        <family val="2"/>
      </rPr>
      <t>≤ H ≤ 4000</t>
    </r>
  </si>
  <si>
    <t>≤ -0.00011*H + 4.60</t>
  </si>
  <si>
    <t>Measure Life</t>
  </si>
  <si>
    <r>
      <t xml:space="preserve">50 </t>
    </r>
    <r>
      <rPr>
        <sz val="11"/>
        <color indexed="8"/>
        <rFont val="Calibri"/>
        <family val="2"/>
      </rPr>
      <t>≤ H ≤ 450</t>
    </r>
  </si>
  <si>
    <r>
      <t>≤ 48.66*H</t>
    </r>
    <r>
      <rPr>
        <vertAlign val="superscript"/>
        <sz val="11"/>
        <color indexed="8"/>
        <rFont val="Calibri"/>
        <family val="2"/>
      </rPr>
      <t>-0.326</t>
    </r>
    <r>
      <rPr>
        <sz val="11"/>
        <color theme="1"/>
        <rFont val="Calibri"/>
        <family val="2"/>
        <scheme val="minor"/>
      </rPr>
      <t xml:space="preserve"> + 0.08</t>
    </r>
  </si>
  <si>
    <t>Machine Type</t>
  </si>
  <si>
    <t>PY10 - PY12</t>
  </si>
  <si>
    <t>Batch Type</t>
  </si>
  <si>
    <t>Continuous Type</t>
  </si>
  <si>
    <t>H &lt; 300</t>
  </si>
  <si>
    <t>10 - 0.01233*H</t>
  </si>
  <si>
    <t>Duty Cycle</t>
  </si>
  <si>
    <t>300 ≤ H &lt; 800</t>
  </si>
  <si>
    <t>7.05 - 0.0025*H</t>
  </si>
  <si>
    <t>800 ≤ H &lt; 1,500</t>
  </si>
  <si>
    <t>5.55 - 0.00063*H</t>
  </si>
  <si>
    <t>1,500 ≤ H &lt; 4,000</t>
  </si>
  <si>
    <t>50 ≤ H &lt; 1,000</t>
  </si>
  <si>
    <t>7.97 - 0.00342*H</t>
  </si>
  <si>
    <t>1,000 ≤ H &lt; 4,000</t>
  </si>
  <si>
    <t>H &lt; 942</t>
  </si>
  <si>
    <t>942 ≤ H &lt; 4,000</t>
  </si>
  <si>
    <t>H &lt; 110</t>
  </si>
  <si>
    <t>14.79 - 0.0469*H</t>
  </si>
  <si>
    <t>110 ≤ H &lt; 200</t>
  </si>
  <si>
    <t>12.42 - 0.02533*H</t>
  </si>
  <si>
    <t>200 ≤ H &lt; 4,000</t>
  </si>
  <si>
    <t>Baseline Machine - Continuous Type</t>
  </si>
  <si>
    <t>H &lt; 310</t>
  </si>
  <si>
    <t>9.19 - 0.00629*H</t>
  </si>
  <si>
    <t>310 ≤ H &lt; 820</t>
  </si>
  <si>
    <t>8.23 - 0.0032*H</t>
  </si>
  <si>
    <t>820 ≤ H &lt; 4,000</t>
  </si>
  <si>
    <t>H &lt; 800</t>
  </si>
  <si>
    <t>9.7 - 0.0058*H</t>
  </si>
  <si>
    <t>800 ≤ H &lt; 4,000</t>
  </si>
  <si>
    <t>9.9 - 0.0058*H</t>
  </si>
  <si>
    <t>H &lt; 200</t>
  </si>
  <si>
    <t>14.22 - 0.03*H</t>
  </si>
  <si>
    <t>200 ≤ H &lt; 700</t>
  </si>
  <si>
    <t>9.47 - 0.00624*H</t>
  </si>
  <si>
    <t>700 ≤ H &lt; 4,000</t>
  </si>
  <si>
    <t>200 ≤ H ≤ 1,600</t>
  </si>
  <si>
    <r>
      <t>37.72*H</t>
    </r>
    <r>
      <rPr>
        <vertAlign val="superscript"/>
        <sz val="11"/>
        <color theme="1"/>
        <rFont val="Calibri"/>
        <family val="2"/>
      </rPr>
      <t>-0.298</t>
    </r>
  </si>
  <si>
    <t>400 ≤ H ≤ 1,600</t>
  </si>
  <si>
    <r>
      <t>22.95*H</t>
    </r>
    <r>
      <rPr>
        <vertAlign val="superscript"/>
        <sz val="11"/>
        <color theme="1"/>
        <rFont val="Calibri"/>
        <family val="2"/>
        <scheme val="minor"/>
      </rPr>
      <t>-0.258</t>
    </r>
    <r>
      <rPr>
        <sz val="11"/>
        <color theme="1"/>
        <rFont val="Calibri"/>
        <family val="2"/>
        <scheme val="minor"/>
      </rPr>
      <t xml:space="preserve"> + 1.00</t>
    </r>
  </si>
  <si>
    <t>-0.00011*H + 4.6</t>
  </si>
  <si>
    <t>1,600 ≤ H ≤ 4,000</t>
  </si>
  <si>
    <t>50 ≤ H ≤ 450</t>
  </si>
  <si>
    <r>
      <t>48.66*H</t>
    </r>
    <r>
      <rPr>
        <vertAlign val="superscript"/>
        <sz val="11"/>
        <color theme="1"/>
        <rFont val="Calibri"/>
        <family val="2"/>
        <scheme val="minor"/>
      </rPr>
      <t xml:space="preserve"> - 0.326</t>
    </r>
    <r>
      <rPr>
        <sz val="11"/>
        <color theme="1"/>
        <rFont val="Calibri"/>
        <family val="2"/>
        <scheme val="minor"/>
      </rPr>
      <t xml:space="preserve"> + 0.08</t>
    </r>
  </si>
  <si>
    <t>Efficient Machine - Continuous Type</t>
  </si>
  <si>
    <t>Any</t>
  </si>
  <si>
    <r>
      <t>9.18*H</t>
    </r>
    <r>
      <rPr>
        <vertAlign val="superscript"/>
        <sz val="11"/>
        <color theme="1"/>
        <rFont val="Calibri"/>
        <family val="2"/>
      </rPr>
      <t>-0.057</t>
    </r>
  </si>
  <si>
    <r>
      <t>6.00*H</t>
    </r>
    <r>
      <rPr>
        <vertAlign val="superscript"/>
        <sz val="11"/>
        <color theme="1"/>
        <rFont val="Calibri"/>
        <family val="2"/>
      </rPr>
      <t>-0.162</t>
    </r>
    <r>
      <rPr>
        <sz val="11"/>
        <color theme="1"/>
        <rFont val="Calibri"/>
        <family val="2"/>
      </rPr>
      <t xml:space="preserve"> + 3.50</t>
    </r>
  </si>
  <si>
    <r>
      <t>59.45*H</t>
    </r>
    <r>
      <rPr>
        <vertAlign val="superscript"/>
        <sz val="11"/>
        <color theme="1"/>
        <rFont val="Calibri"/>
        <family val="2"/>
      </rPr>
      <t>-0.349</t>
    </r>
    <r>
      <rPr>
        <sz val="11"/>
        <color theme="1"/>
        <rFont val="Calibri"/>
        <family val="2"/>
      </rPr>
      <t xml:space="preserve"> + 0.08</t>
    </r>
  </si>
  <si>
    <t>PY13 - PY16</t>
  </si>
  <si>
    <t>9.20-0.01134*H</t>
  </si>
  <si>
    <t>6.49-0.0023*H</t>
  </si>
  <si>
    <t>5.11-0.00058*H</t>
  </si>
  <si>
    <t>50 ≤ H &lt; 988</t>
  </si>
  <si>
    <t>7.17-0.00308*H</t>
  </si>
  <si>
    <t>988 ≤ H &lt; 4,000</t>
  </si>
  <si>
    <t>12.57-0.0399*H</t>
  </si>
  <si>
    <t>10.56-0.0215*H</t>
  </si>
  <si>
    <t>7.90-0.005409*H</t>
  </si>
  <si>
    <t>7.08-0.002752*H</t>
  </si>
  <si>
    <t>7.76-0.00464*H</t>
  </si>
  <si>
    <t>12.37-0.0261*H</t>
  </si>
  <si>
    <t>8.24-0.005492*H</t>
  </si>
  <si>
    <t>PA TRM 20201</t>
  </si>
  <si>
    <t>p 169</t>
  </si>
  <si>
    <t xml:space="preserve">  Night Covers for Refrigerated Display Cases</t>
  </si>
  <si>
    <t>Eligible projects include the installation of night covers on open reach-in refrigerated cases during unoccupied hours.  Covers must be in use for at least 3 hours daily to be eligible for incentives.</t>
  </si>
  <si>
    <t>Refrigerated Case Temperature</t>
  </si>
  <si>
    <t>Width of Case Opening (ft)</t>
  </si>
  <si>
    <t>Daily hours of operation covers are in use</t>
  </si>
  <si>
    <t>Savings Factor</t>
  </si>
  <si>
    <t>Total Demand Savings (no coincidence factor)</t>
  </si>
  <si>
    <t>Measure Qualifies</t>
  </si>
  <si>
    <t>Temp</t>
  </si>
  <si>
    <t>Hours</t>
  </si>
  <si>
    <t>Night Covers</t>
  </si>
  <si>
    <t>Yes</t>
  </si>
  <si>
    <t>CI-CO-PR-IT-RE-000003-01-FEPA-CI</t>
  </si>
  <si>
    <t>Case Temperature</t>
  </si>
  <si>
    <t>Savings Factor (kW/ft)</t>
  </si>
  <si>
    <r>
      <t>Low Temp [-35</t>
    </r>
    <r>
      <rPr>
        <sz val="11"/>
        <color indexed="8"/>
        <rFont val="Calibri"/>
        <family val="2"/>
      </rPr>
      <t>°</t>
    </r>
    <r>
      <rPr>
        <sz val="11"/>
        <color theme="1"/>
        <rFont val="Calibri"/>
        <family val="2"/>
        <scheme val="minor"/>
      </rPr>
      <t>F to -5°F]</t>
    </r>
  </si>
  <si>
    <r>
      <t>Medium Temp [0</t>
    </r>
    <r>
      <rPr>
        <sz val="11"/>
        <color indexed="8"/>
        <rFont val="Calibri"/>
        <family val="2"/>
      </rPr>
      <t>°</t>
    </r>
    <r>
      <rPr>
        <sz val="11"/>
        <color theme="1"/>
        <rFont val="Calibri"/>
        <family val="2"/>
        <scheme val="minor"/>
      </rPr>
      <t>F to 30°F]</t>
    </r>
  </si>
  <si>
    <r>
      <t>High Temp [35</t>
    </r>
    <r>
      <rPr>
        <sz val="11"/>
        <color indexed="8"/>
        <rFont val="Calibri"/>
        <family val="2"/>
      </rPr>
      <t>°</t>
    </r>
    <r>
      <rPr>
        <sz val="11"/>
        <color theme="1"/>
        <rFont val="Calibri"/>
        <family val="2"/>
        <scheme val="minor"/>
      </rPr>
      <t>F to 55°F]</t>
    </r>
  </si>
  <si>
    <t>Unknown</t>
  </si>
  <si>
    <t>linear foot</t>
  </si>
  <si>
    <t>Coincidence Factor</t>
  </si>
  <si>
    <t>p 166</t>
  </si>
  <si>
    <t xml:space="preserve">  Strip Curtains for Walk-in Coolers and Freezers</t>
  </si>
  <si>
    <t>Eligible strip curtains must be installed on walk-in coolers and freezers that have ineffective or no existing strip curtains in place.   Strip curtains must be new, made of polyethylene, and be at least 0.06" thick.  Low temperature curtains must be used for freezer applications. Eligible units must be in use at least 2.5 hours per day.</t>
  </si>
  <si>
    <t>Walk-in Type</t>
  </si>
  <si>
    <t>Pre-existing Curtains</t>
  </si>
  <si>
    <r>
      <t>Walk-in Opening Area (ft</t>
    </r>
    <r>
      <rPr>
        <b/>
        <vertAlign val="superscript"/>
        <sz val="11"/>
        <color indexed="9"/>
        <rFont val="Calibri"/>
        <family val="2"/>
      </rPr>
      <t>2</t>
    </r>
    <r>
      <rPr>
        <b/>
        <sz val="11"/>
        <color indexed="9"/>
        <rFont val="Calibri"/>
        <family val="2"/>
      </rPr>
      <t>)</t>
    </r>
  </si>
  <si>
    <t>Manfuacturer</t>
  </si>
  <si>
    <t>WalkType</t>
  </si>
  <si>
    <t>CI-CO-PR-IT-RE-000005-01-FEPA-CI</t>
  </si>
  <si>
    <r>
      <t>Energy Savings (kWh/ft</t>
    </r>
    <r>
      <rPr>
        <b/>
        <vertAlign val="superscript"/>
        <sz val="11"/>
        <color indexed="8"/>
        <rFont val="Calibri"/>
        <family val="2"/>
      </rPr>
      <t>2</t>
    </r>
    <r>
      <rPr>
        <b/>
        <sz val="11"/>
        <color indexed="8"/>
        <rFont val="Calibri"/>
        <family val="2"/>
      </rPr>
      <t>)</t>
    </r>
  </si>
  <si>
    <t>Demand Savings (kWh/ft2)</t>
  </si>
  <si>
    <t>Grocery - Cooler</t>
  </si>
  <si>
    <t>Grocery - Freezer</t>
  </si>
  <si>
    <t>Convenience Store - Cooler</t>
  </si>
  <si>
    <t>Convenience Store - Freezer</t>
  </si>
  <si>
    <t>Restaurant - Cooler</t>
  </si>
  <si>
    <t>Restaurant - Freezer</t>
  </si>
  <si>
    <t>Refrigerated Warehouse</t>
  </si>
  <si>
    <r>
      <t>per ft</t>
    </r>
    <r>
      <rPr>
        <b/>
        <vertAlign val="superscript"/>
        <sz val="11"/>
        <color indexed="8"/>
        <rFont val="Calibri"/>
        <family val="2"/>
      </rPr>
      <t>2</t>
    </r>
  </si>
  <si>
    <t>p 158</t>
  </si>
  <si>
    <t xml:space="preserve">  Anti-Sweat Heater Controls on Cooler and Freezer Case Doors</t>
  </si>
  <si>
    <t>Anti-sweat heater controls sense the humidity in the store outside reach-in, glass door cases and turn off anti-sweat heaters during periods of low humidity. Only the installation of new anti-sweat heater controls in cases with no existing controls are eligible for incentives.</t>
  </si>
  <si>
    <t>Case Type</t>
  </si>
  <si>
    <t>Number of 
Doors</t>
  </si>
  <si>
    <t>Control Type</t>
  </si>
  <si>
    <t>Total Demand Reductions (kW)</t>
  </si>
  <si>
    <t>Case</t>
  </si>
  <si>
    <t>Cont</t>
  </si>
  <si>
    <t>CI-CO-PR-IT-RE-000004-01-FEPA-CI</t>
  </si>
  <si>
    <t>Variable</t>
  </si>
  <si>
    <t>Value</t>
  </si>
  <si>
    <t>Deemed Values</t>
  </si>
  <si>
    <t>Cooler</t>
  </si>
  <si>
    <r>
      <t>kW</t>
    </r>
    <r>
      <rPr>
        <vertAlign val="subscript"/>
        <sz val="11"/>
        <color rgb="FF005CB8"/>
        <rFont val="Calibri"/>
        <family val="2"/>
      </rPr>
      <t>Door</t>
    </r>
  </si>
  <si>
    <t>Energy Impact kWh</t>
  </si>
  <si>
    <t>Peak Demand Impact kW</t>
  </si>
  <si>
    <t>%On</t>
  </si>
  <si>
    <t>Freezer</t>
  </si>
  <si>
    <t>Unknown Control</t>
  </si>
  <si>
    <t>% Control Unk</t>
  </si>
  <si>
    <t>On/Off Control</t>
  </si>
  <si>
    <t>% Control OnOff</t>
  </si>
  <si>
    <t>Micropulse Control</t>
  </si>
  <si>
    <t>% Control Micro</t>
  </si>
  <si>
    <t>WHF</t>
  </si>
  <si>
    <t>Incentive/Door</t>
  </si>
  <si>
    <t>PA TRM 20121</t>
  </si>
  <si>
    <t>p 206</t>
  </si>
  <si>
    <t xml:space="preserve">  Beverage and Snack Vending Machine Controls</t>
  </si>
  <si>
    <t xml:space="preserve">Eligible sensors must be installed on non-ENERGY STAR® qualified vending machines.  Each control must be able to automatically turn off lighting when there is no occupancy, and must modulate the refrigeration system for peak performance. </t>
  </si>
  <si>
    <t>Machine Wattage</t>
  </si>
  <si>
    <t>MachType</t>
  </si>
  <si>
    <t>MachWatt</t>
  </si>
  <si>
    <t>CI-CO-PR-IT-RE-000007-01-FEPA-CI</t>
  </si>
  <si>
    <t>ESF</t>
  </si>
  <si>
    <t>Default Beverage Energy Savings (kWh)</t>
  </si>
  <si>
    <t>Refrigerated Beverage Vending Machine</t>
  </si>
  <si>
    <t>Glass Front Refrigerated Cooler</t>
  </si>
  <si>
    <t>Snack Case</t>
  </si>
  <si>
    <t>Years</t>
  </si>
  <si>
    <t>ENERGY STAR 4/29/20 spec</t>
  </si>
  <si>
    <t>DOE 2017</t>
  </si>
  <si>
    <t xml:space="preserve">  ENERGY STAR® Refrigerated Beverage Vending Machines</t>
  </si>
  <si>
    <r>
      <t>ENERGY STAR® vending machines have high efficiency refrigeration and lighting systems.  In addition, these machines have built-in controls that reduce lighting and refrigeration loads during unoccupied periods.  Only new Energy Star</t>
    </r>
    <r>
      <rPr>
        <sz val="11"/>
        <color indexed="8"/>
        <rFont val="Calibri"/>
        <family val="2"/>
      </rPr>
      <t>®</t>
    </r>
    <r>
      <rPr>
        <sz val="11"/>
        <color theme="1"/>
        <rFont val="Calibri"/>
        <family val="2"/>
        <scheme val="minor"/>
      </rPr>
      <t xml:space="preserve"> vending machines are eligible for incentives.</t>
    </r>
  </si>
  <si>
    <t>Vending Machine 
Class</t>
  </si>
  <si>
    <r>
      <t>Refrigerated Volume of Vending Machine (ft</t>
    </r>
    <r>
      <rPr>
        <b/>
        <vertAlign val="superscript"/>
        <sz val="11"/>
        <color indexed="9"/>
        <rFont val="Calibri"/>
        <family val="2"/>
      </rPr>
      <t>3</t>
    </r>
    <r>
      <rPr>
        <b/>
        <sz val="11"/>
        <color indexed="9"/>
        <rFont val="Calibri"/>
        <family val="2"/>
      </rPr>
      <t>)</t>
    </r>
  </si>
  <si>
    <t>ENERGY STAR® Vending Machine</t>
  </si>
  <si>
    <t>Vending Machine Class</t>
  </si>
  <si>
    <r>
      <t>kWh</t>
    </r>
    <r>
      <rPr>
        <b/>
        <vertAlign val="subscript"/>
        <sz val="11"/>
        <color indexed="8"/>
        <rFont val="Calibri"/>
        <family val="2"/>
      </rPr>
      <t>base</t>
    </r>
  </si>
  <si>
    <r>
      <t>kWh</t>
    </r>
    <r>
      <rPr>
        <b/>
        <vertAlign val="subscript"/>
        <sz val="11"/>
        <color indexed="8"/>
        <rFont val="Calibri"/>
        <family val="2"/>
      </rPr>
      <t>ee</t>
    </r>
  </si>
  <si>
    <t>Class A</t>
  </si>
  <si>
    <t>(0.052V + 2.43) x 365</t>
  </si>
  <si>
    <t>(0.0523V + 2.432) x 365</t>
  </si>
  <si>
    <t>Class B</t>
  </si>
  <si>
    <t>(0.052V + 2.20) x 365</t>
  </si>
  <si>
    <t>(0.0657V + 2.844) x 365</t>
  </si>
  <si>
    <t>Per machine</t>
  </si>
  <si>
    <t>p 214</t>
  </si>
  <si>
    <t xml:space="preserve">  ENERGY STAR® Commercial Electric Combination Ovens</t>
  </si>
  <si>
    <t>New electric combination ovens must be ENERGY STAR®-certified to be eligible for incentives.  New construction and replacement projects are eligible under this measure.</t>
  </si>
  <si>
    <t>Equipment Cost (Excluding labor)</t>
  </si>
  <si>
    <t>Number of Pans</t>
  </si>
  <si>
    <t>LB</t>
  </si>
  <si>
    <r>
      <t>Idle</t>
    </r>
    <r>
      <rPr>
        <b/>
        <vertAlign val="subscript"/>
        <sz val="11"/>
        <color indexed="9"/>
        <rFont val="Calibri"/>
        <family val="2"/>
      </rPr>
      <t>base, conv</t>
    </r>
    <r>
      <rPr>
        <b/>
        <sz val="11"/>
        <color indexed="9"/>
        <rFont val="Calibri"/>
        <family val="2"/>
      </rPr>
      <t xml:space="preserve"> (kW)</t>
    </r>
  </si>
  <si>
    <r>
      <t>Idle</t>
    </r>
    <r>
      <rPr>
        <b/>
        <vertAlign val="subscript"/>
        <sz val="11"/>
        <color indexed="9"/>
        <rFont val="Calibri"/>
        <family val="2"/>
      </rPr>
      <t>base, steam</t>
    </r>
    <r>
      <rPr>
        <b/>
        <sz val="11"/>
        <color indexed="9"/>
        <rFont val="Calibri"/>
        <family val="2"/>
      </rPr>
      <t xml:space="preserve"> (kW)</t>
    </r>
  </si>
  <si>
    <r>
      <t>EFF</t>
    </r>
    <r>
      <rPr>
        <b/>
        <vertAlign val="subscript"/>
        <sz val="11"/>
        <color indexed="9"/>
        <rFont val="Calibri"/>
        <family val="2"/>
      </rPr>
      <t>base, conv</t>
    </r>
  </si>
  <si>
    <r>
      <t>EFF</t>
    </r>
    <r>
      <rPr>
        <b/>
        <vertAlign val="subscript"/>
        <sz val="11"/>
        <color indexed="9"/>
        <rFont val="Calibri"/>
        <family val="2"/>
      </rPr>
      <t>base, steam</t>
    </r>
  </si>
  <si>
    <r>
      <t>PC</t>
    </r>
    <r>
      <rPr>
        <b/>
        <vertAlign val="subscript"/>
        <sz val="11"/>
        <color indexed="9"/>
        <rFont val="Calibri"/>
        <family val="2"/>
      </rPr>
      <t>base,conv</t>
    </r>
  </si>
  <si>
    <r>
      <t>PC</t>
    </r>
    <r>
      <rPr>
        <b/>
        <vertAlign val="subscript"/>
        <sz val="11"/>
        <color indexed="9"/>
        <rFont val="Calibri"/>
        <family val="2"/>
      </rPr>
      <t>base, steam</t>
    </r>
  </si>
  <si>
    <r>
      <t>Idle</t>
    </r>
    <r>
      <rPr>
        <b/>
        <vertAlign val="subscript"/>
        <sz val="11"/>
        <color indexed="9"/>
        <rFont val="Calibri"/>
        <family val="2"/>
      </rPr>
      <t>ee, conv</t>
    </r>
    <r>
      <rPr>
        <b/>
        <sz val="11"/>
        <color indexed="9"/>
        <rFont val="Calibri"/>
        <family val="2"/>
      </rPr>
      <t xml:space="preserve"> (kW)</t>
    </r>
  </si>
  <si>
    <r>
      <t>Idle</t>
    </r>
    <r>
      <rPr>
        <b/>
        <vertAlign val="subscript"/>
        <sz val="11"/>
        <color indexed="9"/>
        <rFont val="Calibri"/>
        <family val="2"/>
      </rPr>
      <t>ee, steam</t>
    </r>
    <r>
      <rPr>
        <b/>
        <sz val="11"/>
        <color indexed="9"/>
        <rFont val="Calibri"/>
        <family val="2"/>
      </rPr>
      <t xml:space="preserve"> (kW)</t>
    </r>
  </si>
  <si>
    <r>
      <t>EFF</t>
    </r>
    <r>
      <rPr>
        <b/>
        <vertAlign val="subscript"/>
        <sz val="11"/>
        <color indexed="9"/>
        <rFont val="Calibri"/>
        <family val="2"/>
      </rPr>
      <t>ee, conv</t>
    </r>
  </si>
  <si>
    <r>
      <t>EFF</t>
    </r>
    <r>
      <rPr>
        <b/>
        <vertAlign val="subscript"/>
        <sz val="11"/>
        <color indexed="9"/>
        <rFont val="Calibri"/>
        <family val="2"/>
      </rPr>
      <t>ee, steam</t>
    </r>
  </si>
  <si>
    <r>
      <t>PC</t>
    </r>
    <r>
      <rPr>
        <b/>
        <vertAlign val="subscript"/>
        <sz val="11"/>
        <color indexed="9"/>
        <rFont val="Calibri"/>
        <family val="2"/>
      </rPr>
      <t>ee,conv</t>
    </r>
  </si>
  <si>
    <r>
      <t>PC</t>
    </r>
    <r>
      <rPr>
        <b/>
        <vertAlign val="subscript"/>
        <sz val="11"/>
        <color indexed="9"/>
        <rFont val="Calibri"/>
        <family val="2"/>
      </rPr>
      <t>ee, steam</t>
    </r>
  </si>
  <si>
    <r>
      <t>kWh</t>
    </r>
    <r>
      <rPr>
        <b/>
        <vertAlign val="subscript"/>
        <sz val="11"/>
        <color indexed="9"/>
        <rFont val="Calibri"/>
        <family val="2"/>
      </rPr>
      <t>base,conv</t>
    </r>
  </si>
  <si>
    <r>
      <t>kWh</t>
    </r>
    <r>
      <rPr>
        <b/>
        <vertAlign val="subscript"/>
        <sz val="11"/>
        <color indexed="9"/>
        <rFont val="Calibri"/>
        <family val="2"/>
      </rPr>
      <t>base,steam</t>
    </r>
  </si>
  <si>
    <r>
      <t>kWh</t>
    </r>
    <r>
      <rPr>
        <b/>
        <vertAlign val="subscript"/>
        <sz val="11"/>
        <color indexed="9"/>
        <rFont val="Calibri"/>
        <family val="2"/>
      </rPr>
      <t>ee,conv</t>
    </r>
  </si>
  <si>
    <r>
      <t>kWh</t>
    </r>
    <r>
      <rPr>
        <b/>
        <vertAlign val="subscript"/>
        <sz val="11"/>
        <color indexed="9"/>
        <rFont val="Calibri"/>
        <family val="2"/>
      </rPr>
      <t>ee,steam</t>
    </r>
  </si>
  <si>
    <t>NumPan</t>
  </si>
  <si>
    <t>CI-CO-PR-IT-CA-000006-01-FEPA-CI</t>
  </si>
  <si>
    <t>Parameter</t>
  </si>
  <si>
    <t>Baseline Model</t>
  </si>
  <si>
    <t>Energy Efficient Model</t>
  </si>
  <si>
    <t>Convection Mode</t>
  </si>
  <si>
    <t>Steam Mode</t>
  </si>
  <si>
    <r>
      <t>Hours</t>
    </r>
    <r>
      <rPr>
        <b/>
        <vertAlign val="subscript"/>
        <sz val="11"/>
        <color indexed="8"/>
        <rFont val="Calibri"/>
        <family val="2"/>
      </rPr>
      <t>DAY</t>
    </r>
  </si>
  <si>
    <t>Days</t>
  </si>
  <si>
    <r>
      <t>E</t>
    </r>
    <r>
      <rPr>
        <b/>
        <vertAlign val="subscript"/>
        <sz val="11"/>
        <color indexed="8"/>
        <rFont val="Calibri"/>
        <family val="2"/>
      </rPr>
      <t>FOOD, conv</t>
    </r>
  </si>
  <si>
    <r>
      <t>E</t>
    </r>
    <r>
      <rPr>
        <b/>
        <vertAlign val="subscript"/>
        <sz val="11"/>
        <color indexed="8"/>
        <rFont val="Calibri"/>
        <family val="2"/>
      </rPr>
      <t>FOOD,steam</t>
    </r>
  </si>
  <si>
    <t>PCT</t>
  </si>
  <si>
    <t>Idle (kW)</t>
  </si>
  <si>
    <t>less than 15</t>
  </si>
  <si>
    <t>0.08 x PANS + 0.4989</t>
  </si>
  <si>
    <t>0.133 x PANS + 0.64</t>
  </si>
  <si>
    <t>15 or greater</t>
  </si>
  <si>
    <t>EFF</t>
  </si>
  <si>
    <t>PC</t>
  </si>
  <si>
    <t>Per oven</t>
  </si>
  <si>
    <t>p 218</t>
  </si>
  <si>
    <t xml:space="preserve">  ENERGY STAR® Commercial Electric Convection Ovens</t>
  </si>
  <si>
    <t>ENERGY STAR®-certified convection ovens must be new. Used equipment is not eligible for incentives. New construction and replacement projects are eligible under this measure.</t>
  </si>
  <si>
    <t>Equipment Cost (excluding labor)</t>
  </si>
  <si>
    <t>Oven Size</t>
  </si>
  <si>
    <t>Idle Base (kW)</t>
  </si>
  <si>
    <t>Idle Eff. (kW)</t>
  </si>
  <si>
    <t>EFF Base</t>
  </si>
  <si>
    <t>EFF Eff.</t>
  </si>
  <si>
    <t>PC Base</t>
  </si>
  <si>
    <t>PC Eff.</t>
  </si>
  <si>
    <t>Size</t>
  </si>
  <si>
    <t>CI-CO-PR-IT-CA-000007-01-FEPA-CI</t>
  </si>
  <si>
    <t>Half Size</t>
  </si>
  <si>
    <t>Full Size</t>
  </si>
  <si>
    <r>
      <t>E</t>
    </r>
    <r>
      <rPr>
        <b/>
        <vertAlign val="subscript"/>
        <sz val="11"/>
        <color indexed="8"/>
        <rFont val="Calibri"/>
        <family val="2"/>
      </rPr>
      <t>FOOD</t>
    </r>
  </si>
  <si>
    <t>p 210</t>
  </si>
  <si>
    <t xml:space="preserve">  ENERGY STAR® Commercial Electric Steam Cookers</t>
  </si>
  <si>
    <t>Eligible steam cookers must be ENERGY STAR®-certified and have a cooking efficiency of at least 50%.  Only new, electric steam cookers are eligible for incentives.</t>
  </si>
  <si>
    <t>Equipment Cost (excluding Labor)</t>
  </si>
  <si>
    <r>
      <t>Lbs</t>
    </r>
    <r>
      <rPr>
        <b/>
        <vertAlign val="subscript"/>
        <sz val="11"/>
        <color indexed="9"/>
        <rFont val="Calibri"/>
        <family val="2"/>
      </rPr>
      <t>food</t>
    </r>
  </si>
  <si>
    <t>EnergytoFood</t>
  </si>
  <si>
    <r>
      <t>Eff</t>
    </r>
    <r>
      <rPr>
        <b/>
        <vertAlign val="subscript"/>
        <sz val="11"/>
        <color indexed="9"/>
        <rFont val="Calibri"/>
        <family val="2"/>
      </rPr>
      <t>ee</t>
    </r>
  </si>
  <si>
    <r>
      <t>Eff</t>
    </r>
    <r>
      <rPr>
        <b/>
        <vertAlign val="subscript"/>
        <sz val="11"/>
        <color indexed="9"/>
        <rFont val="Calibri"/>
        <family val="2"/>
      </rPr>
      <t>b</t>
    </r>
  </si>
  <si>
    <r>
      <t>Power</t>
    </r>
    <r>
      <rPr>
        <b/>
        <vertAlign val="subscript"/>
        <sz val="11"/>
        <color indexed="9"/>
        <rFont val="Calibri"/>
        <family val="2"/>
      </rPr>
      <t>idle-b</t>
    </r>
  </si>
  <si>
    <r>
      <t>Power</t>
    </r>
    <r>
      <rPr>
        <b/>
        <vertAlign val="subscript"/>
        <sz val="11"/>
        <color indexed="9"/>
        <rFont val="Calibri"/>
        <family val="2"/>
      </rPr>
      <t>idle-ee</t>
    </r>
  </si>
  <si>
    <r>
      <t>%Hours</t>
    </r>
    <r>
      <rPr>
        <b/>
        <vertAlign val="subscript"/>
        <sz val="11"/>
        <color indexed="9"/>
        <rFont val="Calibri"/>
        <family val="2"/>
      </rPr>
      <t>consteam</t>
    </r>
  </si>
  <si>
    <r>
      <t>Hours</t>
    </r>
    <r>
      <rPr>
        <b/>
        <vertAlign val="subscript"/>
        <sz val="11"/>
        <color indexed="9"/>
        <rFont val="Calibri"/>
        <family val="2"/>
      </rPr>
      <t>op</t>
    </r>
  </si>
  <si>
    <r>
      <t>Hours</t>
    </r>
    <r>
      <rPr>
        <b/>
        <vertAlign val="subscript"/>
        <sz val="11"/>
        <color indexed="9"/>
        <rFont val="Calibri"/>
        <family val="2"/>
      </rPr>
      <t>pre</t>
    </r>
  </si>
  <si>
    <r>
      <t>CAPY</t>
    </r>
    <r>
      <rPr>
        <b/>
        <vertAlign val="subscript"/>
        <sz val="11"/>
        <color indexed="9"/>
        <rFont val="Calibri"/>
        <family val="2"/>
      </rPr>
      <t>b</t>
    </r>
  </si>
  <si>
    <r>
      <t>CAPY</t>
    </r>
    <r>
      <rPr>
        <b/>
        <vertAlign val="subscript"/>
        <sz val="11"/>
        <color indexed="9"/>
        <rFont val="Calibri"/>
        <family val="2"/>
      </rPr>
      <t>ee</t>
    </r>
  </si>
  <si>
    <t>Demand Reductions kW</t>
  </si>
  <si>
    <r>
      <rPr>
        <b/>
        <sz val="11"/>
        <color theme="0"/>
        <rFont val="Calibri"/>
        <family val="2"/>
      </rPr>
      <t>Δ</t>
    </r>
    <r>
      <rPr>
        <b/>
        <sz val="11"/>
        <color theme="0"/>
        <rFont val="Calibri"/>
        <family val="2"/>
        <scheme val="minor"/>
      </rPr>
      <t>kWh Cooking</t>
    </r>
  </si>
  <si>
    <t>Daily kWh base</t>
  </si>
  <si>
    <t>Daily kWh EE</t>
  </si>
  <si>
    <r>
      <rPr>
        <b/>
        <sz val="11"/>
        <color theme="0"/>
        <rFont val="Calibri"/>
        <family val="2"/>
      </rPr>
      <t>Δ</t>
    </r>
    <r>
      <rPr>
        <b/>
        <sz val="11"/>
        <color theme="0"/>
        <rFont val="Calibri"/>
        <family val="2"/>
        <scheme val="minor"/>
      </rPr>
      <t>kWh idle</t>
    </r>
  </si>
  <si>
    <t>Energy Savings kWh</t>
  </si>
  <si>
    <t>Electric Steam Cooker</t>
  </si>
  <si>
    <t>Efficient Model</t>
  </si>
  <si>
    <t>Savings</t>
  </si>
  <si>
    <r>
      <t>Power</t>
    </r>
    <r>
      <rPr>
        <b/>
        <vertAlign val="subscript"/>
        <sz val="11"/>
        <color indexed="8"/>
        <rFont val="Calibri"/>
        <family val="2"/>
      </rPr>
      <t>idle</t>
    </r>
    <r>
      <rPr>
        <b/>
        <sz val="11"/>
        <color indexed="8"/>
        <rFont val="Calibri"/>
        <family val="2"/>
      </rPr>
      <t xml:space="preserve"> (kW)</t>
    </r>
  </si>
  <si>
    <t>CAPY (lb/h)</t>
  </si>
  <si>
    <r>
      <t>Lbs</t>
    </r>
    <r>
      <rPr>
        <b/>
        <vertAlign val="subscript"/>
        <sz val="11"/>
        <color indexed="8"/>
        <rFont val="Calibri"/>
        <family val="2"/>
      </rPr>
      <t>food</t>
    </r>
  </si>
  <si>
    <r>
      <t>Eff</t>
    </r>
    <r>
      <rPr>
        <b/>
        <vertAlign val="subscript"/>
        <sz val="11"/>
        <color indexed="8"/>
        <rFont val="Calibri"/>
        <family val="2"/>
      </rPr>
      <t>b</t>
    </r>
  </si>
  <si>
    <r>
      <t>Eff</t>
    </r>
    <r>
      <rPr>
        <b/>
        <vertAlign val="subscript"/>
        <sz val="11"/>
        <color indexed="8"/>
        <rFont val="Calibri"/>
        <family val="2"/>
      </rPr>
      <t>ee</t>
    </r>
  </si>
  <si>
    <r>
      <rPr>
        <b/>
        <sz val="11"/>
        <color indexed="8"/>
        <rFont val="Calibri"/>
        <family val="2"/>
      </rPr>
      <t>∆</t>
    </r>
    <r>
      <rPr>
        <b/>
        <sz val="11"/>
        <color indexed="8"/>
        <rFont val="Calibri"/>
        <family val="2"/>
      </rPr>
      <t>kW</t>
    </r>
  </si>
  <si>
    <r>
      <rPr>
        <b/>
        <sz val="11"/>
        <color indexed="8"/>
        <rFont val="Calibri"/>
        <family val="2"/>
      </rPr>
      <t>∆</t>
    </r>
    <r>
      <rPr>
        <b/>
        <sz val="11"/>
        <color indexed="8"/>
        <rFont val="Calibri"/>
        <family val="2"/>
      </rPr>
      <t>kWh</t>
    </r>
  </si>
  <si>
    <t>SDX Reporting Name</t>
  </si>
  <si>
    <t>CI-CO-PR-IT-CA-000001-01-FEPA-CI</t>
  </si>
  <si>
    <t>p 221</t>
  </si>
  <si>
    <t xml:space="preserve">  ENERGY STAR® Commercial Electric Fat Fryers</t>
  </si>
  <si>
    <t>F</t>
  </si>
  <si>
    <t>ENERGY STAR® fryers have advanced heat exchanger design and fry pot insulation to shorten cook times and reduce standby heat losses.  Only new (unused), electric, ENERGY STAR-certified fryers are eligible for incentives.</t>
  </si>
  <si>
    <t>Vat Type</t>
  </si>
  <si>
    <t>HOURS_DAY</t>
  </si>
  <si>
    <t>PRE_TIME (minutes/day)</t>
  </si>
  <si>
    <r>
      <t>E</t>
    </r>
    <r>
      <rPr>
        <b/>
        <vertAlign val="subscript"/>
        <sz val="11"/>
        <color indexed="9"/>
        <rFont val="Calibri"/>
        <family val="2"/>
      </rPr>
      <t>FOOD</t>
    </r>
    <r>
      <rPr>
        <b/>
        <sz val="11"/>
        <color indexed="9"/>
        <rFont val="Calibri"/>
        <family val="2"/>
      </rPr>
      <t xml:space="preserve"> (kWh/lb)</t>
    </r>
  </si>
  <si>
    <t>LB (lb/day)</t>
  </si>
  <si>
    <t>DAYS</t>
  </si>
  <si>
    <r>
      <t>kWH</t>
    </r>
    <r>
      <rPr>
        <b/>
        <vertAlign val="subscript"/>
        <sz val="11"/>
        <color indexed="9"/>
        <rFont val="Calibri"/>
        <family val="2"/>
      </rPr>
      <t>base</t>
    </r>
  </si>
  <si>
    <r>
      <t>kWH</t>
    </r>
    <r>
      <rPr>
        <b/>
        <vertAlign val="subscript"/>
        <sz val="11"/>
        <color indexed="9"/>
        <rFont val="Calibri"/>
        <family val="2"/>
      </rPr>
      <t>eff</t>
    </r>
  </si>
  <si>
    <t>Vat</t>
  </si>
  <si>
    <t>Electric Fryer</t>
  </si>
  <si>
    <t>CI-CO-PR-IT-CA-000002-01-FEPA-CI</t>
  </si>
  <si>
    <t>Standard Vat</t>
  </si>
  <si>
    <t>Large Vat</t>
  </si>
  <si>
    <t>Metric</t>
  </si>
  <si>
    <t>Hours per Day</t>
  </si>
  <si>
    <t>IDLE (kW)</t>
  </si>
  <si>
    <t>PC (lb/hr)</t>
  </si>
  <si>
    <t>Per fryer</t>
  </si>
  <si>
    <t>p 231</t>
  </si>
  <si>
    <t xml:space="preserve">  ENERGY STAR® Commercial Electric Griddles</t>
  </si>
  <si>
    <t>Eligible equipment must be ENERGY STAR®-certified. Only new (unused) equipment is eligible for incentives.</t>
  </si>
  <si>
    <r>
      <t>Cooking Surface Size (ft</t>
    </r>
    <r>
      <rPr>
        <b/>
        <vertAlign val="superscript"/>
        <sz val="11"/>
        <color indexed="9"/>
        <rFont val="Calibri"/>
        <family val="2"/>
      </rPr>
      <t>2</t>
    </r>
    <r>
      <rPr>
        <b/>
        <sz val="11"/>
        <color indexed="9"/>
        <rFont val="Calibri"/>
        <family val="2"/>
      </rPr>
      <t>)</t>
    </r>
  </si>
  <si>
    <t>PRE_NUMBER (preheats/day)</t>
  </si>
  <si>
    <t>Energy Savings (ΔkWh)</t>
  </si>
  <si>
    <t>Demand Reductions (kW)</t>
  </si>
  <si>
    <t>Cook</t>
  </si>
  <si>
    <t>Griddle</t>
  </si>
  <si>
    <t>CI-CO-PR-IT-CA-000004-01-FEPA-CI</t>
  </si>
  <si>
    <t>Per Griddle</t>
  </si>
  <si>
    <r>
      <t>IDLE (kW/ft</t>
    </r>
    <r>
      <rPr>
        <vertAlign val="superscript"/>
        <sz val="11"/>
        <color indexed="8"/>
        <rFont val="Calibri"/>
        <family val="2"/>
      </rPr>
      <t>2</t>
    </r>
    <r>
      <rPr>
        <sz val="11"/>
        <color theme="1"/>
        <rFont val="Calibri"/>
        <family val="2"/>
        <scheme val="minor"/>
      </rPr>
      <t>)</t>
    </r>
  </si>
  <si>
    <t>PHR (kW/ft2)</t>
  </si>
  <si>
    <t>p 224</t>
  </si>
  <si>
    <t xml:space="preserve">  ENERGY STAR® Commercial Hot Food Holding Cabinets</t>
  </si>
  <si>
    <t>ENERGY STAR® hot food holding cabinets have better designs with better insulation to reduce heat loss and maintain more uniform food temperature.  Only new (unused) equipment is eligible for incentives.</t>
  </si>
  <si>
    <r>
      <t>Cabinet Volume (ft</t>
    </r>
    <r>
      <rPr>
        <b/>
        <vertAlign val="superscript"/>
        <sz val="11"/>
        <color indexed="9"/>
        <rFont val="Calibri"/>
        <family val="2"/>
      </rPr>
      <t>3</t>
    </r>
    <r>
      <rPr>
        <b/>
        <sz val="11"/>
        <color indexed="9"/>
        <rFont val="Calibri"/>
        <family val="2"/>
      </rPr>
      <t>)</t>
    </r>
  </si>
  <si>
    <t>Cabinet Size Lookup</t>
  </si>
  <si>
    <r>
      <t>IDLE</t>
    </r>
    <r>
      <rPr>
        <b/>
        <vertAlign val="subscript"/>
        <sz val="11"/>
        <color indexed="9"/>
        <rFont val="Calibri"/>
        <family val="2"/>
      </rPr>
      <t>base</t>
    </r>
  </si>
  <si>
    <r>
      <t>IDLE</t>
    </r>
    <r>
      <rPr>
        <b/>
        <vertAlign val="subscript"/>
        <sz val="11"/>
        <color indexed="9"/>
        <rFont val="Calibri"/>
        <family val="2"/>
      </rPr>
      <t>eff</t>
    </r>
  </si>
  <si>
    <t>CabVol</t>
  </si>
  <si>
    <t>Qauntity</t>
  </si>
  <si>
    <t>Cabinet Size</t>
  </si>
  <si>
    <r>
      <t>IDLE</t>
    </r>
    <r>
      <rPr>
        <b/>
        <vertAlign val="subscript"/>
        <sz val="11"/>
        <color indexed="8"/>
        <rFont val="Calibri"/>
        <family val="2"/>
      </rPr>
      <t>base</t>
    </r>
  </si>
  <si>
    <r>
      <t>IDLE</t>
    </r>
    <r>
      <rPr>
        <b/>
        <vertAlign val="subscript"/>
        <sz val="11"/>
        <color indexed="8"/>
        <rFont val="Calibri"/>
        <family val="2"/>
      </rPr>
      <t>eff</t>
    </r>
  </si>
  <si>
    <t>40X Volume</t>
  </si>
  <si>
    <t>3.8 x Volume + 203.5</t>
  </si>
  <si>
    <t>CI-CO-PR-IT-CA-000005-01-FEPA-CI</t>
  </si>
  <si>
    <t>Three-Quarter Size</t>
  </si>
  <si>
    <t>2.0 x Volume + 254.0</t>
  </si>
  <si>
    <t>21.5 x Volume</t>
  </si>
  <si>
    <t>Per unit</t>
  </si>
  <si>
    <t>p 138</t>
  </si>
  <si>
    <t xml:space="preserve">   Pre-Rinse Spray Nozzels</t>
  </si>
  <si>
    <t>New pre-rinse spray nozzles must have an on/off squeeze lever, use less than 1.6 gallons per minute, and have a cleaning performance of at least 26 seconds to qualify. Only spray nozzles associated with electric water heating qualify for this measure.</t>
  </si>
  <si>
    <t xml:space="preserve">Application </t>
  </si>
  <si>
    <t>Fbase</t>
  </si>
  <si>
    <t>Fee</t>
  </si>
  <si>
    <t>Ubase</t>
  </si>
  <si>
    <t>Uee</t>
  </si>
  <si>
    <t>ETDF</t>
  </si>
  <si>
    <t>App</t>
  </si>
  <si>
    <t>Pre Rinse Spray Nozzles</t>
  </si>
  <si>
    <t>CI-CO-PR-IT-CA-000011-01-FEPA-CI</t>
  </si>
  <si>
    <t>Incentive (per spray nozzle)</t>
  </si>
  <si>
    <t>Pre Rinse Sprayer</t>
  </si>
  <si>
    <t>Table 3-87</t>
  </si>
  <si>
    <t>Commercial Prototype Building</t>
  </si>
  <si>
    <t>Quick-service Restaurant</t>
  </si>
  <si>
    <t>Full-service Restaurant</t>
  </si>
  <si>
    <t>Standalone Retail (Grocery)</t>
  </si>
  <si>
    <t>Default - Unknown</t>
  </si>
  <si>
    <t>Table 3-89</t>
  </si>
  <si>
    <t>Program: Application</t>
  </si>
  <si>
    <t>Flow Rate (GPM)</t>
  </si>
  <si>
    <t>Usage Duration (min/day)</t>
  </si>
  <si>
    <t>UEF</t>
  </si>
  <si>
    <t>Th</t>
  </si>
  <si>
    <t>TC</t>
  </si>
  <si>
    <t>Validation Options</t>
  </si>
  <si>
    <t>Nice Name</t>
  </si>
  <si>
    <t>Grocery</t>
  </si>
  <si>
    <t>Medium Sized Casual 
Dining Restaurants</t>
  </si>
  <si>
    <t>Full Service Restaurant</t>
  </si>
  <si>
    <t>Small Quick Service 
Restaurants</t>
  </si>
  <si>
    <t>Grocery or Unknown</t>
  </si>
  <si>
    <t>Limited Service (Fast Food) Restaurant</t>
  </si>
  <si>
    <t>Large Institutional Establishments 
with Cafeteria</t>
  </si>
  <si>
    <t>Other or Unknown</t>
  </si>
  <si>
    <t xml:space="preserve">Equipment Type 
</t>
  </si>
  <si>
    <t>Anti-sweat heaters</t>
  </si>
  <si>
    <t>No sweat doors</t>
  </si>
  <si>
    <t>Anti-sweat technology must be included to be eligible.</t>
  </si>
  <si>
    <t>None</t>
  </si>
  <si>
    <t>Error note</t>
  </si>
  <si>
    <t>Anti-sweat type</t>
  </si>
  <si>
    <t xml:space="preserve">Horizontal cases are not eligible. </t>
  </si>
  <si>
    <t>Horizontal</t>
  </si>
  <si>
    <t>Vertical</t>
  </si>
  <si>
    <t>kW Incentive</t>
  </si>
  <si>
    <t>kWh Incentive</t>
  </si>
  <si>
    <t>EUL</t>
  </si>
  <si>
    <t>Days/year</t>
  </si>
  <si>
    <t>Assumptions</t>
  </si>
  <si>
    <t>Added Doors</t>
  </si>
  <si>
    <t>Peak Demand Reductions (kW)</t>
  </si>
  <si>
    <t>Compressor kWh</t>
  </si>
  <si>
    <t>Errors</t>
  </si>
  <si>
    <t>Case Width (ft)</t>
  </si>
  <si>
    <t>Door anti-sweat tech</t>
  </si>
  <si>
    <t>Total Project Cost</t>
  </si>
  <si>
    <t>The eligible retrofit equipment is either no sweat doors or doors with anti-sweat heaters. If a lighting retrofit is included with the new doors, it must consume the same amount of energy or less energy than the old lighting. Upgrades to lighting or other system components should be processed separately. Horizontal cases are not eligible and should be processed as custom. - PA TRM 2021</t>
  </si>
  <si>
    <t>ADDING DOORS TO EXISTING REFRIGERATED DISPLAY CASES</t>
  </si>
  <si>
    <t>Pg 181</t>
  </si>
  <si>
    <t>Walk-in Door Gaskets</t>
  </si>
  <si>
    <t>Reach-in Door Gaskets</t>
  </si>
  <si>
    <t>ΔkW/Door</t>
  </si>
  <si>
    <t>ΔkWh/Door</t>
  </si>
  <si>
    <t>Freezers</t>
  </si>
  <si>
    <t>Coolers</t>
  </si>
  <si>
    <t>Case type</t>
  </si>
  <si>
    <t>Door Gasket Count</t>
  </si>
  <si>
    <r>
      <rPr>
        <b/>
        <sz val="11"/>
        <color theme="0"/>
        <rFont val="Times New Roman"/>
        <family val="1"/>
      </rPr>
      <t>Δ</t>
    </r>
    <r>
      <rPr>
        <b/>
        <sz val="9.9"/>
        <color theme="0"/>
        <rFont val="Calibri"/>
        <family val="2"/>
      </rPr>
      <t>kW/Door</t>
    </r>
  </si>
  <si>
    <r>
      <rPr>
        <b/>
        <sz val="11"/>
        <color theme="0"/>
        <rFont val="Times New Roman"/>
        <family val="1"/>
      </rPr>
      <t>Δ</t>
    </r>
    <r>
      <rPr>
        <b/>
        <sz val="9.9"/>
        <color theme="0"/>
        <rFont val="Calibri"/>
        <family val="2"/>
      </rPr>
      <t>kWh/Door</t>
    </r>
  </si>
  <si>
    <t>DOOR GASKETS FOR WALK-IN AND REACH-IN COOLERS AND FREEZERS</t>
  </si>
  <si>
    <t>Pg 174</t>
  </si>
  <si>
    <t>kWcooler</t>
  </si>
  <si>
    <t>kWhcooler</t>
  </si>
  <si>
    <t>Auto Closer</t>
  </si>
  <si>
    <t>This protocol documents the energy savings attributed to installation of auto closers in walk-incoolers and freezers. The auto-closer must be able to firmly close the door when it is within oneinch of full closure. The walk-in door perimeter must be ≥ 16 feet. - PA TRM 2021</t>
  </si>
  <si>
    <t>Pg 172</t>
  </si>
  <si>
    <t>Chris Walters</t>
  </si>
  <si>
    <t>Added Adding Doors, Door Gaskets, Auto Door Closers, Defrost Controls, ECM Fan Motors, Evaporator Fan Speed Controls</t>
  </si>
  <si>
    <t>Door Gaskets</t>
  </si>
  <si>
    <t>ECM Evaporator Fan Motors</t>
  </si>
  <si>
    <t>Evaporator Fan Controls</t>
  </si>
  <si>
    <t>Add Doors to Open Refrigerated Cases</t>
  </si>
  <si>
    <t>Automatic Door Closers</t>
  </si>
  <si>
    <t>Evaporator Coil Defrost Control</t>
  </si>
  <si>
    <t xml:space="preserve"> This protocol applies to the main doors of both low temperature (“freezer” – below 32 °F) and medium temperature (“cooler” – above 32 °F) walk-ins and reach-ins.</t>
  </si>
  <si>
    <t>Commercial Dishwasher</t>
  </si>
  <si>
    <t>add Energy Star ID?</t>
  </si>
  <si>
    <t>Check kW non coincident</t>
  </si>
  <si>
    <t>Rounding</t>
  </si>
  <si>
    <t>Use default table in TRM?</t>
  </si>
  <si>
    <t>what if gas water heater? TRM assumes says Note that if a building only has a natural gas water heater, then there will still be savings from reduction in idle energy., might add gas at 0.8eff</t>
  </si>
  <si>
    <t>no option for Early replacement in TRM</t>
  </si>
  <si>
    <t>FEPA rebates missing High Temp Pot,Pan</t>
  </si>
  <si>
    <t>Notes for review</t>
  </si>
  <si>
    <t>Pot, Pan, and Utensil</t>
  </si>
  <si>
    <t>Multi Tank Conveyor</t>
  </si>
  <si>
    <t>Single Tank Conveyor</t>
  </si>
  <si>
    <t>Stationary Single Tank Door</t>
  </si>
  <si>
    <t>Under Counter</t>
  </si>
  <si>
    <t>High Temperature</t>
  </si>
  <si>
    <t>N/A</t>
  </si>
  <si>
    <t>Per dishwasher</t>
  </si>
  <si>
    <t>Low Temperature</t>
  </si>
  <si>
    <t>Off from TRM calculation</t>
  </si>
  <si>
    <r>
      <t>∆kW</t>
    </r>
    <r>
      <rPr>
        <b/>
        <vertAlign val="subscript"/>
        <sz val="10"/>
        <color rgb="FF000000"/>
        <rFont val="Arial"/>
        <family val="2"/>
      </rPr>
      <t>peak</t>
    </r>
  </si>
  <si>
    <t>∆kWh (if Electric Water Heater and Booster Water Heater)</t>
  </si>
  <si>
    <r>
      <t>∆kWh</t>
    </r>
    <r>
      <rPr>
        <b/>
        <vertAlign val="subscript"/>
        <sz val="10"/>
        <color rgb="FF000000"/>
        <rFont val="Arial"/>
        <family val="2"/>
      </rPr>
      <t>Idle</t>
    </r>
  </si>
  <si>
    <r>
      <t>∆kWh</t>
    </r>
    <r>
      <rPr>
        <b/>
        <vertAlign val="subscript"/>
        <sz val="10"/>
        <color rgb="FF000000"/>
        <rFont val="Arial"/>
        <family val="2"/>
      </rPr>
      <t>BoosterHeater</t>
    </r>
  </si>
  <si>
    <r>
      <t>∆kWh</t>
    </r>
    <r>
      <rPr>
        <b/>
        <vertAlign val="subscript"/>
        <sz val="10"/>
        <color rgb="FF000000"/>
        <rFont val="Arial"/>
        <family val="2"/>
      </rPr>
      <t>WaterHeater</t>
    </r>
  </si>
  <si>
    <t>Low Temp</t>
  </si>
  <si>
    <t>PA TRM Default table</t>
  </si>
  <si>
    <t>High Temp</t>
  </si>
  <si>
    <t>Dishwasher Incentive</t>
  </si>
  <si>
    <t>kWEE</t>
  </si>
  <si>
    <t>WT</t>
  </si>
  <si>
    <t>RW</t>
  </si>
  <si>
    <t>WuEE</t>
  </si>
  <si>
    <t>kWbase</t>
  </si>
  <si>
    <t>Wubase</t>
  </si>
  <si>
    <t>Energy Star Version 2.0</t>
  </si>
  <si>
    <t>Base (PY16)</t>
  </si>
  <si>
    <t>Type</t>
  </si>
  <si>
    <t>ΔkWh_idle</t>
  </si>
  <si>
    <t>ΔkWh_booster</t>
  </si>
  <si>
    <t>ΔkWh_water heater</t>
  </si>
  <si>
    <t>WUEE</t>
  </si>
  <si>
    <t>Temperature</t>
  </si>
  <si>
    <t>Eligible equipment must be ENERGY STAR® certified. Must be stationary or conveyor type commercial dishwasher.</t>
  </si>
  <si>
    <t xml:space="preserve">   ENERGY STAR® Commercial Dishwasher</t>
  </si>
  <si>
    <t>p 228</t>
  </si>
  <si>
    <t>Needs eNav connection</t>
  </si>
  <si>
    <t>No option in rebate for PMS ee motor</t>
  </si>
  <si>
    <t>Confirm TRM assumptions can be used in this rebate</t>
  </si>
  <si>
    <t>no option for New or Replace on Burnout in TRM</t>
  </si>
  <si>
    <t>HP</t>
  </si>
  <si>
    <t>Default</t>
  </si>
  <si>
    <t>Motor Type</t>
  </si>
  <si>
    <t>ECM</t>
  </si>
  <si>
    <t>LF</t>
  </si>
  <si>
    <t>Watts</t>
  </si>
  <si>
    <t>Permanent Magnet Synchronous</t>
  </si>
  <si>
    <t>Electronically Commutated motor</t>
  </si>
  <si>
    <t>n_ee</t>
  </si>
  <si>
    <t>Permanent Split Capacitor</t>
  </si>
  <si>
    <t>Shaded-Pole</t>
  </si>
  <si>
    <t>n_base</t>
  </si>
  <si>
    <t>ECM Evaporator Fan Motor</t>
  </si>
  <si>
    <t>Permanent Split Capacitor Freezer</t>
  </si>
  <si>
    <t>Shaded-Pole Freezer</t>
  </si>
  <si>
    <t>Permanent Split Capacitor Cooler</t>
  </si>
  <si>
    <t>Shaded-Pole Cooler</t>
  </si>
  <si>
    <t>Hours per year</t>
  </si>
  <si>
    <t>WHFe</t>
  </si>
  <si>
    <t>%on_uncontrolled</t>
  </si>
  <si>
    <t>ECM Motor - The baseline condition assumes the evaporator fan motor is uncontrolled (i.e., it runs continuously). This measure is not applicable for new construction or replace on burnout projects.</t>
  </si>
  <si>
    <t>Fan Motor</t>
  </si>
  <si>
    <t>TRM assumptions</t>
  </si>
  <si>
    <t>(PY16)</t>
  </si>
  <si>
    <t>motortypeee</t>
  </si>
  <si>
    <t>HPee</t>
  </si>
  <si>
    <t>controlsbase</t>
  </si>
  <si>
    <t>motortypebase</t>
  </si>
  <si>
    <t>HPbase</t>
  </si>
  <si>
    <r>
      <t>Demand Reductions (kW</t>
    </r>
    <r>
      <rPr>
        <b/>
        <sz val="11"/>
        <color indexed="9"/>
        <rFont val="Calibri"/>
        <family val="2"/>
      </rPr>
      <t>)</t>
    </r>
  </si>
  <si>
    <t>CF_motor</t>
  </si>
  <si>
    <t>kWhee</t>
  </si>
  <si>
    <t>WHFtype</t>
  </si>
  <si>
    <t>Proposed Motor Type</t>
  </si>
  <si>
    <t>HP of Motor being installed</t>
  </si>
  <si>
    <t>Controls</t>
  </si>
  <si>
    <t>Existing Motor Type</t>
  </si>
  <si>
    <t>HP of Motor being replaced</t>
  </si>
  <si>
    <t>Refrigeration Unit Type</t>
  </si>
  <si>
    <t>Installation of a ECM motor to replace a permanent split capacitor or shaded pole motor in a commercial refrigeration unit.</t>
  </si>
  <si>
    <t>page 148</t>
  </si>
  <si>
    <t>PA TRM</t>
  </si>
  <si>
    <t>Check kW Peak</t>
  </si>
  <si>
    <t>PA/NY TRM missing PSC motor option</t>
  </si>
  <si>
    <t>remove uknown controller selection?</t>
  </si>
  <si>
    <t>Micropulse</t>
  </si>
  <si>
    <t>ON/OFF</t>
  </si>
  <si>
    <t>n</t>
  </si>
  <si>
    <t>%on_controlled</t>
  </si>
  <si>
    <t xml:space="preserve"> ECM Controls - This protocol documents the energy savings attributed to installation of evaporator fan controls in medium-temperature walk-in or reach-in coolers and low temperature walk-in or reach-in freezers. The baseline case is assumed to be a shaded pole (SP) motor without controls or an electronically-commutated motor (ECM) without controls.</t>
  </si>
  <si>
    <t>Retrofit</t>
  </si>
  <si>
    <t>Fan Control</t>
  </si>
  <si>
    <t>controltype</t>
  </si>
  <si>
    <t>%Oncontrol</t>
  </si>
  <si>
    <t>kW</t>
  </si>
  <si>
    <t>Proposed Control Type</t>
  </si>
  <si>
    <t>Installation of On/Off controls or multispeed controls for an uncontrolled ECM, permanent split capacitor, or shaded pole motor in a commercial refrigeration unit.</t>
  </si>
  <si>
    <t>page 151</t>
  </si>
  <si>
    <t>Existing Controls</t>
  </si>
  <si>
    <t>Quantity of Controllers</t>
  </si>
  <si>
    <t>HP of Fan Motor</t>
  </si>
  <si>
    <t>Number of Fans Controlled</t>
  </si>
  <si>
    <r>
      <t>Total Demand Reduction  (kW</t>
    </r>
    <r>
      <rPr>
        <b/>
        <sz val="11"/>
        <color indexed="9"/>
        <rFont val="Calibri"/>
        <family val="2"/>
      </rPr>
      <t>)</t>
    </r>
  </si>
  <si>
    <t>Total kW Reduction</t>
  </si>
  <si>
    <t>Food Service and Refrigeration Equipment Incentive Program</t>
  </si>
  <si>
    <t>Only the installation of new defrost controls on existing evaporators, with electric defrost without controls, are eligible for incentives.</t>
  </si>
  <si>
    <t>Evaporator Coil Defrost Controls</t>
  </si>
  <si>
    <r>
      <t>kW</t>
    </r>
    <r>
      <rPr>
        <vertAlign val="subscript"/>
        <sz val="11"/>
        <color rgb="FF005CB8"/>
        <rFont val="Calibri"/>
        <family val="2"/>
      </rPr>
      <t>DE</t>
    </r>
  </si>
  <si>
    <t>SVG</t>
  </si>
  <si>
    <t>BF_cooler</t>
  </si>
  <si>
    <t>BF_freezer</t>
  </si>
  <si>
    <t>Incentive/Controller</t>
  </si>
  <si>
    <t>Number of Controllers Installed</t>
  </si>
  <si>
    <t xml:space="preserve">Selection </t>
  </si>
  <si>
    <t>Penelec - LCI</t>
  </si>
  <si>
    <t>Utility - Customer Type</t>
  </si>
  <si>
    <t>\</t>
  </si>
  <si>
    <t>FE</t>
  </si>
  <si>
    <t xml:space="preserve">Jacob Steele </t>
  </si>
  <si>
    <t>Updated incentive in line with FEPA incentive changes effective 7/15/25. Added dropdown selection to summary page and integrated into incentive rate on each tab.</t>
  </si>
  <si>
    <t>Met-Ed LCI/SCI</t>
  </si>
  <si>
    <t>Updated incentive in line with FEPA incentive changes effective 9/1/25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</si>
</sst>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quot;$&quot;#,##0.00"/>
    <numFmt numFmtId="165" formatCode="#,##0.000"/>
    <numFmt numFmtId="166" formatCode="#,##0.0"/>
    <numFmt numFmtId="167" formatCode="0.000"/>
    <numFmt numFmtId="168" formatCode="0.0"/>
    <numFmt numFmtId="169" formatCode="_([$$-409]* #,##0.00_);_([$$-409]* \(#,##0.00\);_([$$-409]* &quot;-&quot;??_);_(@_)"/>
    <numFmt numFmtId="170" formatCode="0.00000"/>
    <numFmt numFmtId="171" formatCode="0.0000"/>
    <numFmt numFmtId="172" formatCode="#,##0.0000"/>
    <numFmt numFmtId="173" formatCode="0.000000000"/>
  </numFmts>
  <fonts count="63" x14ac:knownFonts="1">
    <font>
      <sz val="11"/>
      <color theme="1"/>
      <name val="Calibri"/>
      <family val="2"/>
      <scheme val="minor"/>
    </font>
    <font>
      <b/>
      <sz val="11"/>
      <color indexed="9"/>
      <name val="Calibri"/>
      <family val="2"/>
    </font>
    <font>
      <b/>
      <sz val="11"/>
      <color indexed="8"/>
      <name val="Calibri"/>
      <family val="2"/>
    </font>
    <font>
      <sz val="11"/>
      <color indexed="8"/>
      <name val="Calibri"/>
      <family val="2"/>
    </font>
    <font>
      <b/>
      <vertAlign val="superscript"/>
      <sz val="11"/>
      <color indexed="9"/>
      <name val="Calibri"/>
      <family val="2"/>
    </font>
    <font>
      <b/>
      <vertAlign val="subscript"/>
      <sz val="11"/>
      <color indexed="9"/>
      <name val="Calibri"/>
      <family val="2"/>
    </font>
    <font>
      <b/>
      <sz val="9"/>
      <color indexed="81"/>
      <name val="Tahoma"/>
      <family val="2"/>
    </font>
    <font>
      <sz val="9"/>
      <color indexed="81"/>
      <name val="Tahoma"/>
      <family val="2"/>
    </font>
    <font>
      <b/>
      <vertAlign val="subscript"/>
      <sz val="11"/>
      <color indexed="8"/>
      <name val="Calibri"/>
      <family val="2"/>
    </font>
    <font>
      <vertAlign val="superscript"/>
      <sz val="11"/>
      <color indexed="8"/>
      <name val="Calibri"/>
      <family val="2"/>
    </font>
    <font>
      <b/>
      <vertAlign val="superscript"/>
      <sz val="11"/>
      <color indexed="8"/>
      <name val="Calibri"/>
      <family val="2"/>
    </font>
    <font>
      <sz val="10"/>
      <color indexed="8"/>
      <name val="Calibri"/>
      <family val="2"/>
    </font>
    <font>
      <b/>
      <sz val="10"/>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color theme="1"/>
      <name val="Calibri"/>
      <family val="2"/>
    </font>
    <font>
      <sz val="11"/>
      <name val="Calibri"/>
      <family val="2"/>
      <scheme val="minor"/>
    </font>
    <font>
      <sz val="8"/>
      <color theme="0"/>
      <name val="Calibri"/>
      <family val="2"/>
      <scheme val="minor"/>
    </font>
    <font>
      <b/>
      <sz val="10"/>
      <color theme="1"/>
      <name val="Calibri"/>
      <family val="2"/>
      <scheme val="minor"/>
    </font>
    <font>
      <b/>
      <sz val="18"/>
      <color theme="0"/>
      <name val="Calibri"/>
      <family val="2"/>
      <scheme val="minor"/>
    </font>
    <font>
      <b/>
      <sz val="16"/>
      <color theme="1"/>
      <name val="Calibri"/>
      <family val="2"/>
      <scheme val="minor"/>
    </font>
    <font>
      <b/>
      <sz val="10"/>
      <color theme="0"/>
      <name val="Calibri"/>
      <family val="2"/>
      <scheme val="minor"/>
    </font>
    <font>
      <b/>
      <sz val="16"/>
      <color theme="0"/>
      <name val="Calibri"/>
      <family val="2"/>
      <scheme val="minor"/>
    </font>
    <font>
      <sz val="10"/>
      <color theme="1"/>
      <name val="Calibri"/>
      <family val="2"/>
      <scheme val="minor"/>
    </font>
    <font>
      <sz val="9"/>
      <color rgb="FF000000"/>
      <name val="Arial"/>
      <family val="2"/>
    </font>
    <font>
      <sz val="10"/>
      <name val="Calibri"/>
      <family val="2"/>
      <scheme val="minor"/>
    </font>
    <font>
      <sz val="14"/>
      <color theme="1"/>
      <name val="Calibri"/>
      <family val="2"/>
      <scheme val="minor"/>
    </font>
    <font>
      <sz val="24"/>
      <color theme="0"/>
      <name val="Calibri"/>
      <family val="2"/>
      <scheme val="minor"/>
    </font>
    <font>
      <sz val="14"/>
      <color theme="0"/>
      <name val="Calibri"/>
      <family val="2"/>
      <scheme val="minor"/>
    </font>
    <font>
      <b/>
      <sz val="11"/>
      <color theme="0"/>
      <name val="Calibri"/>
      <family val="2"/>
    </font>
    <font>
      <vertAlign val="superscript"/>
      <sz val="11"/>
      <color theme="1"/>
      <name val="Calibri"/>
      <family val="2"/>
    </font>
    <font>
      <vertAlign val="superscript"/>
      <sz val="11"/>
      <color theme="1"/>
      <name val="Calibri"/>
      <family val="2"/>
      <scheme val="minor"/>
    </font>
    <font>
      <b/>
      <vertAlign val="subscript"/>
      <sz val="11"/>
      <color theme="0"/>
      <name val="Calibri"/>
      <family val="2"/>
      <scheme val="minor"/>
    </font>
    <font>
      <b/>
      <sz val="14"/>
      <color theme="1"/>
      <name val="Calibri"/>
      <family val="2"/>
      <scheme val="minor"/>
    </font>
    <font>
      <sz val="8"/>
      <name val="Calibri"/>
      <family val="2"/>
      <scheme val="minor"/>
    </font>
    <font>
      <sz val="11"/>
      <color rgb="FF0070C0"/>
      <name val="Calibri"/>
      <family val="2"/>
      <scheme val="minor"/>
    </font>
    <font>
      <b/>
      <sz val="11"/>
      <color rgb="FF0070C0"/>
      <name val="Calibri"/>
      <family val="2"/>
      <scheme val="minor"/>
    </font>
    <font>
      <sz val="10"/>
      <color rgb="FF0070C0"/>
      <name val="Calibri"/>
      <family val="2"/>
      <scheme val="minor"/>
    </font>
    <font>
      <sz val="11"/>
      <color rgb="FF005CB8"/>
      <name val="Calibri"/>
      <family val="2"/>
      <scheme val="minor"/>
    </font>
    <font>
      <vertAlign val="subscript"/>
      <sz val="11"/>
      <color rgb="FF005CB8"/>
      <name val="Calibri"/>
      <family val="2"/>
    </font>
    <font>
      <sz val="11"/>
      <color rgb="FF9C6500"/>
      <name val="Calibri"/>
      <family val="2"/>
      <scheme val="minor"/>
    </font>
    <font>
      <sz val="11"/>
      <color rgb="FFFF0000"/>
      <name val="Calibri"/>
      <family val="2"/>
      <scheme val="minor"/>
    </font>
    <font>
      <b/>
      <sz val="11"/>
      <color rgb="FF005CB8"/>
      <name val="Calibri"/>
      <family val="2"/>
      <scheme val="minor"/>
    </font>
    <font>
      <b/>
      <i/>
      <sz val="11"/>
      <color theme="0"/>
      <name val="Calibri"/>
      <family val="2"/>
      <scheme val="minor"/>
    </font>
    <font>
      <b/>
      <i/>
      <sz val="11"/>
      <color theme="1"/>
      <name val="Calibri"/>
      <family val="2"/>
      <scheme val="minor"/>
    </font>
    <font>
      <b/>
      <i/>
      <sz val="11"/>
      <color rgb="FF0070C0"/>
      <name val="Calibri"/>
      <family val="2"/>
      <scheme val="minor"/>
    </font>
    <font>
      <sz val="11"/>
      <color rgb="FF000000"/>
      <name val="Calibri"/>
      <family val="2"/>
      <scheme val="minor"/>
    </font>
    <font>
      <b/>
      <sz val="11"/>
      <color rgb="FFFF0000"/>
      <name val="Calibri"/>
      <family val="2"/>
      <scheme val="minor"/>
    </font>
    <font>
      <u/>
      <sz val="11"/>
      <name val="Calibri"/>
      <family val="2"/>
      <scheme val="minor"/>
    </font>
    <font>
      <b/>
      <sz val="11"/>
      <color rgb="FF000000"/>
      <name val="Calibri"/>
      <family val="2"/>
      <scheme val="minor"/>
    </font>
    <font>
      <b/>
      <sz val="11"/>
      <color theme="1"/>
      <name val="Times New Roman"/>
      <family val="1"/>
    </font>
    <font>
      <b/>
      <sz val="11"/>
      <color theme="0"/>
      <name val="Calibri"/>
      <family val="1"/>
    </font>
    <font>
      <b/>
      <sz val="11"/>
      <color theme="0"/>
      <name val="Times New Roman"/>
      <family val="1"/>
    </font>
    <font>
      <b/>
      <sz val="9.9"/>
      <color theme="0"/>
      <name val="Calibri"/>
      <family val="2"/>
    </font>
    <font>
      <sz val="10"/>
      <color theme="1"/>
      <name val="Arial"/>
      <family val="2"/>
    </font>
    <font>
      <b/>
      <sz val="10"/>
      <color rgb="FF000000"/>
      <name val="Arial"/>
      <family val="2"/>
    </font>
    <font>
      <b/>
      <vertAlign val="subscript"/>
      <sz val="10"/>
      <color rgb="FF000000"/>
      <name val="Arial"/>
      <family val="2"/>
    </font>
    <font>
      <b/>
      <sz val="10"/>
      <color theme="1"/>
      <name val="Arial"/>
      <family val="2"/>
    </font>
    <font>
      <b/>
      <sz val="14"/>
      <color theme="0"/>
      <name val="Calibri"/>
      <family val="2"/>
      <scheme val="minor"/>
    </font>
  </fonts>
  <fills count="25">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C00000"/>
        <bgColor indexed="64"/>
      </patternFill>
    </fill>
    <fill>
      <patternFill patternType="solid">
        <fgColor theme="1" tint="0.249977111117893"/>
        <bgColor indexed="64"/>
      </patternFill>
    </fill>
    <fill>
      <patternFill patternType="solid">
        <fgColor rgb="FFFF0000"/>
        <bgColor indexed="64"/>
      </patternFill>
    </fill>
    <fill>
      <patternFill patternType="solid">
        <fgColor rgb="FF005CB8"/>
        <bgColor indexed="64"/>
      </patternFill>
    </fill>
    <fill>
      <patternFill patternType="solid">
        <fgColor rgb="FFFFEB9C"/>
      </patternFill>
    </fill>
    <fill>
      <patternFill patternType="solid">
        <fgColor rgb="FF00B050"/>
        <bgColor indexed="64"/>
      </patternFill>
    </fill>
    <fill>
      <patternFill patternType="solid">
        <fgColor rgb="FFFFFF00"/>
        <bgColor indexed="64"/>
      </patternFill>
    </fill>
    <fill>
      <patternFill patternType="solid">
        <fgColor rgb="FFF2F2F2"/>
        <bgColor indexed="64"/>
      </patternFill>
    </fill>
    <fill>
      <patternFill patternType="solid">
        <fgColor rgb="FFBFBFBF"/>
        <bgColor indexed="64"/>
      </patternFill>
    </fill>
    <fill>
      <patternFill patternType="solid">
        <fgColor theme="2"/>
        <bgColor indexed="64"/>
      </patternFill>
    </fill>
    <fill>
      <patternFill patternType="solid">
        <fgColor rgb="FFD0CECE"/>
        <bgColor indexed="64"/>
      </patternFill>
    </fill>
    <fill>
      <patternFill patternType="solid">
        <fgColor theme="1"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s>
  <cellStyleXfs count="6">
    <xf numFmtId="0" fontId="0" fillId="0" borderId="0"/>
    <xf numFmtId="43" fontId="13" fillId="0" borderId="0" applyFont="0" applyFill="0" applyBorder="0" applyAlignment="0" applyProtection="0"/>
    <xf numFmtId="44" fontId="13" fillId="0" borderId="0" applyFont="0" applyFill="0" applyBorder="0" applyAlignment="0" applyProtection="0"/>
    <xf numFmtId="0" fontId="16" fillId="0" borderId="0" applyNumberFormat="0" applyFill="0" applyBorder="0" applyAlignment="0" applyProtection="0"/>
    <xf numFmtId="9" fontId="13" fillId="0" borderId="0" applyFont="0" applyFill="0" applyBorder="0" applyAlignment="0" applyProtection="0"/>
    <xf numFmtId="0" fontId="44" fillId="17" borderId="0" applyNumberFormat="0" applyBorder="0" applyAlignment="0" applyProtection="0"/>
  </cellStyleXfs>
  <cellXfs count="580">
    <xf numFmtId="0" fontId="0" fillId="0" borderId="0" xfId="0"/>
    <xf numFmtId="0" fontId="17" fillId="0" borderId="0" xfId="0" applyFont="1" applyAlignment="1">
      <alignment horizontal="right"/>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3" borderId="1" xfId="0" applyFill="1" applyBorder="1" applyAlignment="1">
      <alignment horizontal="left"/>
    </xf>
    <xf numFmtId="0" fontId="0" fillId="0" borderId="1" xfId="0" applyBorder="1" applyAlignment="1">
      <alignment horizontal="left"/>
    </xf>
    <xf numFmtId="0" fontId="0" fillId="4" borderId="1" xfId="0" applyFill="1" applyBorder="1" applyAlignment="1">
      <alignment horizontal="center" vertical="center" wrapText="1"/>
    </xf>
    <xf numFmtId="2" fontId="0" fillId="6" borderId="1" xfId="0" applyNumberForma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0" fillId="6" borderId="1" xfId="0" applyFill="1" applyBorder="1"/>
    <xf numFmtId="0" fontId="18" fillId="3" borderId="1" xfId="0" applyFont="1" applyFill="1" applyBorder="1" applyAlignment="1">
      <alignment horizontal="center" vertical="center" wrapText="1"/>
    </xf>
    <xf numFmtId="0" fontId="0" fillId="3" borderId="1" xfId="0" applyFill="1" applyBorder="1" applyAlignment="1">
      <alignment horizontal="center" vertical="center"/>
    </xf>
    <xf numFmtId="2" fontId="0" fillId="4" borderId="1" xfId="0" applyNumberFormat="1" applyFill="1" applyBorder="1" applyAlignment="1">
      <alignment horizontal="center" vertical="center" wrapText="1"/>
    </xf>
    <xf numFmtId="2" fontId="13" fillId="4" borderId="1" xfId="1" applyNumberFormat="1" applyFont="1" applyFill="1" applyBorder="1" applyAlignment="1" applyProtection="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left" vertical="center"/>
    </xf>
    <xf numFmtId="0" fontId="0" fillId="9" borderId="1" xfId="0" applyFill="1" applyBorder="1"/>
    <xf numFmtId="167" fontId="0" fillId="6" borderId="1" xfId="0" applyNumberFormat="1" applyFill="1" applyBorder="1" applyAlignment="1">
      <alignment horizontal="center" vertical="center" wrapText="1"/>
    </xf>
    <xf numFmtId="2" fontId="0" fillId="0" borderId="1" xfId="0" applyNumberFormat="1" applyBorder="1" applyAlignment="1">
      <alignment horizontal="center" vertical="center"/>
    </xf>
    <xf numFmtId="167" fontId="0" fillId="0" borderId="1" xfId="0" applyNumberFormat="1" applyBorder="1" applyAlignment="1">
      <alignment horizontal="center" vertical="center"/>
    </xf>
    <xf numFmtId="0" fontId="18" fillId="6" borderId="1" xfId="0" applyFont="1" applyFill="1" applyBorder="1" applyAlignment="1">
      <alignment vertical="center" wrapText="1"/>
    </xf>
    <xf numFmtId="0" fontId="0" fillId="5" borderId="0" xfId="0" applyFill="1"/>
    <xf numFmtId="0" fontId="0" fillId="0" borderId="0" xfId="0" applyAlignment="1">
      <alignment vertical="top"/>
    </xf>
    <xf numFmtId="0" fontId="0" fillId="8" borderId="0" xfId="0" applyFill="1"/>
    <xf numFmtId="0" fontId="0" fillId="0" borderId="0" xfId="0" applyAlignment="1">
      <alignment horizontal="left" vertical="center"/>
    </xf>
    <xf numFmtId="43" fontId="0" fillId="0" borderId="1" xfId="0" applyNumberFormat="1" applyBorder="1" applyAlignment="1">
      <alignment horizontal="center" vertical="center"/>
    </xf>
    <xf numFmtId="1" fontId="0" fillId="0" borderId="1" xfId="0" applyNumberFormat="1" applyBorder="1" applyAlignment="1">
      <alignment horizontal="center" vertical="center"/>
    </xf>
    <xf numFmtId="2" fontId="0" fillId="0" borderId="4" xfId="0" applyNumberFormat="1" applyBorder="1" applyAlignment="1">
      <alignment horizontal="center" vertical="center"/>
    </xf>
    <xf numFmtId="43" fontId="0" fillId="0" borderId="4" xfId="0" applyNumberForma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164" fontId="13" fillId="0" borderId="5" xfId="1" applyNumberFormat="1" applyFont="1" applyBorder="1" applyAlignment="1" applyProtection="1">
      <alignment horizontal="right" vertical="center"/>
    </xf>
    <xf numFmtId="164" fontId="13" fillId="0" borderId="6" xfId="1" applyNumberFormat="1" applyFont="1" applyBorder="1" applyAlignment="1" applyProtection="1">
      <alignment horizontal="right" vertical="center"/>
    </xf>
    <xf numFmtId="0" fontId="0" fillId="2" borderId="0" xfId="0" applyFill="1"/>
    <xf numFmtId="164" fontId="0" fillId="4" borderId="1" xfId="0" applyNumberFormat="1" applyFill="1" applyBorder="1" applyAlignment="1">
      <alignment horizontal="center" vertical="center"/>
    </xf>
    <xf numFmtId="0" fontId="20" fillId="7"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11" borderId="1" xfId="0" applyFill="1" applyBorder="1" applyAlignment="1">
      <alignment horizontal="center" vertical="center"/>
    </xf>
    <xf numFmtId="2" fontId="0" fillId="4" borderId="1" xfId="0" applyNumberFormat="1" applyFill="1" applyBorder="1" applyAlignment="1">
      <alignment horizontal="center" vertical="center"/>
    </xf>
    <xf numFmtId="0" fontId="17" fillId="6" borderId="1" xfId="0" applyFont="1" applyFill="1" applyBorder="1" applyAlignment="1">
      <alignment vertical="center"/>
    </xf>
    <xf numFmtId="0" fontId="17" fillId="6" borderId="1" xfId="0" applyFont="1" applyFill="1" applyBorder="1"/>
    <xf numFmtId="0" fontId="17" fillId="0" borderId="1" xfId="0" applyFont="1" applyBorder="1" applyAlignment="1">
      <alignment horizontal="center"/>
    </xf>
    <xf numFmtId="168" fontId="0" fillId="0" borderId="1" xfId="0" applyNumberFormat="1" applyBorder="1" applyAlignment="1">
      <alignment horizontal="center" vertical="center"/>
    </xf>
    <xf numFmtId="168" fontId="0" fillId="0" borderId="1" xfId="0" applyNumberFormat="1" applyBorder="1" applyAlignment="1" applyProtection="1">
      <alignment horizontal="center" vertical="center"/>
      <protection locked="0"/>
    </xf>
    <xf numFmtId="1" fontId="0" fillId="7" borderId="1" xfId="0" applyNumberFormat="1" applyFill="1" applyBorder="1" applyAlignment="1" applyProtection="1">
      <alignment horizontal="center" vertical="center"/>
      <protection locked="0"/>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2" fontId="0" fillId="0" borderId="0" xfId="0" applyNumberFormat="1" applyAlignment="1">
      <alignment horizontal="center"/>
    </xf>
    <xf numFmtId="2" fontId="0" fillId="0" borderId="1" xfId="0" applyNumberFormat="1" applyBorder="1" applyAlignment="1">
      <alignment horizontal="center"/>
    </xf>
    <xf numFmtId="0" fontId="22" fillId="3" borderId="1" xfId="0" applyFont="1" applyFill="1" applyBorder="1"/>
    <xf numFmtId="0" fontId="0" fillId="0" borderId="1" xfId="0" applyBorder="1" applyAlignment="1" applyProtection="1">
      <alignment horizontal="center" vertical="center" wrapText="1"/>
      <protection locked="0"/>
    </xf>
    <xf numFmtId="164" fontId="0" fillId="0" borderId="0" xfId="0" applyNumberFormat="1"/>
    <xf numFmtId="0" fontId="17" fillId="4" borderId="7" xfId="0" applyFont="1" applyFill="1" applyBorder="1" applyAlignment="1">
      <alignment vertical="center"/>
    </xf>
    <xf numFmtId="0" fontId="17" fillId="4" borderId="8" xfId="0" applyFont="1" applyFill="1" applyBorder="1" applyAlignment="1">
      <alignment vertical="center"/>
    </xf>
    <xf numFmtId="0" fontId="17" fillId="4" borderId="9" xfId="0" applyFont="1" applyFill="1" applyBorder="1" applyAlignment="1">
      <alignment vertical="center"/>
    </xf>
    <xf numFmtId="2" fontId="0" fillId="0" borderId="13" xfId="0" applyNumberFormat="1" applyBorder="1" applyAlignment="1">
      <alignment horizontal="center" vertical="center"/>
    </xf>
    <xf numFmtId="43" fontId="0" fillId="0" borderId="13" xfId="0" applyNumberFormat="1" applyBorder="1" applyAlignment="1">
      <alignment horizontal="center" vertical="center"/>
    </xf>
    <xf numFmtId="164" fontId="13" fillId="0" borderId="3" xfId="1" applyNumberFormat="1" applyFont="1" applyBorder="1" applyAlignment="1" applyProtection="1">
      <alignment horizontal="right" vertical="center"/>
    </xf>
    <xf numFmtId="0" fontId="0" fillId="0" borderId="14" xfId="0" applyBorder="1" applyAlignment="1">
      <alignment horizontal="center" vertical="center"/>
    </xf>
    <xf numFmtId="0" fontId="0" fillId="0" borderId="15" xfId="0" applyBorder="1" applyAlignment="1">
      <alignment horizontal="center" vertical="center"/>
    </xf>
    <xf numFmtId="1" fontId="0" fillId="0" borderId="15" xfId="0" applyNumberFormat="1" applyBorder="1" applyAlignment="1">
      <alignment horizontal="center" vertical="center"/>
    </xf>
    <xf numFmtId="0" fontId="0" fillId="10" borderId="17" xfId="0" applyFill="1" applyBorder="1"/>
    <xf numFmtId="0" fontId="0" fillId="10" borderId="18" xfId="0" applyFill="1" applyBorder="1"/>
    <xf numFmtId="0" fontId="0" fillId="10" borderId="19" xfId="0" applyFill="1" applyBorder="1"/>
    <xf numFmtId="0" fontId="23" fillId="10" borderId="20" xfId="0" applyFont="1" applyFill="1" applyBorder="1" applyAlignment="1">
      <alignment vertical="center"/>
    </xf>
    <xf numFmtId="0" fontId="0" fillId="10" borderId="21" xfId="0" applyFill="1" applyBorder="1"/>
    <xf numFmtId="0" fontId="25" fillId="10" borderId="20" xfId="0" applyFont="1" applyFill="1" applyBorder="1" applyAlignment="1">
      <alignment horizontal="right"/>
    </xf>
    <xf numFmtId="0" fontId="25" fillId="10" borderId="22" xfId="0" applyFont="1" applyFill="1" applyBorder="1" applyAlignment="1">
      <alignment horizontal="right"/>
    </xf>
    <xf numFmtId="0" fontId="0" fillId="10" borderId="23" xfId="0" applyFill="1" applyBorder="1"/>
    <xf numFmtId="0" fontId="0" fillId="10" borderId="24" xfId="0" applyFill="1" applyBorder="1"/>
    <xf numFmtId="0" fontId="17" fillId="0" borderId="1" xfId="0" applyFont="1" applyBorder="1" applyAlignment="1">
      <alignment horizontal="center" vertical="center"/>
    </xf>
    <xf numFmtId="164" fontId="0" fillId="0" borderId="1" xfId="0" applyNumberFormat="1" applyBorder="1" applyAlignment="1">
      <alignment horizontal="center" vertical="center"/>
    </xf>
    <xf numFmtId="0" fontId="17" fillId="0" borderId="1" xfId="0" applyFont="1" applyBorder="1"/>
    <xf numFmtId="164" fontId="0" fillId="0" borderId="1" xfId="0" applyNumberFormat="1" applyBorder="1" applyAlignment="1">
      <alignment horizontal="center"/>
    </xf>
    <xf numFmtId="0" fontId="18" fillId="4" borderId="7" xfId="3" applyFont="1" applyFill="1" applyBorder="1" applyAlignment="1" applyProtection="1">
      <alignment horizontal="left" vertical="center"/>
      <protection locked="0"/>
    </xf>
    <xf numFmtId="0" fontId="18" fillId="4" borderId="8" xfId="3" applyFont="1" applyFill="1" applyBorder="1" applyAlignment="1" applyProtection="1">
      <alignment horizontal="left" vertical="center"/>
      <protection locked="0"/>
    </xf>
    <xf numFmtId="0" fontId="18" fillId="4" borderId="9" xfId="3" applyFont="1" applyFill="1" applyBorder="1" applyAlignment="1" applyProtection="1">
      <alignment horizontal="left" vertical="center"/>
      <protection locked="0"/>
    </xf>
    <xf numFmtId="0" fontId="0" fillId="7" borderId="0" xfId="0" applyFill="1"/>
    <xf numFmtId="0" fontId="0" fillId="12" borderId="0" xfId="0" applyFill="1"/>
    <xf numFmtId="0" fontId="0" fillId="0" borderId="1" xfId="0" applyBorder="1" applyAlignment="1" applyProtection="1">
      <alignment horizontal="center"/>
      <protection locked="0"/>
    </xf>
    <xf numFmtId="0" fontId="0" fillId="3" borderId="1" xfId="0" applyFill="1" applyBorder="1" applyAlignment="1">
      <alignment horizontal="center"/>
    </xf>
    <xf numFmtId="0" fontId="0" fillId="6" borderId="1" xfId="0" applyFill="1" applyBorder="1" applyAlignment="1">
      <alignment horizontal="center" vertical="center" wrapText="1"/>
    </xf>
    <xf numFmtId="0" fontId="0" fillId="6" borderId="1" xfId="0" applyFill="1" applyBorder="1" applyAlignment="1">
      <alignment horizontal="center"/>
    </xf>
    <xf numFmtId="0" fontId="0" fillId="0" borderId="1" xfId="0" applyBorder="1" applyAlignment="1">
      <alignment vertical="center" wrapText="1"/>
    </xf>
    <xf numFmtId="0" fontId="27" fillId="6" borderId="1" xfId="0" applyFont="1" applyFill="1" applyBorder="1" applyAlignment="1">
      <alignment vertical="center"/>
    </xf>
    <xf numFmtId="0" fontId="27" fillId="6" borderId="26" xfId="0" applyFont="1" applyFill="1" applyBorder="1"/>
    <xf numFmtId="0" fontId="27" fillId="0" borderId="1" xfId="0" applyFont="1" applyBorder="1" applyAlignment="1">
      <alignment vertical="center"/>
    </xf>
    <xf numFmtId="4" fontId="0" fillId="6" borderId="1" xfId="0" applyNumberFormat="1" applyFill="1" applyBorder="1" applyAlignment="1">
      <alignment horizontal="center" vertical="center"/>
    </xf>
    <xf numFmtId="4" fontId="0" fillId="4" borderId="1" xfId="0" applyNumberFormat="1" applyFill="1" applyBorder="1" applyAlignment="1">
      <alignment horizontal="center" vertical="center"/>
    </xf>
    <xf numFmtId="3" fontId="0" fillId="0" borderId="0" xfId="0" applyNumberFormat="1" applyAlignment="1">
      <alignment horizontal="center"/>
    </xf>
    <xf numFmtId="0" fontId="28" fillId="0" borderId="0" xfId="0" applyFont="1"/>
    <xf numFmtId="0" fontId="0" fillId="0" borderId="1" xfId="0" applyBorder="1" applyAlignment="1">
      <alignment horizontal="center" wrapText="1"/>
    </xf>
    <xf numFmtId="164" fontId="20" fillId="0" borderId="1" xfId="0" applyNumberFormat="1" applyFont="1" applyBorder="1" applyAlignment="1">
      <alignment horizontal="center" wrapText="1"/>
    </xf>
    <xf numFmtId="9" fontId="0" fillId="6" borderId="1" xfId="0" applyNumberFormat="1"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167" fontId="0" fillId="0" borderId="1" xfId="0" applyNumberFormat="1" applyBorder="1" applyAlignment="1">
      <alignment horizontal="center" vertical="top"/>
    </xf>
    <xf numFmtId="9" fontId="0" fillId="0" borderId="1" xfId="0" applyNumberFormat="1" applyBorder="1" applyAlignment="1">
      <alignment horizontal="center" vertical="center"/>
    </xf>
    <xf numFmtId="9"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center" wrapText="1"/>
    </xf>
    <xf numFmtId="164" fontId="0" fillId="0" borderId="1" xfId="0" applyNumberFormat="1" applyBorder="1" applyAlignment="1">
      <alignment horizontal="center" wrapText="1"/>
    </xf>
    <xf numFmtId="9" fontId="13" fillId="3" borderId="1" xfId="4" applyFont="1" applyFill="1" applyBorder="1" applyAlignment="1" applyProtection="1">
      <alignment horizontal="center" vertical="center"/>
    </xf>
    <xf numFmtId="167" fontId="0" fillId="3"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166" fontId="0" fillId="3" borderId="1" xfId="0" applyNumberFormat="1" applyFill="1" applyBorder="1" applyAlignment="1">
      <alignment horizontal="center" vertical="center"/>
    </xf>
    <xf numFmtId="4" fontId="0" fillId="3" borderId="1" xfId="0" applyNumberFormat="1" applyFill="1" applyBorder="1" applyAlignment="1">
      <alignment horizontal="center" vertical="center"/>
    </xf>
    <xf numFmtId="164" fontId="20" fillId="4" borderId="1" xfId="0" applyNumberFormat="1" applyFont="1" applyFill="1" applyBorder="1" applyAlignment="1">
      <alignment horizontal="center" vertical="center"/>
    </xf>
    <xf numFmtId="0" fontId="17" fillId="6" borderId="2" xfId="0" applyFont="1" applyFill="1" applyBorder="1" applyAlignment="1">
      <alignment horizontal="center" vertical="center" wrapText="1"/>
    </xf>
    <xf numFmtId="0" fontId="0" fillId="8" borderId="0" xfId="0" applyFill="1" applyAlignment="1">
      <alignment horizontal="left"/>
    </xf>
    <xf numFmtId="4" fontId="20" fillId="6" borderId="1" xfId="0" applyNumberFormat="1" applyFont="1" applyFill="1" applyBorder="1" applyAlignment="1">
      <alignment horizontal="center" vertical="center"/>
    </xf>
    <xf numFmtId="164" fontId="13" fillId="4" borderId="1" xfId="2" applyNumberFormat="1" applyFont="1" applyFill="1" applyBorder="1" applyAlignment="1" applyProtection="1">
      <alignment horizontal="center" vertical="center"/>
    </xf>
    <xf numFmtId="0" fontId="20" fillId="0" borderId="1" xfId="0" applyFont="1" applyBorder="1" applyAlignment="1">
      <alignment horizontal="left"/>
    </xf>
    <xf numFmtId="9" fontId="0" fillId="0" borderId="1" xfId="0" applyNumberFormat="1" applyBorder="1"/>
    <xf numFmtId="0" fontId="0" fillId="0" borderId="0" xfId="0" applyAlignment="1">
      <alignment horizontal="left"/>
    </xf>
    <xf numFmtId="0" fontId="0" fillId="0" borderId="1" xfId="0" applyBorder="1" applyAlignment="1">
      <alignment vertical="center"/>
    </xf>
    <xf numFmtId="0" fontId="0" fillId="0" borderId="0" xfId="0" applyAlignment="1">
      <alignment horizontal="center" vertical="center" wrapText="1"/>
    </xf>
    <xf numFmtId="0" fontId="17" fillId="6" borderId="1" xfId="0" applyFont="1" applyFill="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center" vertical="center"/>
    </xf>
    <xf numFmtId="165" fontId="0" fillId="6" borderId="1" xfId="0" applyNumberFormat="1" applyFill="1" applyBorder="1" applyAlignment="1">
      <alignment horizontal="center" vertical="center"/>
    </xf>
    <xf numFmtId="167" fontId="0" fillId="0" borderId="0" xfId="0" applyNumberFormat="1" applyAlignment="1">
      <alignment horizontal="center"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29" xfId="0" applyFont="1" applyFill="1" applyBorder="1" applyAlignment="1">
      <alignment horizontal="left" vertical="center"/>
    </xf>
    <xf numFmtId="0" fontId="18" fillId="4" borderId="9" xfId="0" applyFont="1" applyFill="1" applyBorder="1" applyAlignment="1">
      <alignment horizontal="left" vertical="center"/>
    </xf>
    <xf numFmtId="0" fontId="0" fillId="6" borderId="1" xfId="0" applyFill="1" applyBorder="1" applyAlignment="1">
      <alignment horizontal="left"/>
    </xf>
    <xf numFmtId="0" fontId="18" fillId="6" borderId="1" xfId="0" applyFont="1" applyFill="1" applyBorder="1" applyAlignment="1">
      <alignment horizontal="center" vertical="center" wrapText="1"/>
    </xf>
    <xf numFmtId="0" fontId="17" fillId="3" borderId="26" xfId="0" applyFont="1" applyFill="1" applyBorder="1"/>
    <xf numFmtId="14" fontId="17" fillId="3" borderId="27" xfId="0" applyNumberFormat="1" applyFont="1" applyFill="1" applyBorder="1" applyAlignment="1">
      <alignment horizontal="center"/>
    </xf>
    <xf numFmtId="0" fontId="17" fillId="6" borderId="26" xfId="0" applyFont="1" applyFill="1" applyBorder="1"/>
    <xf numFmtId="14" fontId="17" fillId="6" borderId="27" xfId="0" applyNumberFormat="1" applyFont="1" applyFill="1" applyBorder="1" applyAlignment="1">
      <alignment horizontal="center"/>
    </xf>
    <xf numFmtId="0" fontId="20" fillId="8" borderId="0" xfId="0" applyFont="1" applyFill="1"/>
    <xf numFmtId="164" fontId="0" fillId="4" borderId="1" xfId="0" applyNumberFormat="1" applyFill="1" applyBorder="1" applyAlignment="1">
      <alignment horizontal="center"/>
    </xf>
    <xf numFmtId="0" fontId="17" fillId="0" borderId="0" xfId="0" applyFont="1"/>
    <xf numFmtId="0" fontId="17" fillId="6" borderId="1" xfId="0" applyFont="1" applyFill="1" applyBorder="1" applyAlignment="1">
      <alignment horizontal="left" vertical="center"/>
    </xf>
    <xf numFmtId="0" fontId="19" fillId="0" borderId="1" xfId="0" applyFont="1" applyBorder="1" applyAlignment="1">
      <alignment horizontal="center" vertical="center"/>
    </xf>
    <xf numFmtId="0" fontId="17" fillId="9" borderId="1" xfId="0" applyFont="1" applyFill="1" applyBorder="1" applyAlignment="1">
      <alignment horizontal="center" vertical="center"/>
    </xf>
    <xf numFmtId="0" fontId="0" fillId="0" borderId="0" xfId="0" applyAlignment="1">
      <alignment vertical="center"/>
    </xf>
    <xf numFmtId="14" fontId="17" fillId="0" borderId="0" xfId="0" applyNumberFormat="1" applyFont="1" applyAlignment="1">
      <alignment horizontal="center"/>
    </xf>
    <xf numFmtId="0" fontId="0" fillId="0" borderId="1" xfId="0" quotePrefix="1" applyBorder="1" applyAlignment="1">
      <alignment horizontal="center" vertical="center"/>
    </xf>
    <xf numFmtId="0" fontId="19" fillId="0" borderId="0" xfId="0" applyFont="1" applyAlignment="1">
      <alignment horizontal="center" vertical="center"/>
    </xf>
    <xf numFmtId="0" fontId="0" fillId="15" borderId="1" xfId="0" applyFill="1" applyBorder="1"/>
    <xf numFmtId="9" fontId="0" fillId="15" borderId="1" xfId="0" applyNumberFormat="1" applyFill="1" applyBorder="1"/>
    <xf numFmtId="0" fontId="37" fillId="0" borderId="0" xfId="0" applyFont="1"/>
    <xf numFmtId="14" fontId="0" fillId="0" borderId="0" xfId="0" applyNumberFormat="1"/>
    <xf numFmtId="0" fontId="0" fillId="0" borderId="0" xfId="0" applyAlignment="1">
      <alignment horizontal="right"/>
    </xf>
    <xf numFmtId="0" fontId="15" fillId="16" borderId="1" xfId="0" applyFont="1" applyFill="1" applyBorder="1" applyAlignment="1">
      <alignment horizontal="center" vertical="center"/>
    </xf>
    <xf numFmtId="0" fontId="15" fillId="16" borderId="1"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5" fillId="16" borderId="10" xfId="0" applyFont="1" applyFill="1" applyBorder="1" applyAlignment="1">
      <alignment horizontal="center" vertical="center" wrapText="1"/>
    </xf>
    <xf numFmtId="0" fontId="15" fillId="16" borderId="11" xfId="0" applyFont="1" applyFill="1" applyBorder="1" applyAlignment="1">
      <alignment horizontal="center" vertical="center"/>
    </xf>
    <xf numFmtId="0" fontId="15" fillId="16" borderId="11" xfId="0" applyFont="1" applyFill="1" applyBorder="1" applyAlignment="1">
      <alignment horizontal="center" vertical="center" wrapText="1"/>
    </xf>
    <xf numFmtId="0" fontId="15" fillId="16" borderId="12" xfId="0" applyFont="1" applyFill="1" applyBorder="1" applyAlignment="1">
      <alignment horizontal="center" vertical="center" wrapText="1"/>
    </xf>
    <xf numFmtId="2" fontId="21" fillId="16" borderId="3" xfId="0" applyNumberFormat="1" applyFont="1" applyFill="1" applyBorder="1" applyAlignment="1">
      <alignment horizontal="center" vertical="center"/>
    </xf>
    <xf numFmtId="2" fontId="27" fillId="0" borderId="1" xfId="0" applyNumberFormat="1" applyFont="1" applyBorder="1" applyAlignment="1">
      <alignment horizontal="center" vertical="center"/>
    </xf>
    <xf numFmtId="0" fontId="0" fillId="0" borderId="0" xfId="0" applyAlignment="1" applyProtection="1">
      <alignment horizontal="center" vertical="center"/>
      <protection locked="0"/>
    </xf>
    <xf numFmtId="0" fontId="0" fillId="14" borderId="1" xfId="0" applyFill="1" applyBorder="1" applyAlignment="1" applyProtection="1">
      <alignment horizontal="center" vertical="center"/>
      <protection locked="0"/>
    </xf>
    <xf numFmtId="0" fontId="39" fillId="0" borderId="1" xfId="0" applyFont="1" applyBorder="1" applyAlignment="1">
      <alignment horizontal="center" vertical="center"/>
    </xf>
    <xf numFmtId="9" fontId="39" fillId="0" borderId="1" xfId="0" applyNumberFormat="1" applyFont="1" applyBorder="1" applyAlignment="1">
      <alignment horizontal="center" vertical="center"/>
    </xf>
    <xf numFmtId="167" fontId="39" fillId="0" borderId="1" xfId="0" applyNumberFormat="1" applyFont="1" applyBorder="1" applyAlignment="1">
      <alignment horizontal="center" vertical="center"/>
    </xf>
    <xf numFmtId="168" fontId="39" fillId="0" borderId="1" xfId="0" applyNumberFormat="1" applyFont="1" applyBorder="1" applyAlignment="1">
      <alignment horizontal="center" vertical="center"/>
    </xf>
    <xf numFmtId="9" fontId="39" fillId="0" borderId="1" xfId="4" applyFont="1" applyBorder="1" applyAlignment="1" applyProtection="1">
      <alignment horizontal="center" vertical="center"/>
    </xf>
    <xf numFmtId="0" fontId="39" fillId="0" borderId="1" xfId="0" applyFont="1" applyBorder="1" applyAlignment="1">
      <alignment horizontal="left"/>
    </xf>
    <xf numFmtId="0" fontId="39" fillId="0" borderId="1" xfId="0" applyFont="1" applyBorder="1"/>
    <xf numFmtId="9" fontId="39" fillId="0" borderId="1" xfId="0" applyNumberFormat="1" applyFont="1" applyBorder="1"/>
    <xf numFmtId="0" fontId="40" fillId="11" borderId="1" xfId="0" applyFont="1" applyFill="1" applyBorder="1" applyAlignment="1">
      <alignment horizontal="center" vertical="center" wrapText="1"/>
    </xf>
    <xf numFmtId="0" fontId="39" fillId="0" borderId="0" xfId="0" applyFont="1"/>
    <xf numFmtId="0" fontId="39" fillId="0" borderId="1" xfId="0" applyFont="1" applyBorder="1" applyAlignment="1">
      <alignment horizontal="left" vertical="center" wrapText="1"/>
    </xf>
    <xf numFmtId="0" fontId="39" fillId="0" borderId="0" xfId="0" applyFont="1" applyAlignment="1">
      <alignment horizontal="left"/>
    </xf>
    <xf numFmtId="0" fontId="40" fillId="3" borderId="1" xfId="0" applyFont="1" applyFill="1" applyBorder="1" applyAlignment="1">
      <alignment horizontal="center" vertical="center" wrapText="1"/>
    </xf>
    <xf numFmtId="0" fontId="39" fillId="0" borderId="1" xfId="0" applyFont="1" applyBorder="1" applyAlignment="1">
      <alignment horizontal="left" vertical="center"/>
    </xf>
    <xf numFmtId="0" fontId="40" fillId="16" borderId="1" xfId="0" applyFont="1" applyFill="1" applyBorder="1" applyAlignment="1">
      <alignment horizontal="center" vertical="center" wrapText="1"/>
    </xf>
    <xf numFmtId="0" fontId="39" fillId="6" borderId="1" xfId="0" applyFont="1" applyFill="1" applyBorder="1" applyAlignment="1">
      <alignment horizontal="center" vertical="center"/>
    </xf>
    <xf numFmtId="4" fontId="39" fillId="6" borderId="1" xfId="0" applyNumberFormat="1" applyFont="1" applyFill="1" applyBorder="1" applyAlignment="1">
      <alignment horizontal="center" vertical="center"/>
    </xf>
    <xf numFmtId="2" fontId="39" fillId="6" borderId="1" xfId="0" applyNumberFormat="1" applyFont="1" applyFill="1" applyBorder="1" applyAlignment="1">
      <alignment horizontal="center" vertical="center"/>
    </xf>
    <xf numFmtId="0" fontId="39" fillId="7" borderId="1" xfId="0" applyFont="1" applyFill="1" applyBorder="1" applyAlignment="1" applyProtection="1">
      <alignment horizontal="center" vertical="center"/>
      <protection locked="0"/>
    </xf>
    <xf numFmtId="0" fontId="39" fillId="6" borderId="1" xfId="0" applyFont="1" applyFill="1" applyBorder="1" applyAlignment="1">
      <alignment horizontal="center"/>
    </xf>
    <xf numFmtId="0" fontId="39" fillId="0" borderId="1" xfId="0" applyFont="1" applyBorder="1" applyAlignment="1">
      <alignment horizontal="center" vertical="center" wrapText="1"/>
    </xf>
    <xf numFmtId="0" fontId="27" fillId="0" borderId="0" xfId="0" applyFont="1" applyAlignment="1">
      <alignment vertical="center"/>
    </xf>
    <xf numFmtId="0" fontId="27" fillId="0" borderId="0" xfId="0" applyFont="1"/>
    <xf numFmtId="3" fontId="27" fillId="0" borderId="0" xfId="0" applyNumberFormat="1" applyFont="1"/>
    <xf numFmtId="1" fontId="39" fillId="7" borderId="1" xfId="0" applyNumberFormat="1" applyFont="1" applyFill="1" applyBorder="1" applyAlignment="1" applyProtection="1">
      <alignment horizontal="center" vertical="center"/>
      <protection locked="0"/>
    </xf>
    <xf numFmtId="3" fontId="41" fillId="0" borderId="1" xfId="0" applyNumberFormat="1" applyFont="1" applyBorder="1" applyAlignment="1">
      <alignment vertical="center"/>
    </xf>
    <xf numFmtId="0" fontId="41" fillId="0" borderId="1" xfId="0" applyFont="1" applyBorder="1" applyAlignment="1">
      <alignment vertical="center"/>
    </xf>
    <xf numFmtId="0" fontId="27" fillId="6" borderId="26" xfId="0" applyFont="1" applyFill="1" applyBorder="1" applyAlignment="1">
      <alignment horizontal="center"/>
    </xf>
    <xf numFmtId="3" fontId="41" fillId="0" borderId="0" xfId="0" applyNumberFormat="1" applyFont="1" applyAlignment="1">
      <alignment vertical="center"/>
    </xf>
    <xf numFmtId="0" fontId="41" fillId="0" borderId="0" xfId="0" applyFont="1" applyAlignment="1">
      <alignment vertical="center"/>
    </xf>
    <xf numFmtId="0" fontId="27" fillId="0" borderId="0" xfId="0" applyFont="1" applyAlignment="1">
      <alignment horizontal="center"/>
    </xf>
    <xf numFmtId="0" fontId="42" fillId="0" borderId="1" xfId="0" applyFont="1" applyBorder="1" applyAlignment="1">
      <alignment vertical="center" wrapText="1"/>
    </xf>
    <xf numFmtId="9" fontId="42" fillId="0" borderId="1" xfId="0" applyNumberFormat="1" applyFont="1" applyBorder="1" applyAlignment="1">
      <alignment vertical="center" wrapText="1"/>
    </xf>
    <xf numFmtId="10" fontId="42" fillId="0" borderId="1" xfId="0" applyNumberFormat="1" applyFont="1" applyBorder="1" applyAlignment="1">
      <alignment vertical="center" wrapText="1"/>
    </xf>
    <xf numFmtId="0" fontId="44" fillId="17" borderId="0" xfId="5"/>
    <xf numFmtId="0" fontId="15" fillId="5" borderId="1" xfId="0"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applyAlignment="1">
      <alignment horizontal="center"/>
    </xf>
    <xf numFmtId="0" fontId="0" fillId="9" borderId="45" xfId="0" applyFill="1" applyBorder="1" applyAlignment="1">
      <alignment horizontal="center" vertical="center"/>
    </xf>
    <xf numFmtId="0" fontId="0" fillId="0" borderId="2" xfId="0" applyBorder="1"/>
    <xf numFmtId="0" fontId="0" fillId="0" borderId="46" xfId="0" applyBorder="1"/>
    <xf numFmtId="0" fontId="18" fillId="4" borderId="29" xfId="3" applyFont="1" applyFill="1" applyBorder="1" applyAlignment="1" applyProtection="1">
      <alignment horizontal="left" vertical="center"/>
      <protection locked="0"/>
    </xf>
    <xf numFmtId="1" fontId="0" fillId="0" borderId="52" xfId="0" applyNumberFormat="1" applyBorder="1" applyAlignment="1">
      <alignment horizontal="center" vertical="center"/>
    </xf>
    <xf numFmtId="2" fontId="0" fillId="0" borderId="25" xfId="0" applyNumberFormat="1" applyBorder="1" applyAlignment="1">
      <alignment horizontal="center" vertical="center"/>
    </xf>
    <xf numFmtId="43" fontId="0" fillId="0" borderId="25" xfId="0" applyNumberFormat="1" applyBorder="1" applyAlignment="1">
      <alignment horizontal="center" vertical="center"/>
    </xf>
    <xf numFmtId="164" fontId="13" fillId="0" borderId="53" xfId="1" applyNumberFormat="1" applyFont="1" applyBorder="1" applyAlignment="1" applyProtection="1">
      <alignment horizontal="right" vertical="center"/>
    </xf>
    <xf numFmtId="164" fontId="45" fillId="0" borderId="1" xfId="0" applyNumberFormat="1" applyFont="1" applyBorder="1" applyAlignment="1">
      <alignment horizontal="center"/>
    </xf>
    <xf numFmtId="164" fontId="45" fillId="0" borderId="1" xfId="0" applyNumberFormat="1" applyFont="1" applyBorder="1" applyAlignment="1">
      <alignment horizontal="center" vertical="center"/>
    </xf>
    <xf numFmtId="1" fontId="42" fillId="0" borderId="1" xfId="2" applyNumberFormat="1" applyFont="1" applyFill="1" applyBorder="1" applyAlignment="1" applyProtection="1">
      <alignment horizontal="center" vertical="center" wrapText="1"/>
    </xf>
    <xf numFmtId="1" fontId="42" fillId="0" borderId="1" xfId="0" applyNumberFormat="1" applyFont="1" applyBorder="1" applyAlignment="1">
      <alignment horizontal="center"/>
    </xf>
    <xf numFmtId="169" fontId="0" fillId="0" borderId="0" xfId="0" applyNumberFormat="1" applyAlignment="1">
      <alignment horizontal="center"/>
    </xf>
    <xf numFmtId="0" fontId="22" fillId="0" borderId="0" xfId="0" applyFont="1"/>
    <xf numFmtId="164" fontId="0" fillId="0" borderId="0" xfId="0" applyNumberFormat="1" applyAlignment="1">
      <alignment horizontal="center"/>
    </xf>
    <xf numFmtId="6" fontId="0" fillId="0" borderId="0" xfId="0" applyNumberFormat="1"/>
    <xf numFmtId="0" fontId="0" fillId="0" borderId="0" xfId="0" applyAlignment="1">
      <alignment horizontal="center"/>
    </xf>
    <xf numFmtId="0" fontId="0" fillId="4" borderId="1" xfId="0" applyFill="1" applyBorder="1" applyAlignment="1">
      <alignment horizontal="center" vertical="center"/>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1" xfId="0" applyFont="1" applyFill="1" applyBorder="1" applyAlignment="1">
      <alignment horizontal="center"/>
    </xf>
    <xf numFmtId="0" fontId="42" fillId="0" borderId="1" xfId="0" applyFont="1" applyBorder="1" applyAlignment="1">
      <alignment horizontal="center"/>
    </xf>
    <xf numFmtId="2" fontId="42"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2" fillId="0" borderId="1" xfId="0" applyFont="1" applyBorder="1"/>
    <xf numFmtId="2" fontId="42" fillId="0" borderId="0" xfId="0" applyNumberFormat="1" applyFont="1" applyAlignment="1">
      <alignment horizontal="center" vertical="center"/>
    </xf>
    <xf numFmtId="0" fontId="17" fillId="0" borderId="0" xfId="0" applyFont="1" applyAlignment="1">
      <alignment horizontal="center" vertical="center" wrapText="1"/>
    </xf>
    <xf numFmtId="0" fontId="17" fillId="6" borderId="27" xfId="0" applyFont="1" applyFill="1" applyBorder="1" applyAlignment="1">
      <alignment horizontal="center"/>
    </xf>
    <xf numFmtId="0" fontId="17" fillId="6" borderId="28" xfId="0" applyFont="1" applyFill="1" applyBorder="1" applyAlignment="1">
      <alignment horizontal="center"/>
    </xf>
    <xf numFmtId="0" fontId="26" fillId="16" borderId="0" xfId="0" applyFont="1" applyFill="1" applyAlignment="1">
      <alignment horizontal="left" vertical="center"/>
    </xf>
    <xf numFmtId="0" fontId="17" fillId="6" borderId="26" xfId="0" applyFont="1" applyFill="1" applyBorder="1" applyAlignment="1">
      <alignment horizontal="center"/>
    </xf>
    <xf numFmtId="0" fontId="0" fillId="0" borderId="25" xfId="0" applyBorder="1" applyAlignment="1">
      <alignment horizontal="center" vertical="top" wrapText="1"/>
    </xf>
    <xf numFmtId="0" fontId="0" fillId="0" borderId="46" xfId="0" applyBorder="1" applyAlignment="1">
      <alignment horizontal="center" vertical="top" wrapText="1"/>
    </xf>
    <xf numFmtId="0" fontId="17" fillId="6" borderId="26" xfId="0" applyFont="1" applyFill="1" applyBorder="1" applyAlignment="1">
      <alignment horizontal="center" wrapText="1"/>
    </xf>
    <xf numFmtId="0" fontId="17" fillId="6" borderId="28" xfId="0" applyFont="1" applyFill="1" applyBorder="1" applyAlignment="1">
      <alignment horizontal="center" wrapText="1"/>
    </xf>
    <xf numFmtId="0" fontId="0" fillId="9" borderId="25" xfId="0" applyFill="1" applyBorder="1" applyAlignment="1">
      <alignment horizontal="center" vertical="center"/>
    </xf>
    <xf numFmtId="0" fontId="0" fillId="9" borderId="46" xfId="0" applyFill="1" applyBorder="1" applyAlignment="1">
      <alignment horizontal="center" vertical="center"/>
    </xf>
    <xf numFmtId="0" fontId="0" fillId="9" borderId="25" xfId="0" applyFill="1" applyBorder="1" applyAlignment="1">
      <alignment horizontal="center" vertical="center" wrapText="1"/>
    </xf>
    <xf numFmtId="0" fontId="0" fillId="9" borderId="46" xfId="0" applyFill="1" applyBorder="1" applyAlignment="1">
      <alignment horizontal="center" vertical="center" wrapText="1"/>
    </xf>
    <xf numFmtId="0" fontId="0" fillId="9" borderId="26" xfId="0" applyFill="1" applyBorder="1" applyAlignment="1">
      <alignment horizontal="center" vertical="center"/>
    </xf>
    <xf numFmtId="0" fontId="0" fillId="9" borderId="28" xfId="0" applyFill="1" applyBorder="1" applyAlignment="1">
      <alignment horizontal="center" vertical="center"/>
    </xf>
    <xf numFmtId="0" fontId="0" fillId="9" borderId="27" xfId="0" applyFill="1" applyBorder="1" applyAlignment="1">
      <alignment horizontal="center" vertical="center"/>
    </xf>
    <xf numFmtId="0" fontId="47" fillId="18" borderId="1" xfId="0" applyFont="1" applyFill="1" applyBorder="1" applyAlignment="1">
      <alignment horizontal="center" vertical="center" wrapText="1"/>
    </xf>
    <xf numFmtId="0" fontId="47" fillId="18" borderId="1" xfId="0" applyFont="1" applyFill="1" applyBorder="1" applyAlignment="1">
      <alignment horizontal="center" vertical="center"/>
    </xf>
    <xf numFmtId="0" fontId="0" fillId="6" borderId="0" xfId="0" applyFill="1"/>
    <xf numFmtId="0" fontId="17" fillId="6" borderId="27" xfId="0" applyFont="1" applyFill="1" applyBorder="1"/>
    <xf numFmtId="0" fontId="17" fillId="6" borderId="28" xfId="0" applyFont="1" applyFill="1" applyBorder="1"/>
    <xf numFmtId="0" fontId="47" fillId="18" borderId="2" xfId="0" applyFont="1" applyFill="1" applyBorder="1" applyAlignment="1">
      <alignment horizontal="center" vertical="center" wrapText="1"/>
    </xf>
    <xf numFmtId="0" fontId="15" fillId="16" borderId="0" xfId="0" applyFont="1" applyFill="1" applyAlignment="1">
      <alignment horizontal="center" vertical="center" wrapText="1"/>
    </xf>
    <xf numFmtId="0" fontId="47" fillId="18" borderId="0" xfId="0" applyFont="1" applyFill="1" applyAlignment="1">
      <alignment horizontal="center" vertical="center" wrapText="1"/>
    </xf>
    <xf numFmtId="0" fontId="17" fillId="3" borderId="1" xfId="0" applyFont="1" applyFill="1" applyBorder="1"/>
    <xf numFmtId="0" fontId="17" fillId="3" borderId="27" xfId="0" applyFont="1" applyFill="1" applyBorder="1"/>
    <xf numFmtId="0" fontId="17" fillId="3" borderId="28" xfId="0" applyFont="1" applyFill="1" applyBorder="1"/>
    <xf numFmtId="0" fontId="15" fillId="16" borderId="45" xfId="0" applyFont="1" applyFill="1" applyBorder="1" applyAlignment="1">
      <alignment horizontal="center" vertical="center" wrapText="1"/>
    </xf>
    <xf numFmtId="0" fontId="15" fillId="16" borderId="0" xfId="0" applyFont="1" applyFill="1" applyAlignment="1">
      <alignment horizontal="center" vertical="center"/>
    </xf>
    <xf numFmtId="164" fontId="0" fillId="4" borderId="0" xfId="0" applyNumberFormat="1" applyFill="1" applyAlignment="1">
      <alignment horizontal="center" vertical="center"/>
    </xf>
    <xf numFmtId="0" fontId="47" fillId="18" borderId="0" xfId="0" applyFont="1" applyFill="1" applyAlignment="1">
      <alignment horizontal="center" vertical="center"/>
    </xf>
    <xf numFmtId="0" fontId="0" fillId="6" borderId="0" xfId="0" applyFill="1" applyAlignment="1">
      <alignment horizontal="center"/>
    </xf>
    <xf numFmtId="164" fontId="0" fillId="0" borderId="1" xfId="0" applyNumberFormat="1" applyBorder="1"/>
    <xf numFmtId="164" fontId="0" fillId="0" borderId="1" xfId="0" applyNumberFormat="1" applyBorder="1" applyAlignment="1" applyProtection="1">
      <alignment horizontal="center" vertical="center"/>
      <protection locked="0"/>
    </xf>
    <xf numFmtId="0" fontId="48" fillId="2" borderId="0" xfId="0" applyFont="1" applyFill="1"/>
    <xf numFmtId="0" fontId="48" fillId="12" borderId="0" xfId="0" applyFont="1" applyFill="1"/>
    <xf numFmtId="0" fontId="48" fillId="7" borderId="0" xfId="0" applyFont="1" applyFill="1"/>
    <xf numFmtId="0" fontId="48" fillId="0" borderId="0" xfId="0" applyFont="1"/>
    <xf numFmtId="0" fontId="18" fillId="3" borderId="0" xfId="0" applyFont="1" applyFill="1" applyAlignment="1">
      <alignment horizontal="center" vertical="center" wrapText="1"/>
    </xf>
    <xf numFmtId="0" fontId="0" fillId="4" borderId="0" xfId="0" applyFill="1" applyAlignment="1">
      <alignment horizontal="left" vertical="center" wrapText="1"/>
    </xf>
    <xf numFmtId="0" fontId="17" fillId="6" borderId="49" xfId="0" applyFont="1" applyFill="1" applyBorder="1"/>
    <xf numFmtId="0" fontId="17" fillId="6" borderId="30" xfId="0" applyFont="1" applyFill="1" applyBorder="1"/>
    <xf numFmtId="0" fontId="49" fillId="18" borderId="1" xfId="0" applyFont="1" applyFill="1" applyBorder="1" applyAlignment="1">
      <alignment horizontal="center" vertical="center" wrapText="1"/>
    </xf>
    <xf numFmtId="0" fontId="40" fillId="3" borderId="0" xfId="0" applyFont="1" applyFill="1" applyAlignment="1">
      <alignment horizontal="center" vertical="center" wrapText="1"/>
    </xf>
    <xf numFmtId="0" fontId="39" fillId="0" borderId="0" xfId="0" applyFont="1" applyAlignment="1">
      <alignment horizontal="left" vertical="center"/>
    </xf>
    <xf numFmtId="0" fontId="17" fillId="6" borderId="0" xfId="0" applyFont="1" applyFill="1" applyAlignment="1">
      <alignment horizontal="center" vertical="center"/>
    </xf>
    <xf numFmtId="0" fontId="0" fillId="3" borderId="0" xfId="0" applyFill="1" applyAlignment="1">
      <alignment horizontal="center" vertical="center"/>
    </xf>
    <xf numFmtId="0" fontId="0" fillId="9" borderId="0" xfId="0" applyFill="1" applyAlignment="1">
      <alignment horizontal="center"/>
    </xf>
    <xf numFmtId="0" fontId="15" fillId="5" borderId="2" xfId="0" applyFont="1" applyFill="1" applyBorder="1" applyAlignment="1">
      <alignment horizontal="center" vertical="center" wrapText="1"/>
    </xf>
    <xf numFmtId="0" fontId="15" fillId="5" borderId="0" xfId="0" applyFont="1" applyFill="1" applyAlignment="1">
      <alignment horizontal="center" vertical="center" wrapText="1"/>
    </xf>
    <xf numFmtId="0" fontId="0" fillId="4" borderId="1" xfId="0" applyFill="1" applyBorder="1" applyAlignment="1">
      <alignment horizontal="center"/>
    </xf>
    <xf numFmtId="167" fontId="0" fillId="2" borderId="0" xfId="0" applyNumberFormat="1" applyFill="1" applyAlignment="1">
      <alignment horizontal="center" vertical="center"/>
    </xf>
    <xf numFmtId="0" fontId="17" fillId="0" borderId="0" xfId="0" applyFont="1" applyAlignment="1">
      <alignment horizontal="center"/>
    </xf>
    <xf numFmtId="0" fontId="17" fillId="2" borderId="0" xfId="0" applyFont="1" applyFill="1" applyAlignment="1">
      <alignment horizontal="center" vertical="center" wrapText="1"/>
    </xf>
    <xf numFmtId="0" fontId="17" fillId="2" borderId="0" xfId="0" applyFont="1" applyFill="1"/>
    <xf numFmtId="0" fontId="18" fillId="0" borderId="0" xfId="0" applyFont="1" applyAlignment="1">
      <alignment horizontal="center" vertical="center" wrapText="1"/>
    </xf>
    <xf numFmtId="164" fontId="0" fillId="0" borderId="1" xfId="2" applyNumberFormat="1" applyFont="1" applyBorder="1"/>
    <xf numFmtId="0" fontId="50" fillId="0" borderId="0" xfId="0" applyFont="1"/>
    <xf numFmtId="0" fontId="0" fillId="2" borderId="0" xfId="0" applyFill="1" applyAlignment="1">
      <alignment horizontal="center"/>
    </xf>
    <xf numFmtId="2" fontId="0" fillId="0" borderId="0" xfId="0" applyNumberFormat="1" applyAlignment="1">
      <alignment horizontal="center" vertical="center" wrapText="1"/>
    </xf>
    <xf numFmtId="0" fontId="0" fillId="0" borderId="0" xfId="0" applyAlignment="1" applyProtection="1">
      <alignment horizontal="center" vertical="center" wrapText="1"/>
      <protection locked="0"/>
    </xf>
    <xf numFmtId="164" fontId="0" fillId="6" borderId="1" xfId="0" applyNumberFormat="1" applyFill="1" applyBorder="1" applyAlignment="1">
      <alignment horizontal="center" vertical="center" wrapText="1"/>
    </xf>
    <xf numFmtId="0" fontId="0" fillId="4" borderId="1" xfId="0" applyFill="1" applyBorder="1" applyAlignment="1" applyProtection="1">
      <alignment horizontal="center" vertical="center"/>
      <protection locked="0"/>
    </xf>
    <xf numFmtId="0" fontId="51" fillId="4" borderId="1" xfId="0" applyFont="1" applyFill="1" applyBorder="1" applyAlignment="1" applyProtection="1">
      <alignment horizontal="center" vertical="center"/>
      <protection locked="0"/>
    </xf>
    <xf numFmtId="0" fontId="47" fillId="18" borderId="46" xfId="0" applyFont="1" applyFill="1" applyBorder="1" applyAlignment="1">
      <alignment horizontal="center" vertical="center" wrapText="1"/>
    </xf>
    <xf numFmtId="0" fontId="0" fillId="18" borderId="1" xfId="0" applyFill="1" applyBorder="1"/>
    <xf numFmtId="0" fontId="52" fillId="8" borderId="0" xfId="3" applyFont="1" applyFill="1"/>
    <xf numFmtId="0" fontId="53" fillId="0" borderId="1" xfId="0" applyFont="1" applyBorder="1"/>
    <xf numFmtId="0" fontId="0" fillId="0" borderId="46" xfId="0" applyBorder="1" applyAlignment="1">
      <alignment horizontal="center"/>
    </xf>
    <xf numFmtId="0" fontId="53" fillId="0" borderId="46" xfId="0" applyFont="1" applyBorder="1"/>
    <xf numFmtId="0" fontId="54" fillId="6" borderId="4" xfId="0" applyFont="1" applyFill="1" applyBorder="1" applyAlignment="1">
      <alignment horizontal="center"/>
    </xf>
    <xf numFmtId="164" fontId="0" fillId="0" borderId="0" xfId="2" applyNumberFormat="1" applyFont="1" applyBorder="1"/>
    <xf numFmtId="164" fontId="0" fillId="7" borderId="1" xfId="0" applyNumberFormat="1" applyFill="1" applyBorder="1" applyAlignment="1" applyProtection="1">
      <alignment horizontal="center" vertical="center"/>
      <protection locked="0"/>
    </xf>
    <xf numFmtId="0" fontId="55" fillId="16" borderId="1" xfId="0" applyFont="1" applyFill="1" applyBorder="1" applyAlignment="1">
      <alignment horizontal="center" vertical="center" wrapText="1"/>
    </xf>
    <xf numFmtId="2" fontId="17" fillId="0" borderId="0" xfId="0" applyNumberFormat="1" applyFont="1" applyAlignment="1">
      <alignment horizontal="center" vertical="center"/>
    </xf>
    <xf numFmtId="3" fontId="0" fillId="0" borderId="1" xfId="0" applyNumberFormat="1" applyBorder="1" applyAlignment="1">
      <alignment horizontal="center" vertical="center"/>
    </xf>
    <xf numFmtId="165" fontId="0" fillId="4" borderId="1" xfId="0" applyNumberFormat="1" applyFill="1" applyBorder="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0" fontId="18" fillId="4" borderId="20" xfId="3" applyFont="1" applyFill="1" applyBorder="1" applyAlignment="1" applyProtection="1">
      <alignment horizontal="left" vertical="center"/>
      <protection locked="0"/>
    </xf>
    <xf numFmtId="0" fontId="18" fillId="4" borderId="54" xfId="3" applyFont="1" applyFill="1" applyBorder="1" applyAlignment="1" applyProtection="1">
      <alignment horizontal="left" vertical="center"/>
      <protection locked="0"/>
    </xf>
    <xf numFmtId="0" fontId="0" fillId="10" borderId="0" xfId="0" applyFill="1"/>
    <xf numFmtId="0" fontId="24" fillId="10" borderId="0" xfId="0" applyFont="1" applyFill="1" applyAlignment="1">
      <alignment horizontal="center" vertical="center"/>
    </xf>
    <xf numFmtId="0" fontId="24" fillId="10" borderId="0" xfId="0" applyFont="1" applyFill="1" applyAlignment="1">
      <alignment horizontal="center" vertical="center" wrapText="1"/>
    </xf>
    <xf numFmtId="1" fontId="0" fillId="0" borderId="16" xfId="0" applyNumberFormat="1" applyBorder="1" applyAlignment="1">
      <alignment horizontal="center" vertical="center"/>
    </xf>
    <xf numFmtId="1" fontId="0" fillId="0" borderId="0" xfId="0" applyNumberFormat="1"/>
    <xf numFmtId="168" fontId="0" fillId="0" borderId="0" xfId="0" applyNumberFormat="1"/>
    <xf numFmtId="0" fontId="39" fillId="8" borderId="0" xfId="0" applyFont="1" applyFill="1"/>
    <xf numFmtId="164" fontId="0" fillId="0" borderId="0" xfId="0" applyNumberFormat="1" applyAlignment="1">
      <alignment horizontal="left" vertical="center"/>
    </xf>
    <xf numFmtId="164" fontId="0" fillId="19" borderId="0" xfId="0" applyNumberFormat="1" applyFill="1" applyAlignment="1">
      <alignment horizontal="center" vertical="center"/>
    </xf>
    <xf numFmtId="4" fontId="17" fillId="19" borderId="1" xfId="0" applyNumberFormat="1" applyFont="1" applyFill="1" applyBorder="1" applyAlignment="1">
      <alignment horizontal="center"/>
    </xf>
    <xf numFmtId="0" fontId="58" fillId="0" borderId="23" xfId="0" applyFont="1" applyBorder="1" applyAlignment="1">
      <alignment horizontal="center" vertical="center" wrapText="1"/>
    </xf>
    <xf numFmtId="3" fontId="58" fillId="0" borderId="24" xfId="0" applyNumberFormat="1" applyFont="1" applyBorder="1" applyAlignment="1">
      <alignment horizontal="center" vertical="center" wrapText="1"/>
    </xf>
    <xf numFmtId="0" fontId="58" fillId="0" borderId="24" xfId="0" applyFont="1" applyBorder="1" applyAlignment="1">
      <alignment horizontal="center" vertical="center" wrapText="1"/>
    </xf>
    <xf numFmtId="0" fontId="58" fillId="0" borderId="55" xfId="0" applyFont="1" applyBorder="1" applyAlignment="1">
      <alignment horizontal="left" vertical="center" wrapText="1"/>
    </xf>
    <xf numFmtId="2" fontId="0" fillId="19" borderId="0" xfId="0" applyNumberFormat="1" applyFill="1" applyAlignment="1">
      <alignment horizontal="center" vertical="center"/>
    </xf>
    <xf numFmtId="2" fontId="0" fillId="19" borderId="1" xfId="0" applyNumberFormat="1" applyFill="1" applyBorder="1" applyAlignment="1">
      <alignment horizontal="center" vertical="center"/>
    </xf>
    <xf numFmtId="0" fontId="0" fillId="6" borderId="6" xfId="0" applyFill="1" applyBorder="1"/>
    <xf numFmtId="164" fontId="0" fillId="0" borderId="4" xfId="0" applyNumberFormat="1" applyBorder="1" applyAlignment="1">
      <alignment horizontal="center" vertical="center"/>
    </xf>
    <xf numFmtId="0" fontId="0" fillId="0" borderId="22" xfId="0" applyBorder="1" applyAlignment="1">
      <alignment horizontal="center"/>
    </xf>
    <xf numFmtId="0" fontId="0" fillId="6" borderId="5" xfId="0" applyFill="1" applyBorder="1"/>
    <xf numFmtId="0" fontId="0" fillId="0" borderId="20" xfId="0" applyBorder="1" applyAlignment="1">
      <alignment horizontal="center"/>
    </xf>
    <xf numFmtId="0" fontId="59" fillId="21" borderId="37" xfId="0" applyFont="1" applyFill="1" applyBorder="1" applyAlignment="1">
      <alignment horizontal="center" vertical="center" wrapText="1"/>
    </xf>
    <xf numFmtId="0" fontId="61" fillId="21" borderId="56" xfId="0" applyFont="1" applyFill="1" applyBorder="1" applyAlignment="1">
      <alignment horizontal="left" vertical="center" wrapText="1"/>
    </xf>
    <xf numFmtId="0" fontId="0" fillId="6" borderId="21" xfId="0" applyFill="1" applyBorder="1"/>
    <xf numFmtId="0" fontId="0" fillId="6" borderId="15" xfId="0" applyFill="1" applyBorder="1"/>
    <xf numFmtId="164" fontId="0" fillId="19" borderId="1" xfId="0" applyNumberFormat="1" applyFill="1" applyBorder="1" applyAlignment="1">
      <alignment horizontal="center" vertical="center"/>
    </xf>
    <xf numFmtId="0" fontId="0" fillId="0" borderId="25" xfId="0" applyBorder="1" applyAlignment="1">
      <alignment horizontal="center"/>
    </xf>
    <xf numFmtId="164" fontId="0" fillId="0" borderId="20" xfId="0" applyNumberFormat="1" applyBorder="1" applyAlignment="1">
      <alignment horizontal="center" vertical="center"/>
    </xf>
    <xf numFmtId="0" fontId="0" fillId="0" borderId="19" xfId="0" applyBorder="1"/>
    <xf numFmtId="0" fontId="0" fillId="0" borderId="18" xfId="0" applyBorder="1"/>
    <xf numFmtId="0" fontId="0" fillId="6" borderId="14" xfId="0" applyFill="1" applyBorder="1"/>
    <xf numFmtId="0" fontId="0" fillId="6" borderId="25" xfId="0" applyFill="1" applyBorder="1"/>
    <xf numFmtId="0" fontId="0" fillId="19" borderId="1" xfId="0" applyFill="1" applyBorder="1"/>
    <xf numFmtId="39" fontId="0" fillId="0" borderId="0" xfId="0" applyNumberFormat="1"/>
    <xf numFmtId="14" fontId="17" fillId="6" borderId="27" xfId="0" applyNumberFormat="1" applyFont="1" applyFill="1" applyBorder="1" applyAlignment="1">
      <alignment horizontal="left"/>
    </xf>
    <xf numFmtId="167" fontId="45" fillId="19" borderId="1" xfId="0" applyNumberFormat="1" applyFont="1" applyFill="1" applyBorder="1" applyAlignment="1">
      <alignment horizontal="center" vertical="center" wrapText="1"/>
    </xf>
    <xf numFmtId="43" fontId="0" fillId="6" borderId="1" xfId="1" applyFont="1" applyFill="1" applyBorder="1"/>
    <xf numFmtId="0" fontId="0" fillId="22" borderId="1" xfId="0" applyFill="1" applyBorder="1"/>
    <xf numFmtId="13" fontId="0" fillId="0" borderId="1" xfId="0" applyNumberFormat="1" applyBorder="1" applyAlignment="1">
      <alignment horizontal="center" vertical="center"/>
    </xf>
    <xf numFmtId="0" fontId="0" fillId="0" borderId="57" xfId="0" applyBorder="1"/>
    <xf numFmtId="0" fontId="0" fillId="0" borderId="58" xfId="0" applyBorder="1" applyAlignment="1">
      <alignment wrapText="1"/>
    </xf>
    <xf numFmtId="0" fontId="0" fillId="22" borderId="1" xfId="0" applyFill="1" applyBorder="1" applyAlignment="1">
      <alignment horizontal="center" vertical="center"/>
    </xf>
    <xf numFmtId="0" fontId="0" fillId="6" borderId="37" xfId="0" applyFill="1" applyBorder="1"/>
    <xf numFmtId="0" fontId="0" fillId="6" borderId="35" xfId="0" applyFill="1" applyBorder="1" applyAlignment="1">
      <alignment wrapText="1"/>
    </xf>
    <xf numFmtId="0" fontId="0" fillId="0" borderId="0" xfId="0" applyAlignment="1">
      <alignment vertical="center" wrapText="1"/>
    </xf>
    <xf numFmtId="168" fontId="0" fillId="23" borderId="1" xfId="1" applyNumberFormat="1" applyFont="1" applyFill="1" applyBorder="1" applyAlignment="1">
      <alignment horizontal="center" vertical="center"/>
    </xf>
    <xf numFmtId="0" fontId="0" fillId="0" borderId="53" xfId="0" applyBorder="1"/>
    <xf numFmtId="0" fontId="0" fillId="19" borderId="52" xfId="0" applyFill="1" applyBorder="1" applyAlignment="1">
      <alignment wrapText="1"/>
    </xf>
    <xf numFmtId="168" fontId="0" fillId="0" borderId="1" xfId="1" applyNumberFormat="1" applyFont="1" applyFill="1" applyBorder="1" applyAlignment="1">
      <alignment horizontal="center" vertical="center"/>
    </xf>
    <xf numFmtId="0" fontId="0" fillId="0" borderId="59" xfId="0" applyBorder="1"/>
    <xf numFmtId="0" fontId="0" fillId="0" borderId="60" xfId="0" applyBorder="1" applyAlignment="1">
      <alignment wrapText="1"/>
    </xf>
    <xf numFmtId="12" fontId="0" fillId="22" borderId="1" xfId="0" applyNumberFormat="1" applyFill="1" applyBorder="1" applyAlignment="1">
      <alignment horizontal="center" vertical="center"/>
    </xf>
    <xf numFmtId="0" fontId="0" fillId="0" borderId="52" xfId="0" applyBorder="1" applyAlignment="1">
      <alignment wrapText="1"/>
    </xf>
    <xf numFmtId="0" fontId="0" fillId="0" borderId="5" xfId="0" applyBorder="1"/>
    <xf numFmtId="0" fontId="0" fillId="0" borderId="15" xfId="0" applyBorder="1" applyAlignment="1">
      <alignment wrapText="1"/>
    </xf>
    <xf numFmtId="0" fontId="0" fillId="6" borderId="35" xfId="0" applyFill="1" applyBorder="1"/>
    <xf numFmtId="0" fontId="0" fillId="0" borderId="61" xfId="0" applyBorder="1"/>
    <xf numFmtId="0" fontId="0" fillId="0" borderId="62" xfId="0" applyBorder="1"/>
    <xf numFmtId="0" fontId="17" fillId="19" borderId="0" xfId="0" applyFont="1" applyFill="1"/>
    <xf numFmtId="14" fontId="17" fillId="6" borderId="43" xfId="0" applyNumberFormat="1" applyFont="1" applyFill="1" applyBorder="1" applyAlignment="1">
      <alignment horizontal="left"/>
    </xf>
    <xf numFmtId="0" fontId="17" fillId="6" borderId="47" xfId="0" applyFont="1" applyFill="1" applyBorder="1"/>
    <xf numFmtId="2" fontId="0" fillId="6" borderId="28" xfId="0" applyNumberFormat="1" applyFill="1" applyBorder="1" applyAlignment="1">
      <alignment horizontal="center" vertical="center" wrapText="1"/>
    </xf>
    <xf numFmtId="167" fontId="0" fillId="6" borderId="26" xfId="0" applyNumberFormat="1" applyFill="1" applyBorder="1" applyAlignment="1">
      <alignment horizontal="center" vertical="center" wrapText="1"/>
    </xf>
    <xf numFmtId="2" fontId="0" fillId="7" borderId="1" xfId="0" applyNumberFormat="1" applyFill="1" applyBorder="1" applyAlignment="1" applyProtection="1">
      <alignment horizontal="center" vertical="center"/>
      <protection locked="0"/>
    </xf>
    <xf numFmtId="0" fontId="47" fillId="18" borderId="28" xfId="0" applyFont="1" applyFill="1" applyBorder="1" applyAlignment="1">
      <alignment horizontal="center" vertical="center" wrapText="1"/>
    </xf>
    <xf numFmtId="0" fontId="47" fillId="18" borderId="26" xfId="0" applyFont="1" applyFill="1" applyBorder="1" applyAlignment="1">
      <alignment horizontal="center" vertical="center"/>
    </xf>
    <xf numFmtId="0" fontId="15" fillId="16" borderId="51" xfId="0" applyFont="1" applyFill="1" applyBorder="1" applyAlignment="1">
      <alignment horizontal="center" vertical="center" wrapText="1"/>
    </xf>
    <xf numFmtId="0" fontId="15" fillId="16" borderId="26" xfId="0" applyFont="1" applyFill="1" applyBorder="1" applyAlignment="1">
      <alignment horizontal="center" vertical="center"/>
    </xf>
    <xf numFmtId="0" fontId="0" fillId="0" borderId="6" xfId="0" applyBorder="1"/>
    <xf numFmtId="0" fontId="0" fillId="0" borderId="16" xfId="0" applyBorder="1"/>
    <xf numFmtId="0" fontId="0" fillId="0" borderId="15" xfId="0" applyBorder="1"/>
    <xf numFmtId="0" fontId="0" fillId="19" borderId="5" xfId="0" applyFill="1" applyBorder="1"/>
    <xf numFmtId="0" fontId="0" fillId="19" borderId="15" xfId="0" applyFill="1" applyBorder="1"/>
    <xf numFmtId="0" fontId="0" fillId="6" borderId="24" xfId="0" applyFill="1" applyBorder="1"/>
    <xf numFmtId="0" fontId="0" fillId="6" borderId="22" xfId="0" applyFill="1" applyBorder="1" applyAlignment="1">
      <alignment wrapText="1"/>
    </xf>
    <xf numFmtId="2" fontId="0" fillId="0" borderId="0" xfId="0" applyNumberFormat="1"/>
    <xf numFmtId="0" fontId="0" fillId="6" borderId="20" xfId="0" applyFill="1" applyBorder="1"/>
    <xf numFmtId="0" fontId="0" fillId="6" borderId="19" xfId="0" applyFill="1" applyBorder="1"/>
    <xf numFmtId="0" fontId="0" fillId="6" borderId="17" xfId="0" applyFill="1" applyBorder="1"/>
    <xf numFmtId="0" fontId="0" fillId="0" borderId="21" xfId="0" applyBorder="1"/>
    <xf numFmtId="167" fontId="0" fillId="7" borderId="1" xfId="0" applyNumberFormat="1" applyFill="1" applyBorder="1" applyAlignment="1" applyProtection="1">
      <alignment horizontal="center" vertical="center"/>
      <protection locked="0"/>
    </xf>
    <xf numFmtId="167" fontId="0" fillId="0" borderId="0" xfId="0" applyNumberFormat="1"/>
    <xf numFmtId="170" fontId="0" fillId="0" borderId="0" xfId="0" applyNumberFormat="1"/>
    <xf numFmtId="167" fontId="0" fillId="6" borderId="2" xfId="0" applyNumberFormat="1" applyFill="1" applyBorder="1" applyAlignment="1">
      <alignment horizontal="center" vertical="center" wrapText="1"/>
    </xf>
    <xf numFmtId="0" fontId="0" fillId="6" borderId="28" xfId="0" applyFill="1" applyBorder="1" applyAlignment="1">
      <alignment horizontal="center" vertical="center" wrapText="1"/>
    </xf>
    <xf numFmtId="0" fontId="42" fillId="0" borderId="28" xfId="0" applyFont="1" applyBorder="1" applyAlignment="1">
      <alignment vertical="center" wrapText="1"/>
    </xf>
    <xf numFmtId="0" fontId="42" fillId="0" borderId="48" xfId="0" applyFont="1" applyBorder="1" applyAlignment="1">
      <alignment vertical="center" wrapText="1"/>
    </xf>
    <xf numFmtId="0" fontId="42" fillId="0" borderId="0" xfId="0" applyFont="1" applyAlignment="1">
      <alignment vertical="center" wrapText="1"/>
    </xf>
    <xf numFmtId="10" fontId="42" fillId="0" borderId="0" xfId="0" applyNumberFormat="1" applyFont="1" applyAlignment="1">
      <alignment vertical="center" wrapText="1"/>
    </xf>
    <xf numFmtId="9" fontId="42" fillId="0" borderId="0" xfId="0" applyNumberFormat="1" applyFont="1" applyAlignment="1">
      <alignment vertical="center" wrapText="1"/>
    </xf>
    <xf numFmtId="0" fontId="42" fillId="0" borderId="25" xfId="0" applyFont="1" applyBorder="1" applyAlignment="1">
      <alignment vertical="center" wrapText="1"/>
    </xf>
    <xf numFmtId="0" fontId="0" fillId="7" borderId="14" xfId="0" applyFill="1" applyBorder="1"/>
    <xf numFmtId="0" fontId="0" fillId="7" borderId="3" xfId="0" applyFill="1" applyBorder="1"/>
    <xf numFmtId="0" fontId="0" fillId="7" borderId="16" xfId="0" applyFill="1" applyBorder="1"/>
    <xf numFmtId="0" fontId="20" fillId="7" borderId="55" xfId="0" applyFont="1" applyFill="1" applyBorder="1"/>
    <xf numFmtId="0" fontId="18" fillId="4" borderId="63" xfId="0" applyFont="1" applyFill="1" applyBorder="1"/>
    <xf numFmtId="171" fontId="0" fillId="4" borderId="1" xfId="0" applyNumberFormat="1" applyFill="1" applyBorder="1" applyAlignment="1">
      <alignment horizontal="center" vertical="center"/>
    </xf>
    <xf numFmtId="172" fontId="13" fillId="4" borderId="1" xfId="1" applyNumberFormat="1" applyFont="1" applyFill="1" applyBorder="1" applyAlignment="1" applyProtection="1">
      <alignment horizontal="center" vertical="center" wrapText="1"/>
    </xf>
    <xf numFmtId="172" fontId="0" fillId="4" borderId="1" xfId="0" applyNumberFormat="1" applyFill="1" applyBorder="1" applyAlignment="1">
      <alignment horizontal="center" vertical="center" wrapText="1"/>
    </xf>
    <xf numFmtId="171" fontId="20" fillId="4" borderId="1" xfId="0" applyNumberFormat="1" applyFont="1" applyFill="1" applyBorder="1" applyAlignment="1">
      <alignment horizontal="center" vertical="center" wrapText="1"/>
    </xf>
    <xf numFmtId="171" fontId="13" fillId="4" borderId="1" xfId="1" applyNumberFormat="1" applyFont="1" applyFill="1" applyBorder="1" applyAlignment="1" applyProtection="1">
      <alignment horizontal="center" vertical="center" wrapText="1"/>
    </xf>
    <xf numFmtId="173" fontId="20" fillId="4" borderId="1" xfId="0" applyNumberFormat="1" applyFont="1" applyFill="1" applyBorder="1" applyAlignment="1">
      <alignment horizontal="center" vertical="center" wrapText="1"/>
    </xf>
    <xf numFmtId="173" fontId="13" fillId="4" borderId="1" xfId="1" applyNumberFormat="1" applyFont="1" applyFill="1" applyBorder="1" applyAlignment="1" applyProtection="1">
      <alignment horizontal="center" vertical="center" wrapText="1"/>
    </xf>
    <xf numFmtId="173" fontId="45" fillId="4" borderId="1" xfId="0" applyNumberFormat="1" applyFont="1" applyFill="1" applyBorder="1" applyAlignment="1">
      <alignment horizontal="center" vertical="center" wrapText="1"/>
    </xf>
    <xf numFmtId="171" fontId="0" fillId="4" borderId="1" xfId="0" applyNumberFormat="1" applyFill="1" applyBorder="1" applyAlignment="1">
      <alignment horizontal="center" vertical="center" wrapText="1"/>
    </xf>
    <xf numFmtId="171" fontId="0" fillId="4" borderId="1" xfId="0" applyNumberFormat="1" applyFill="1" applyBorder="1" applyAlignment="1" applyProtection="1">
      <alignment horizontal="center" vertical="center"/>
      <protection locked="0"/>
    </xf>
    <xf numFmtId="171" fontId="13" fillId="4" borderId="1" xfId="1" applyNumberFormat="1" applyFont="1" applyFill="1" applyBorder="1" applyAlignment="1">
      <alignment horizontal="center" vertical="center" wrapText="1"/>
    </xf>
    <xf numFmtId="172" fontId="0" fillId="4" borderId="1" xfId="0" applyNumberFormat="1" applyFill="1" applyBorder="1" applyAlignment="1">
      <alignment horizontal="center" vertical="center"/>
    </xf>
    <xf numFmtId="172" fontId="20" fillId="4" borderId="1" xfId="0" applyNumberFormat="1" applyFont="1" applyFill="1" applyBorder="1" applyAlignment="1">
      <alignment horizontal="center" vertical="center"/>
    </xf>
    <xf numFmtId="171" fontId="0" fillId="4" borderId="1" xfId="0" applyNumberFormat="1" applyFill="1" applyBorder="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quotePrefix="1" applyAlignment="1">
      <alignment horizontal="center"/>
    </xf>
    <xf numFmtId="0" fontId="0" fillId="0" borderId="0" xfId="0" applyAlignment="1">
      <alignment horizontal="center"/>
    </xf>
    <xf numFmtId="14" fontId="0" fillId="0" borderId="0" xfId="0" applyNumberFormat="1" applyAlignment="1">
      <alignment horizontal="center"/>
    </xf>
    <xf numFmtId="0" fontId="25" fillId="16" borderId="35" xfId="0" applyFont="1" applyFill="1" applyBorder="1" applyAlignment="1">
      <alignment horizontal="center" vertical="center"/>
    </xf>
    <xf numFmtId="0" fontId="25" fillId="16" borderId="36" xfId="0" applyFont="1" applyFill="1" applyBorder="1" applyAlignment="1">
      <alignment horizontal="center" vertical="center"/>
    </xf>
    <xf numFmtId="0" fontId="25" fillId="16" borderId="37" xfId="0" applyFont="1" applyFill="1" applyBorder="1" applyAlignment="1">
      <alignment horizontal="center" vertical="center"/>
    </xf>
    <xf numFmtId="0" fontId="30" fillId="16" borderId="17" xfId="0" applyFont="1" applyFill="1" applyBorder="1" applyAlignment="1">
      <alignment horizontal="center" vertical="center"/>
    </xf>
    <xf numFmtId="0" fontId="30" fillId="16" borderId="18" xfId="0" applyFont="1" applyFill="1" applyBorder="1" applyAlignment="1">
      <alignment horizontal="center" vertical="center"/>
    </xf>
    <xf numFmtId="0" fontId="30" fillId="16" borderId="20" xfId="0" applyFont="1" applyFill="1" applyBorder="1" applyAlignment="1">
      <alignment horizontal="center" vertical="center"/>
    </xf>
    <xf numFmtId="0" fontId="30" fillId="16" borderId="0" xfId="0" applyFont="1" applyFill="1" applyAlignment="1">
      <alignment horizontal="center" vertical="center"/>
    </xf>
    <xf numFmtId="0" fontId="30" fillId="16" borderId="22" xfId="0" applyFont="1" applyFill="1" applyBorder="1" applyAlignment="1">
      <alignment horizontal="center" vertical="center"/>
    </xf>
    <xf numFmtId="0" fontId="30" fillId="16" borderId="23" xfId="0" applyFont="1" applyFill="1" applyBorder="1" applyAlignment="1">
      <alignment horizontal="center" vertical="center"/>
    </xf>
    <xf numFmtId="0" fontId="26" fillId="16" borderId="18" xfId="0" applyFont="1" applyFill="1" applyBorder="1" applyAlignment="1">
      <alignment horizontal="right" vertical="center"/>
    </xf>
    <xf numFmtId="0" fontId="26" fillId="16" borderId="19" xfId="0" applyFont="1" applyFill="1" applyBorder="1" applyAlignment="1">
      <alignment horizontal="right" vertical="center"/>
    </xf>
    <xf numFmtId="0" fontId="26" fillId="16" borderId="0" xfId="0" applyFont="1" applyFill="1" applyAlignment="1">
      <alignment horizontal="right" vertical="center"/>
    </xf>
    <xf numFmtId="0" fontId="26" fillId="16" borderId="21" xfId="0" applyFont="1" applyFill="1" applyBorder="1" applyAlignment="1">
      <alignment horizontal="right" vertical="center"/>
    </xf>
    <xf numFmtId="0" fontId="26" fillId="16" borderId="23" xfId="0" applyFont="1" applyFill="1" applyBorder="1" applyAlignment="1">
      <alignment horizontal="right" vertical="center"/>
    </xf>
    <xf numFmtId="0" fontId="26" fillId="16" borderId="24" xfId="0" applyFont="1" applyFill="1" applyBorder="1" applyAlignment="1">
      <alignment horizontal="right" vertical="center"/>
    </xf>
    <xf numFmtId="0" fontId="21" fillId="16" borderId="39" xfId="0" applyFont="1" applyFill="1" applyBorder="1" applyAlignment="1">
      <alignment horizontal="right" vertical="center"/>
    </xf>
    <xf numFmtId="0" fontId="21" fillId="16" borderId="42" xfId="0" applyFont="1" applyFill="1" applyBorder="1" applyAlignment="1">
      <alignment horizontal="right" vertical="center"/>
    </xf>
    <xf numFmtId="0" fontId="14" fillId="16" borderId="43" xfId="0" applyFont="1" applyFill="1" applyBorder="1" applyAlignment="1">
      <alignment horizontal="center" vertical="center" wrapText="1"/>
    </xf>
    <xf numFmtId="0" fontId="14" fillId="16" borderId="44" xfId="0" applyFont="1" applyFill="1" applyBorder="1" applyAlignment="1">
      <alignment horizontal="center" vertical="center" wrapText="1"/>
    </xf>
    <xf numFmtId="0" fontId="14" fillId="16" borderId="23" xfId="0" applyFont="1" applyFill="1" applyBorder="1" applyAlignment="1">
      <alignment horizontal="center" vertical="center" wrapText="1"/>
    </xf>
    <xf numFmtId="0" fontId="14" fillId="16" borderId="24" xfId="0" applyFont="1" applyFill="1" applyBorder="1" applyAlignment="1">
      <alignment horizontal="center" vertical="center" wrapText="1"/>
    </xf>
    <xf numFmtId="0" fontId="29" fillId="7" borderId="17"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19" xfId="0" applyFont="1" applyFill="1" applyBorder="1" applyAlignment="1">
      <alignment horizontal="left" vertical="center" wrapText="1"/>
    </xf>
    <xf numFmtId="0" fontId="20" fillId="7" borderId="20" xfId="0" applyFont="1" applyFill="1" applyBorder="1" applyAlignment="1">
      <alignment horizontal="left" vertical="center" wrapText="1"/>
    </xf>
    <xf numFmtId="0" fontId="20" fillId="7" borderId="0" xfId="0" applyFont="1" applyFill="1" applyAlignment="1">
      <alignment horizontal="left" vertical="center" wrapText="1"/>
    </xf>
    <xf numFmtId="0" fontId="20" fillId="7" borderId="21" xfId="0" applyFont="1" applyFill="1" applyBorder="1" applyAlignment="1">
      <alignment horizontal="left" vertical="center" wrapText="1"/>
    </xf>
    <xf numFmtId="0" fontId="20" fillId="7" borderId="22" xfId="0" applyFont="1" applyFill="1" applyBorder="1" applyAlignment="1">
      <alignment horizontal="left" vertical="center" wrapText="1"/>
    </xf>
    <xf numFmtId="0" fontId="20" fillId="7" borderId="23" xfId="0" applyFont="1" applyFill="1" applyBorder="1" applyAlignment="1">
      <alignment horizontal="left" vertical="center" wrapText="1"/>
    </xf>
    <xf numFmtId="0" fontId="20" fillId="7" borderId="24" xfId="0" applyFont="1" applyFill="1" applyBorder="1" applyAlignment="1">
      <alignment horizontal="left" vertical="center" wrapText="1"/>
    </xf>
    <xf numFmtId="0" fontId="14" fillId="13" borderId="9" xfId="0" applyFont="1" applyFill="1" applyBorder="1" applyAlignment="1">
      <alignment horizontal="center" vertical="center" wrapText="1"/>
    </xf>
    <xf numFmtId="0" fontId="14" fillId="13" borderId="31" xfId="0" applyFont="1" applyFill="1" applyBorder="1" applyAlignment="1">
      <alignment horizontal="center" vertical="center" wrapText="1"/>
    </xf>
    <xf numFmtId="0" fontId="14" fillId="13" borderId="32" xfId="0" applyFont="1" applyFill="1" applyBorder="1" applyAlignment="1">
      <alignment horizontal="center" vertical="center" wrapText="1"/>
    </xf>
    <xf numFmtId="0" fontId="29" fillId="7" borderId="33" xfId="0" applyFont="1" applyFill="1" applyBorder="1" applyAlignment="1">
      <alignment horizontal="left" vertical="center" wrapText="1"/>
    </xf>
    <xf numFmtId="0" fontId="29" fillId="7" borderId="31" xfId="0" applyFont="1" applyFill="1" applyBorder="1" applyAlignment="1">
      <alignment horizontal="left" vertical="center" wrapText="1"/>
    </xf>
    <xf numFmtId="0" fontId="29" fillId="7" borderId="34" xfId="0" applyFont="1" applyFill="1" applyBorder="1" applyAlignment="1">
      <alignment horizontal="left" vertical="center" wrapText="1"/>
    </xf>
    <xf numFmtId="0" fontId="27" fillId="7" borderId="35" xfId="0" applyFont="1" applyFill="1" applyBorder="1" applyAlignment="1">
      <alignment horizontal="left" vertical="center" wrapText="1"/>
    </xf>
    <xf numFmtId="0" fontId="27" fillId="7" borderId="36" xfId="0" applyFont="1" applyFill="1" applyBorder="1" applyAlignment="1">
      <alignment horizontal="left" vertical="center" wrapText="1"/>
    </xf>
    <xf numFmtId="0" fontId="27" fillId="7" borderId="37" xfId="0" applyFont="1" applyFill="1" applyBorder="1" applyAlignment="1">
      <alignment horizontal="left" vertical="center" wrapText="1"/>
    </xf>
    <xf numFmtId="0" fontId="20" fillId="4" borderId="14"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9" fillId="7" borderId="38" xfId="0" applyFont="1" applyFill="1" applyBorder="1" applyAlignment="1">
      <alignment horizontal="left" vertical="center" wrapText="1"/>
    </xf>
    <xf numFmtId="0" fontId="29" fillId="7" borderId="39" xfId="0" applyFont="1" applyFill="1" applyBorder="1" applyAlignment="1">
      <alignment horizontal="left" vertical="center" wrapText="1"/>
    </xf>
    <xf numFmtId="0" fontId="29" fillId="7" borderId="40" xfId="0" applyFont="1" applyFill="1" applyBorder="1" applyAlignment="1">
      <alignment horizontal="left" vertical="center" wrapText="1"/>
    </xf>
    <xf numFmtId="0" fontId="20" fillId="7" borderId="15"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9" fillId="7" borderId="26" xfId="0" applyFont="1" applyFill="1" applyBorder="1" applyAlignment="1">
      <alignment horizontal="left" vertical="center" wrapText="1"/>
    </xf>
    <xf numFmtId="0" fontId="29" fillId="7" borderId="27" xfId="0" applyFont="1" applyFill="1" applyBorder="1" applyAlignment="1">
      <alignment horizontal="left" vertical="center" wrapText="1"/>
    </xf>
    <xf numFmtId="0" fontId="29" fillId="7" borderId="41" xfId="0" applyFont="1" applyFill="1" applyBorder="1" applyAlignment="1">
      <alignment horizontal="left" vertical="center" wrapText="1"/>
    </xf>
    <xf numFmtId="0" fontId="14" fillId="14" borderId="15"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32" fillId="16" borderId="17" xfId="0" applyFont="1" applyFill="1" applyBorder="1" applyAlignment="1">
      <alignment horizontal="center" vertical="center"/>
    </xf>
    <xf numFmtId="0" fontId="32" fillId="16" borderId="18" xfId="0" applyFont="1" applyFill="1" applyBorder="1" applyAlignment="1">
      <alignment horizontal="center" vertical="center"/>
    </xf>
    <xf numFmtId="0" fontId="32" fillId="16" borderId="19" xfId="0" applyFont="1" applyFill="1" applyBorder="1" applyAlignment="1">
      <alignment horizontal="center" vertical="center"/>
    </xf>
    <xf numFmtId="0" fontId="32" fillId="16" borderId="22" xfId="0" applyFont="1" applyFill="1" applyBorder="1" applyAlignment="1">
      <alignment horizontal="center" vertical="center"/>
    </xf>
    <xf numFmtId="0" fontId="32" fillId="16" borderId="23" xfId="0" applyFont="1" applyFill="1" applyBorder="1" applyAlignment="1">
      <alignment horizontal="center" vertical="center"/>
    </xf>
    <xf numFmtId="0" fontId="32" fillId="16" borderId="24" xfId="0" applyFont="1" applyFill="1" applyBorder="1" applyAlignment="1">
      <alignment horizontal="center" vertical="center"/>
    </xf>
    <xf numFmtId="0" fontId="31" fillId="16" borderId="35" xfId="0" applyFont="1" applyFill="1" applyBorder="1" applyAlignment="1">
      <alignment horizontal="center" vertical="center" wrapText="1"/>
    </xf>
    <xf numFmtId="0" fontId="31" fillId="16" borderId="36" xfId="0" applyFont="1" applyFill="1" applyBorder="1" applyAlignment="1">
      <alignment horizontal="center" vertical="center" wrapText="1"/>
    </xf>
    <xf numFmtId="0" fontId="31" fillId="16" borderId="37" xfId="0" applyFont="1" applyFill="1" applyBorder="1" applyAlignment="1">
      <alignment horizontal="center" vertical="center" wrapText="1"/>
    </xf>
    <xf numFmtId="0" fontId="14" fillId="16" borderId="35" xfId="0" applyFont="1" applyFill="1" applyBorder="1" applyAlignment="1">
      <alignment horizontal="center" vertical="center"/>
    </xf>
    <xf numFmtId="0" fontId="14" fillId="16" borderId="36" xfId="0" applyFont="1" applyFill="1" applyBorder="1" applyAlignment="1">
      <alignment horizontal="center" vertical="center"/>
    </xf>
    <xf numFmtId="0" fontId="14" fillId="16" borderId="37" xfId="0" applyFont="1" applyFill="1" applyBorder="1" applyAlignment="1">
      <alignment horizontal="center" vertical="center"/>
    </xf>
    <xf numFmtId="0" fontId="22" fillId="0" borderId="14" xfId="0" applyFont="1" applyBorder="1" applyAlignment="1" applyProtection="1">
      <alignment horizontal="left" vertical="center"/>
      <protection locked="0"/>
    </xf>
    <xf numFmtId="0" fontId="22" fillId="0" borderId="13"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27" xfId="0" applyFont="1" applyBorder="1" applyAlignment="1" applyProtection="1">
      <alignment horizontal="left" vertical="center"/>
      <protection locked="0"/>
    </xf>
    <xf numFmtId="0" fontId="22" fillId="0" borderId="41" xfId="0" applyFont="1" applyBorder="1" applyAlignment="1" applyProtection="1">
      <alignment horizontal="left" vertical="center"/>
      <protection locked="0"/>
    </xf>
    <xf numFmtId="43" fontId="18" fillId="7" borderId="15" xfId="1" applyFont="1" applyFill="1" applyBorder="1" applyAlignment="1" applyProtection="1">
      <alignment horizontal="center" vertical="center"/>
    </xf>
    <xf numFmtId="43" fontId="18" fillId="7" borderId="5" xfId="1" applyFont="1" applyFill="1" applyBorder="1" applyAlignment="1" applyProtection="1">
      <alignment horizontal="center" vertical="center"/>
    </xf>
    <xf numFmtId="43" fontId="18" fillId="7" borderId="14" xfId="1" applyFont="1" applyFill="1" applyBorder="1" applyAlignment="1" applyProtection="1">
      <alignment horizontal="right" vertical="center"/>
    </xf>
    <xf numFmtId="43" fontId="18" fillId="7" borderId="3" xfId="1" applyFont="1" applyFill="1" applyBorder="1" applyAlignment="1" applyProtection="1">
      <alignment horizontal="right" vertical="center"/>
    </xf>
    <xf numFmtId="164" fontId="18" fillId="7" borderId="16" xfId="0" applyNumberFormat="1" applyFont="1" applyFill="1" applyBorder="1" applyAlignment="1">
      <alignment horizontal="right" vertical="center"/>
    </xf>
    <xf numFmtId="164" fontId="18" fillId="7" borderId="6" xfId="0" applyNumberFormat="1" applyFont="1" applyFill="1" applyBorder="1" applyAlignment="1">
      <alignment horizontal="right" vertical="center"/>
    </xf>
    <xf numFmtId="14" fontId="22" fillId="0" borderId="16" xfId="0" applyNumberFormat="1"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18" fillId="4" borderId="1" xfId="3" applyFont="1" applyFill="1" applyBorder="1" applyAlignment="1" applyProtection="1">
      <alignment horizontal="center" vertical="center"/>
      <protection locked="0"/>
    </xf>
    <xf numFmtId="0" fontId="18" fillId="4" borderId="26" xfId="3" applyFont="1" applyFill="1" applyBorder="1" applyAlignment="1" applyProtection="1">
      <alignment horizontal="center" vertical="center"/>
      <protection locked="0"/>
    </xf>
    <xf numFmtId="0" fontId="17" fillId="3" borderId="26" xfId="0" applyFont="1" applyFill="1" applyBorder="1" applyAlignment="1">
      <alignment horizontal="left"/>
    </xf>
    <xf numFmtId="0" fontId="17" fillId="3" borderId="27" xfId="0" applyFont="1" applyFill="1" applyBorder="1" applyAlignment="1">
      <alignment horizontal="left"/>
    </xf>
    <xf numFmtId="0" fontId="17" fillId="3" borderId="28" xfId="0" applyFont="1" applyFill="1" applyBorder="1" applyAlignment="1">
      <alignment horizontal="left"/>
    </xf>
    <xf numFmtId="0" fontId="26" fillId="16" borderId="26" xfId="0" applyFont="1" applyFill="1" applyBorder="1" applyAlignment="1">
      <alignment horizontal="left" vertical="center"/>
    </xf>
    <xf numFmtId="0" fontId="26" fillId="16" borderId="27" xfId="0" applyFont="1" applyFill="1" applyBorder="1" applyAlignment="1">
      <alignment horizontal="left" vertical="center"/>
    </xf>
    <xf numFmtId="0" fontId="26" fillId="16" borderId="28" xfId="0" applyFont="1" applyFill="1" applyBorder="1" applyAlignment="1">
      <alignment horizontal="left" vertical="center"/>
    </xf>
    <xf numFmtId="0" fontId="0" fillId="4" borderId="1" xfId="0" applyFill="1" applyBorder="1" applyAlignment="1">
      <alignment horizontal="left" vertical="center"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17" fillId="3" borderId="1" xfId="0" applyFont="1" applyFill="1" applyBorder="1" applyAlignment="1">
      <alignment horizontal="left"/>
    </xf>
    <xf numFmtId="0" fontId="0" fillId="4" borderId="1" xfId="0" applyFill="1" applyBorder="1" applyAlignment="1">
      <alignment horizontal="center"/>
    </xf>
    <xf numFmtId="0" fontId="0" fillId="4" borderId="1" xfId="0" applyFill="1" applyBorder="1" applyAlignment="1">
      <alignment horizontal="center" vertical="center"/>
    </xf>
    <xf numFmtId="0" fontId="26" fillId="16" borderId="45" xfId="0" applyFont="1" applyFill="1" applyBorder="1" applyAlignment="1">
      <alignment vertical="center"/>
    </xf>
    <xf numFmtId="0" fontId="26" fillId="16" borderId="0" xfId="0" applyFont="1" applyFill="1" applyAlignment="1">
      <alignment vertical="center"/>
    </xf>
    <xf numFmtId="0" fontId="0" fillId="4" borderId="47" xfId="0" applyFill="1" applyBorder="1" applyAlignment="1">
      <alignment horizontal="left" vertical="center" wrapText="1"/>
    </xf>
    <xf numFmtId="0" fontId="0" fillId="4" borderId="43" xfId="0" applyFill="1" applyBorder="1" applyAlignment="1">
      <alignment horizontal="lef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30" xfId="0" applyFill="1" applyBorder="1" applyAlignment="1">
      <alignment horizontal="left" vertical="center" wrapText="1"/>
    </xf>
    <xf numFmtId="0" fontId="0" fillId="4" borderId="50" xfId="0" applyFill="1" applyBorder="1" applyAlignment="1">
      <alignment horizontal="left" vertical="center" wrapText="1"/>
    </xf>
    <xf numFmtId="0" fontId="17" fillId="6" borderId="1"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46" xfId="0" applyBorder="1" applyAlignment="1">
      <alignment horizontal="center" vertical="center" wrapText="1"/>
    </xf>
    <xf numFmtId="0" fontId="26" fillId="16" borderId="45" xfId="0" applyFont="1" applyFill="1" applyBorder="1" applyAlignment="1">
      <alignment horizontal="left" vertical="center"/>
    </xf>
    <xf numFmtId="0" fontId="26" fillId="16" borderId="0" xfId="0" applyFont="1" applyFill="1" applyAlignment="1">
      <alignment horizontal="left" vertical="center"/>
    </xf>
    <xf numFmtId="0" fontId="17" fillId="6" borderId="49" xfId="0" applyFont="1" applyFill="1" applyBorder="1" applyAlignment="1">
      <alignment horizontal="center"/>
    </xf>
    <xf numFmtId="0" fontId="17" fillId="6" borderId="30" xfId="0" applyFont="1" applyFill="1" applyBorder="1" applyAlignment="1">
      <alignment horizontal="center"/>
    </xf>
    <xf numFmtId="0" fontId="17" fillId="6" borderId="49" xfId="0" applyFont="1" applyFill="1" applyBorder="1" applyAlignment="1">
      <alignment horizontal="center" vertical="center"/>
    </xf>
    <xf numFmtId="0" fontId="17" fillId="6" borderId="30" xfId="0" applyFont="1" applyFill="1" applyBorder="1" applyAlignment="1">
      <alignment horizontal="center" vertical="center"/>
    </xf>
    <xf numFmtId="0" fontId="46" fillId="3" borderId="1" xfId="0" applyFont="1" applyFill="1" applyBorder="1" applyAlignment="1">
      <alignment horizontal="center" vertical="center" wrapText="1"/>
    </xf>
    <xf numFmtId="0" fontId="0" fillId="0" borderId="25" xfId="0" applyBorder="1" applyAlignment="1">
      <alignment horizontal="center" vertical="center"/>
    </xf>
    <xf numFmtId="0" fontId="0" fillId="0" borderId="46" xfId="0" applyBorder="1" applyAlignment="1">
      <alignment horizontal="center" vertical="center"/>
    </xf>
    <xf numFmtId="0" fontId="17" fillId="6" borderId="1" xfId="0" applyFont="1" applyFill="1" applyBorder="1" applyAlignment="1">
      <alignment horizontal="center" vertical="center"/>
    </xf>
    <xf numFmtId="0" fontId="17" fillId="6" borderId="1" xfId="0" applyFont="1" applyFill="1" applyBorder="1" applyAlignment="1">
      <alignment horizontal="center"/>
    </xf>
    <xf numFmtId="0" fontId="17" fillId="6" borderId="26" xfId="0" applyFont="1" applyFill="1" applyBorder="1" applyAlignment="1">
      <alignment horizontal="center"/>
    </xf>
    <xf numFmtId="0" fontId="17" fillId="6" borderId="27" xfId="0" applyFont="1" applyFill="1" applyBorder="1" applyAlignment="1">
      <alignment horizontal="center"/>
    </xf>
    <xf numFmtId="0" fontId="17" fillId="6" borderId="28" xfId="0" applyFont="1" applyFill="1" applyBorder="1" applyAlignment="1">
      <alignment horizontal="center"/>
    </xf>
    <xf numFmtId="0" fontId="26" fillId="16" borderId="1" xfId="0" applyFont="1" applyFill="1" applyBorder="1" applyAlignment="1">
      <alignment horizontal="left" vertical="center"/>
    </xf>
    <xf numFmtId="0" fontId="0" fillId="4" borderId="46" xfId="0" applyFill="1" applyBorder="1" applyAlignment="1">
      <alignment horizontal="left" vertical="center" wrapText="1"/>
    </xf>
    <xf numFmtId="0" fontId="59" fillId="20" borderId="35" xfId="0" applyFont="1" applyFill="1" applyBorder="1" applyAlignment="1">
      <alignment horizontal="justify" vertical="center" wrapText="1"/>
    </xf>
    <xf numFmtId="0" fontId="59" fillId="20" borderId="36" xfId="0" applyFont="1" applyFill="1" applyBorder="1" applyAlignment="1">
      <alignment horizontal="justify" vertical="center" wrapText="1"/>
    </xf>
    <xf numFmtId="0" fontId="59" fillId="20" borderId="37" xfId="0" applyFont="1" applyFill="1" applyBorder="1" applyAlignment="1">
      <alignment horizontal="justify" vertical="center" wrapText="1"/>
    </xf>
    <xf numFmtId="0" fontId="17" fillId="6" borderId="26" xfId="0" applyFont="1" applyFill="1" applyBorder="1" applyAlignment="1">
      <alignment horizontal="center" vertical="center"/>
    </xf>
    <xf numFmtId="0" fontId="17" fillId="6" borderId="27" xfId="0" applyFont="1" applyFill="1" applyBorder="1" applyAlignment="1">
      <alignment horizontal="center" vertical="center"/>
    </xf>
    <xf numFmtId="0" fontId="17" fillId="6" borderId="28" xfId="0" applyFont="1" applyFill="1" applyBorder="1" applyAlignment="1">
      <alignment horizontal="center" vertical="center"/>
    </xf>
    <xf numFmtId="0" fontId="26" fillId="5" borderId="45" xfId="0" applyFont="1" applyFill="1" applyBorder="1" applyAlignment="1">
      <alignment horizontal="left" vertical="center"/>
    </xf>
    <xf numFmtId="0" fontId="26" fillId="5" borderId="0" xfId="0" applyFont="1" applyFill="1" applyAlignment="1">
      <alignment horizontal="left" vertical="center"/>
    </xf>
    <xf numFmtId="0" fontId="0" fillId="9" borderId="51" xfId="0" applyFill="1" applyBorder="1" applyAlignment="1">
      <alignment horizontal="center" vertical="center"/>
    </xf>
    <xf numFmtId="0" fontId="0" fillId="9" borderId="50" xfId="0" applyFill="1" applyBorder="1" applyAlignment="1">
      <alignment horizontal="center" vertical="center"/>
    </xf>
    <xf numFmtId="0" fontId="0" fillId="9" borderId="25" xfId="0" applyFill="1" applyBorder="1" applyAlignment="1">
      <alignment horizontal="center" vertical="center"/>
    </xf>
    <xf numFmtId="0" fontId="0" fillId="9" borderId="46" xfId="0" applyFill="1" applyBorder="1" applyAlignment="1">
      <alignment horizontal="center" vertical="center"/>
    </xf>
    <xf numFmtId="0" fontId="0" fillId="6" borderId="49" xfId="0" applyFill="1" applyBorder="1" applyAlignment="1">
      <alignment horizontal="center"/>
    </xf>
    <xf numFmtId="0" fontId="0" fillId="6" borderId="30" xfId="0" applyFill="1" applyBorder="1" applyAlignment="1">
      <alignment horizontal="center"/>
    </xf>
    <xf numFmtId="0" fontId="14" fillId="24" borderId="23" xfId="0" applyFont="1" applyFill="1" applyBorder="1" applyAlignment="1">
      <alignment horizontal="center"/>
    </xf>
    <xf numFmtId="0" fontId="62" fillId="8" borderId="0" xfId="0" applyFont="1" applyFill="1" applyAlignment="1">
      <alignment horizontal="center"/>
    </xf>
    <xf numFmtId="0" fontId="0" fillId="19" borderId="0" xfId="0" applyFill="1" applyAlignment="1">
      <alignment horizontal="center" vertical="center" wrapText="1"/>
    </xf>
    <xf numFmtId="0" fontId="26" fillId="16" borderId="26" xfId="0" applyFont="1" applyFill="1" applyBorder="1" applyAlignment="1">
      <alignment horizontal="left" vertical="center" wrapText="1"/>
    </xf>
    <xf numFmtId="0" fontId="27" fillId="19" borderId="0" xfId="0" applyFont="1" applyFill="1" applyAlignment="1">
      <alignment horizontal="center" vertical="center" wrapText="1"/>
    </xf>
    <xf numFmtId="0" fontId="0" fillId="4" borderId="1" xfId="0" applyFill="1" applyBorder="1" applyAlignment="1">
      <alignment vertical="center" wrapText="1"/>
    </xf>
    <xf numFmtId="0" fontId="17" fillId="3" borderId="26" xfId="0" applyFont="1" applyFill="1" applyBorder="1"/>
    <xf numFmtId="0" fontId="17" fillId="3" borderId="27" xfId="0" applyFont="1" applyFill="1" applyBorder="1"/>
    <xf numFmtId="0" fontId="17" fillId="3" borderId="28" xfId="0" applyFont="1" applyFill="1" applyBorder="1"/>
    <xf numFmtId="0" fontId="26" fillId="16" borderId="26" xfId="0" applyFont="1" applyFill="1" applyBorder="1" applyAlignment="1">
      <alignment vertical="center"/>
    </xf>
    <xf numFmtId="0" fontId="26" fillId="16" borderId="27" xfId="0" applyFont="1" applyFill="1" applyBorder="1" applyAlignment="1">
      <alignment vertical="center"/>
    </xf>
    <xf numFmtId="0" fontId="26" fillId="16" borderId="28" xfId="0" applyFont="1" applyFill="1" applyBorder="1" applyAlignment="1">
      <alignment vertical="center"/>
    </xf>
    <xf numFmtId="2" fontId="17" fillId="0" borderId="0" xfId="0" applyNumberFormat="1" applyFont="1" applyAlignment="1">
      <alignment horizontal="center" vertical="center"/>
    </xf>
    <xf numFmtId="0" fontId="17" fillId="0" borderId="0" xfId="0" applyFont="1" applyAlignment="1">
      <alignment horizontal="center"/>
    </xf>
    <xf numFmtId="0" fontId="17" fillId="6" borderId="4" xfId="0" applyFont="1" applyFill="1" applyBorder="1" applyAlignment="1">
      <alignment horizontal="center" vertical="center"/>
    </xf>
    <xf numFmtId="0" fontId="20" fillId="6" borderId="34" xfId="0" applyFont="1" applyFill="1" applyBorder="1"/>
    <xf numFmtId="0" fontId="0" fillId="7" borderId="40" xfId="0" applyFill="1" applyBorder="1"/>
    <xf numFmtId="0" fontId="0" fillId="7" borderId="15" xfId="0" applyFill="1" applyBorder="1"/>
    <xf numFmtId="0" fontId="0" fillId="7" borderId="5" xfId="0" applyFill="1" applyBorder="1"/>
    <xf numFmtId="0" fontId="0" fillId="7" borderId="6" xfId="0" applyFill="1" applyBorder="1"/>
  </cellXfs>
  <cellStyles count="6">
    <cellStyle name="Comma" xfId="1" builtinId="3"/>
    <cellStyle name="Currency" xfId="2" builtinId="4"/>
    <cellStyle name="Hyperlink" xfId="3" builtinId="8"/>
    <cellStyle name="Neutral 2" xfId="5" xr:uid="{49F03CEB-0453-4C05-BDCF-611E2361E981}"/>
    <cellStyle name="Normal" xfId="0" builtinId="0"/>
    <cellStyle name="Percent" xfId="4" builtinId="5"/>
  </cellStyles>
  <dxfs count="11">
    <dxf>
      <fill>
        <patternFill>
          <bgColor rgb="FFFFFF00"/>
        </patternFill>
      </fill>
    </dxf>
    <dxf>
      <fill>
        <patternFill>
          <bgColor rgb="FFFFFF00"/>
        </patternFill>
      </fill>
    </dxf>
    <dxf>
      <font>
        <strike val="0"/>
        <color theme="0" tint="-0.14996795556505021"/>
      </font>
    </dxf>
    <dxf>
      <font>
        <color theme="7" tint="0.79998168889431442"/>
      </font>
    </dxf>
    <dxf>
      <font>
        <color theme="0"/>
      </font>
      <fill>
        <patternFill>
          <bgColor rgb="FFFF0000"/>
        </patternFill>
      </fill>
    </dxf>
    <dxf>
      <font>
        <color theme="7" tint="0.79998168889431442"/>
      </font>
    </dxf>
    <dxf>
      <font>
        <color theme="0"/>
      </font>
      <fill>
        <patternFill>
          <bgColor rgb="FFFF0000"/>
        </patternFill>
      </fill>
    </dxf>
    <dxf>
      <font>
        <strike val="0"/>
        <color theme="0" tint="-0.14996795556505021"/>
      </font>
    </dxf>
    <dxf>
      <font>
        <color theme="7" tint="0.79998168889431442"/>
      </font>
    </dxf>
    <dxf>
      <fill>
        <patternFill>
          <bgColor rgb="FFFF0000"/>
        </patternFill>
      </fill>
    </dxf>
    <dxf>
      <font>
        <b/>
        <i val="0"/>
        <color theme="0"/>
      </font>
      <fill>
        <patternFill>
          <bgColor rgb="FFC00000"/>
        </patternFill>
      </fill>
    </dxf>
  </dxfs>
  <tableStyles count="0" defaultTableStyle="TableStyleMedium2" defaultPivotStyle="PivotStyleLight16"/>
  <colors>
    <mruColors>
      <color rgb="FFDFD2A7"/>
      <color rgb="FF005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refrigerators_freezer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refrigerators_freezer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ice_maker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oven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oven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steam_cooker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fryer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griddle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www.energystar.gov/products/commercial_food_service_equipment/commercial_hot_food_holding_cabin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www.energystar.gov/products/commercial_dishwasher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www.energystar.gov/products/other/vending_machine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396719</xdr:colOff>
      <xdr:row>1</xdr:row>
      <xdr:rowOff>76200</xdr:rowOff>
    </xdr:from>
    <xdr:to>
      <xdr:col>5</xdr:col>
      <xdr:colOff>46424</xdr:colOff>
      <xdr:row>3</xdr:row>
      <xdr:rowOff>228600</xdr:rowOff>
    </xdr:to>
    <xdr:pic>
      <xdr:nvPicPr>
        <xdr:cNvPr id="2" name="Picture 1">
          <a:extLst>
            <a:ext uri="{FF2B5EF4-FFF2-40B4-BE49-F238E27FC236}">
              <a16:creationId xmlns:a16="http://schemas.microsoft.com/office/drawing/2014/main" id="{A392EA21-F991-4B07-A8F2-709713D9A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6719" y="438150"/>
          <a:ext cx="1832835"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137583</xdr:colOff>
      <xdr:row>2</xdr:row>
      <xdr:rowOff>190501</xdr:rowOff>
    </xdr:from>
    <xdr:to>
      <xdr:col>17</xdr:col>
      <xdr:colOff>148166</xdr:colOff>
      <xdr:row>3</xdr:row>
      <xdr:rowOff>232833</xdr:rowOff>
    </xdr:to>
    <xdr:sp macro="" textlink="">
      <xdr:nvSpPr>
        <xdr:cNvPr id="2" name="Rectangle: Rounded Corners 1">
          <a:extLst>
            <a:ext uri="{FF2B5EF4-FFF2-40B4-BE49-F238E27FC236}">
              <a16:creationId xmlns:a16="http://schemas.microsoft.com/office/drawing/2014/main" id="{1DFDACE4-3758-4A2A-800B-6F633546D329}"/>
            </a:ext>
          </a:extLst>
        </xdr:cNvPr>
        <xdr:cNvSpPr/>
      </xdr:nvSpPr>
      <xdr:spPr>
        <a:xfrm>
          <a:off x="8646583" y="772584"/>
          <a:ext cx="1799166" cy="33866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232833</xdr:colOff>
      <xdr:row>2</xdr:row>
      <xdr:rowOff>211667</xdr:rowOff>
    </xdr:from>
    <xdr:to>
      <xdr:col>17</xdr:col>
      <xdr:colOff>126999</xdr:colOff>
      <xdr:row>3</xdr:row>
      <xdr:rowOff>201083</xdr:rowOff>
    </xdr:to>
    <xdr:sp macro="" textlink="">
      <xdr:nvSpPr>
        <xdr:cNvPr id="3" name="TextBox 2">
          <a:hlinkClick xmlns:r="http://schemas.openxmlformats.org/officeDocument/2006/relationships" r:id="rId1"/>
          <a:extLst>
            <a:ext uri="{FF2B5EF4-FFF2-40B4-BE49-F238E27FC236}">
              <a16:creationId xmlns:a16="http://schemas.microsoft.com/office/drawing/2014/main" id="{E62E06E9-F11A-4E6D-94F1-DDA0E7836D1B}"/>
            </a:ext>
          </a:extLst>
        </xdr:cNvPr>
        <xdr:cNvSpPr txBox="1"/>
      </xdr:nvSpPr>
      <xdr:spPr>
        <a:xfrm>
          <a:off x="8741833" y="793750"/>
          <a:ext cx="168274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158750</xdr:colOff>
      <xdr:row>2</xdr:row>
      <xdr:rowOff>137584</xdr:rowOff>
    </xdr:from>
    <xdr:to>
      <xdr:col>17</xdr:col>
      <xdr:colOff>158750</xdr:colOff>
      <xdr:row>3</xdr:row>
      <xdr:rowOff>179916</xdr:rowOff>
    </xdr:to>
    <xdr:sp macro="" textlink="">
      <xdr:nvSpPr>
        <xdr:cNvPr id="7" name="Rectangle: Rounded Corners 6">
          <a:extLst>
            <a:ext uri="{FF2B5EF4-FFF2-40B4-BE49-F238E27FC236}">
              <a16:creationId xmlns:a16="http://schemas.microsoft.com/office/drawing/2014/main" id="{D8690939-D601-416D-A5CB-6C532508BB75}"/>
            </a:ext>
          </a:extLst>
        </xdr:cNvPr>
        <xdr:cNvSpPr/>
      </xdr:nvSpPr>
      <xdr:spPr>
        <a:xfrm>
          <a:off x="8720667" y="719667"/>
          <a:ext cx="1799166" cy="33866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254000</xdr:colOff>
      <xdr:row>2</xdr:row>
      <xdr:rowOff>158750</xdr:rowOff>
    </xdr:from>
    <xdr:to>
      <xdr:col>17</xdr:col>
      <xdr:colOff>137583</xdr:colOff>
      <xdr:row>3</xdr:row>
      <xdr:rowOff>148166</xdr:rowOff>
    </xdr:to>
    <xdr:sp macro="" textlink="">
      <xdr:nvSpPr>
        <xdr:cNvPr id="8" name="TextBox 7">
          <a:hlinkClick xmlns:r="http://schemas.openxmlformats.org/officeDocument/2006/relationships" r:id="rId1"/>
          <a:extLst>
            <a:ext uri="{FF2B5EF4-FFF2-40B4-BE49-F238E27FC236}">
              <a16:creationId xmlns:a16="http://schemas.microsoft.com/office/drawing/2014/main" id="{6826806C-A194-468B-AD98-02B949791A2F}"/>
            </a:ext>
          </a:extLst>
        </xdr:cNvPr>
        <xdr:cNvSpPr txBox="1"/>
      </xdr:nvSpPr>
      <xdr:spPr>
        <a:xfrm>
          <a:off x="8815917" y="740833"/>
          <a:ext cx="168274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84666</xdr:colOff>
      <xdr:row>2</xdr:row>
      <xdr:rowOff>105834</xdr:rowOff>
    </xdr:from>
    <xdr:to>
      <xdr:col>10</xdr:col>
      <xdr:colOff>105833</xdr:colOff>
      <xdr:row>3</xdr:row>
      <xdr:rowOff>127000</xdr:rowOff>
    </xdr:to>
    <xdr:sp macro="" textlink="">
      <xdr:nvSpPr>
        <xdr:cNvPr id="2" name="Rectangle: Rounded Corners 1">
          <a:extLst>
            <a:ext uri="{FF2B5EF4-FFF2-40B4-BE49-F238E27FC236}">
              <a16:creationId xmlns:a16="http://schemas.microsoft.com/office/drawing/2014/main" id="{EB3429F3-E937-4FD7-A18B-1C11C5FBDEF4}"/>
            </a:ext>
          </a:extLst>
        </xdr:cNvPr>
        <xdr:cNvSpPr/>
      </xdr:nvSpPr>
      <xdr:spPr>
        <a:xfrm>
          <a:off x="9218083" y="687917"/>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190500</xdr:colOff>
      <xdr:row>2</xdr:row>
      <xdr:rowOff>137584</xdr:rowOff>
    </xdr:from>
    <xdr:to>
      <xdr:col>10</xdr:col>
      <xdr:colOff>31750</xdr:colOff>
      <xdr:row>3</xdr:row>
      <xdr:rowOff>84667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CEF21B18-3397-43DD-B083-DFB95014B3E0}"/>
            </a:ext>
          </a:extLst>
        </xdr:cNvPr>
        <xdr:cNvSpPr txBox="1"/>
      </xdr:nvSpPr>
      <xdr:spPr>
        <a:xfrm>
          <a:off x="9323917" y="719667"/>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twoCellAnchor>
    <xdr:from>
      <xdr:col>24</xdr:col>
      <xdr:colOff>169334</xdr:colOff>
      <xdr:row>15</xdr:row>
      <xdr:rowOff>105833</xdr:rowOff>
    </xdr:from>
    <xdr:to>
      <xdr:col>26</xdr:col>
      <xdr:colOff>825500</xdr:colOff>
      <xdr:row>24</xdr:row>
      <xdr:rowOff>179916</xdr:rowOff>
    </xdr:to>
    <xdr:sp macro="" textlink="">
      <xdr:nvSpPr>
        <xdr:cNvPr id="4" name="TextBox 3">
          <a:extLst>
            <a:ext uri="{FF2B5EF4-FFF2-40B4-BE49-F238E27FC236}">
              <a16:creationId xmlns:a16="http://schemas.microsoft.com/office/drawing/2014/main" id="{0E86632F-093B-474B-B635-6F002EC0D2E9}"/>
            </a:ext>
          </a:extLst>
        </xdr:cNvPr>
        <xdr:cNvSpPr txBox="1"/>
      </xdr:nvSpPr>
      <xdr:spPr>
        <a:xfrm>
          <a:off x="27834167" y="3492500"/>
          <a:ext cx="3788833" cy="2074333"/>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a:t>
          </a:r>
          <a:r>
            <a:rPr lang="en-US" sz="1100" baseline="0"/>
            <a:t> TRM, I think Batch and Contionuous EE are flipped</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148167</xdr:colOff>
      <xdr:row>2</xdr:row>
      <xdr:rowOff>158749</xdr:rowOff>
    </xdr:from>
    <xdr:to>
      <xdr:col>30</xdr:col>
      <xdr:colOff>63501</xdr:colOff>
      <xdr:row>3</xdr:row>
      <xdr:rowOff>169331</xdr:rowOff>
    </xdr:to>
    <xdr:sp macro="" textlink="">
      <xdr:nvSpPr>
        <xdr:cNvPr id="2" name="Rectangle: Rounded Corners 1">
          <a:extLst>
            <a:ext uri="{FF2B5EF4-FFF2-40B4-BE49-F238E27FC236}">
              <a16:creationId xmlns:a16="http://schemas.microsoft.com/office/drawing/2014/main" id="{24C27AB9-F044-4C6D-9277-B4280F167873}"/>
            </a:ext>
          </a:extLst>
        </xdr:cNvPr>
        <xdr:cNvSpPr/>
      </xdr:nvSpPr>
      <xdr:spPr>
        <a:xfrm>
          <a:off x="7291917" y="740832"/>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254001</xdr:colOff>
      <xdr:row>2</xdr:row>
      <xdr:rowOff>179916</xdr:rowOff>
    </xdr:from>
    <xdr:to>
      <xdr:col>29</xdr:col>
      <xdr:colOff>1121834</xdr:colOff>
      <xdr:row>3</xdr:row>
      <xdr:rowOff>116415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1AA37F4-21B0-465A-A0B1-8E26FD269D62}"/>
            </a:ext>
          </a:extLst>
        </xdr:cNvPr>
        <xdr:cNvSpPr txBox="1"/>
      </xdr:nvSpPr>
      <xdr:spPr>
        <a:xfrm>
          <a:off x="7397751" y="761999"/>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137583</xdr:colOff>
      <xdr:row>2</xdr:row>
      <xdr:rowOff>105833</xdr:rowOff>
    </xdr:from>
    <xdr:to>
      <xdr:col>22</xdr:col>
      <xdr:colOff>0</xdr:colOff>
      <xdr:row>3</xdr:row>
      <xdr:rowOff>116415</xdr:rowOff>
    </xdr:to>
    <xdr:sp macro="" textlink="">
      <xdr:nvSpPr>
        <xdr:cNvPr id="2" name="Rectangle: Rounded Corners 1">
          <a:extLst>
            <a:ext uri="{FF2B5EF4-FFF2-40B4-BE49-F238E27FC236}">
              <a16:creationId xmlns:a16="http://schemas.microsoft.com/office/drawing/2014/main" id="{1F16AE18-316F-4ECB-8781-8B3472790F1B}"/>
            </a:ext>
          </a:extLst>
        </xdr:cNvPr>
        <xdr:cNvSpPr/>
      </xdr:nvSpPr>
      <xdr:spPr>
        <a:xfrm>
          <a:off x="7524750" y="687916"/>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243417</xdr:colOff>
      <xdr:row>2</xdr:row>
      <xdr:rowOff>137583</xdr:rowOff>
    </xdr:from>
    <xdr:to>
      <xdr:col>21</xdr:col>
      <xdr:colOff>1100667</xdr:colOff>
      <xdr:row>3</xdr:row>
      <xdr:rowOff>74082</xdr:rowOff>
    </xdr:to>
    <xdr:sp macro="" textlink="">
      <xdr:nvSpPr>
        <xdr:cNvPr id="3" name="TextBox 2">
          <a:hlinkClick xmlns:r="http://schemas.openxmlformats.org/officeDocument/2006/relationships" r:id="rId1"/>
          <a:extLst>
            <a:ext uri="{FF2B5EF4-FFF2-40B4-BE49-F238E27FC236}">
              <a16:creationId xmlns:a16="http://schemas.microsoft.com/office/drawing/2014/main" id="{C67290CC-20F6-4EBD-AF87-8A21F7D84B8C}"/>
            </a:ext>
          </a:extLst>
        </xdr:cNvPr>
        <xdr:cNvSpPr txBox="1"/>
      </xdr:nvSpPr>
      <xdr:spPr>
        <a:xfrm>
          <a:off x="7630584" y="719666"/>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116416</xdr:colOff>
      <xdr:row>2</xdr:row>
      <xdr:rowOff>95250</xdr:rowOff>
    </xdr:from>
    <xdr:to>
      <xdr:col>31</xdr:col>
      <xdr:colOff>158750</xdr:colOff>
      <xdr:row>3</xdr:row>
      <xdr:rowOff>105832</xdr:rowOff>
    </xdr:to>
    <xdr:sp macro="" textlink="">
      <xdr:nvSpPr>
        <xdr:cNvPr id="4" name="Rectangle: Rounded Corners 3">
          <a:extLst>
            <a:ext uri="{FF2B5EF4-FFF2-40B4-BE49-F238E27FC236}">
              <a16:creationId xmlns:a16="http://schemas.microsoft.com/office/drawing/2014/main" id="{12DB366B-5821-4A4B-8EC7-70F61D3CE235}"/>
            </a:ext>
          </a:extLst>
        </xdr:cNvPr>
        <xdr:cNvSpPr/>
      </xdr:nvSpPr>
      <xdr:spPr>
        <a:xfrm>
          <a:off x="7376583" y="677333"/>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222250</xdr:colOff>
      <xdr:row>2</xdr:row>
      <xdr:rowOff>127000</xdr:rowOff>
    </xdr:from>
    <xdr:to>
      <xdr:col>31</xdr:col>
      <xdr:colOff>84667</xdr:colOff>
      <xdr:row>3</xdr:row>
      <xdr:rowOff>63499</xdr:rowOff>
    </xdr:to>
    <xdr:sp macro="" textlink="">
      <xdr:nvSpPr>
        <xdr:cNvPr id="5" name="TextBox 4">
          <a:hlinkClick xmlns:r="http://schemas.openxmlformats.org/officeDocument/2006/relationships" r:id="rId1"/>
          <a:extLst>
            <a:ext uri="{FF2B5EF4-FFF2-40B4-BE49-F238E27FC236}">
              <a16:creationId xmlns:a16="http://schemas.microsoft.com/office/drawing/2014/main" id="{1D712AF6-1226-4793-A7D8-34908BDB5E24}"/>
            </a:ext>
          </a:extLst>
        </xdr:cNvPr>
        <xdr:cNvSpPr txBox="1"/>
      </xdr:nvSpPr>
      <xdr:spPr>
        <a:xfrm>
          <a:off x="7482417" y="709083"/>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190497</xdr:colOff>
      <xdr:row>2</xdr:row>
      <xdr:rowOff>158751</xdr:rowOff>
    </xdr:from>
    <xdr:to>
      <xdr:col>24</xdr:col>
      <xdr:colOff>687913</xdr:colOff>
      <xdr:row>3</xdr:row>
      <xdr:rowOff>169333</xdr:rowOff>
    </xdr:to>
    <xdr:sp macro="" textlink="">
      <xdr:nvSpPr>
        <xdr:cNvPr id="2" name="Rectangle: Rounded Corners 1">
          <a:extLst>
            <a:ext uri="{FF2B5EF4-FFF2-40B4-BE49-F238E27FC236}">
              <a16:creationId xmlns:a16="http://schemas.microsoft.com/office/drawing/2014/main" id="{E2A0A0E1-D4CC-436A-A12A-DC6F58E0309A}"/>
            </a:ext>
          </a:extLst>
        </xdr:cNvPr>
        <xdr:cNvSpPr/>
      </xdr:nvSpPr>
      <xdr:spPr>
        <a:xfrm>
          <a:off x="7069664" y="740834"/>
          <a:ext cx="1640416"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190497</xdr:colOff>
      <xdr:row>2</xdr:row>
      <xdr:rowOff>190501</xdr:rowOff>
    </xdr:from>
    <xdr:to>
      <xdr:col>24</xdr:col>
      <xdr:colOff>730247</xdr:colOff>
      <xdr:row>3</xdr:row>
      <xdr:rowOff>148166</xdr:rowOff>
    </xdr:to>
    <xdr:sp macro="" textlink="">
      <xdr:nvSpPr>
        <xdr:cNvPr id="3" name="TextBox 2">
          <a:hlinkClick xmlns:r="http://schemas.openxmlformats.org/officeDocument/2006/relationships" r:id="rId1"/>
          <a:extLst>
            <a:ext uri="{FF2B5EF4-FFF2-40B4-BE49-F238E27FC236}">
              <a16:creationId xmlns:a16="http://schemas.microsoft.com/office/drawing/2014/main" id="{8826E948-C8BD-4FA3-AB76-F12458E74DE2}"/>
            </a:ext>
          </a:extLst>
        </xdr:cNvPr>
        <xdr:cNvSpPr txBox="1"/>
      </xdr:nvSpPr>
      <xdr:spPr>
        <a:xfrm>
          <a:off x="7069664" y="772584"/>
          <a:ext cx="1682750"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169339</xdr:colOff>
      <xdr:row>2</xdr:row>
      <xdr:rowOff>137582</xdr:rowOff>
    </xdr:from>
    <xdr:to>
      <xdr:col>25</xdr:col>
      <xdr:colOff>582083</xdr:colOff>
      <xdr:row>3</xdr:row>
      <xdr:rowOff>148164</xdr:rowOff>
    </xdr:to>
    <xdr:sp macro="" textlink="">
      <xdr:nvSpPr>
        <xdr:cNvPr id="2" name="Rectangle: Rounded Corners 1">
          <a:extLst>
            <a:ext uri="{FF2B5EF4-FFF2-40B4-BE49-F238E27FC236}">
              <a16:creationId xmlns:a16="http://schemas.microsoft.com/office/drawing/2014/main" id="{B0D2AF5E-1A0E-4D43-B030-8905620926E4}"/>
            </a:ext>
          </a:extLst>
        </xdr:cNvPr>
        <xdr:cNvSpPr/>
      </xdr:nvSpPr>
      <xdr:spPr>
        <a:xfrm>
          <a:off x="8276172" y="719665"/>
          <a:ext cx="1629828"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170391</xdr:colOff>
      <xdr:row>2</xdr:row>
      <xdr:rowOff>158749</xdr:rowOff>
    </xdr:from>
    <xdr:to>
      <xdr:col>25</xdr:col>
      <xdr:colOff>793749</xdr:colOff>
      <xdr:row>3</xdr:row>
      <xdr:rowOff>126999</xdr:rowOff>
    </xdr:to>
    <xdr:sp macro="" textlink="">
      <xdr:nvSpPr>
        <xdr:cNvPr id="3" name="TextBox 2">
          <a:hlinkClick xmlns:r="http://schemas.openxmlformats.org/officeDocument/2006/relationships" r:id="rId1"/>
          <a:extLst>
            <a:ext uri="{FF2B5EF4-FFF2-40B4-BE49-F238E27FC236}">
              <a16:creationId xmlns:a16="http://schemas.microsoft.com/office/drawing/2014/main" id="{D19B2FF9-35F9-45A0-A3D7-B47A065AE9AF}"/>
            </a:ext>
          </a:extLst>
        </xdr:cNvPr>
        <xdr:cNvSpPr txBox="1"/>
      </xdr:nvSpPr>
      <xdr:spPr>
        <a:xfrm>
          <a:off x="8277224" y="740832"/>
          <a:ext cx="1840442" cy="26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148167</xdr:colOff>
      <xdr:row>2</xdr:row>
      <xdr:rowOff>169334</xdr:rowOff>
    </xdr:from>
    <xdr:to>
      <xdr:col>19</xdr:col>
      <xdr:colOff>42334</xdr:colOff>
      <xdr:row>3</xdr:row>
      <xdr:rowOff>179916</xdr:rowOff>
    </xdr:to>
    <xdr:sp macro="" textlink="">
      <xdr:nvSpPr>
        <xdr:cNvPr id="2" name="Rectangle: Rounded Corners 1">
          <a:extLst>
            <a:ext uri="{FF2B5EF4-FFF2-40B4-BE49-F238E27FC236}">
              <a16:creationId xmlns:a16="http://schemas.microsoft.com/office/drawing/2014/main" id="{92FB1998-9807-45DA-B45D-A53981C08AB7}"/>
            </a:ext>
          </a:extLst>
        </xdr:cNvPr>
        <xdr:cNvSpPr/>
      </xdr:nvSpPr>
      <xdr:spPr>
        <a:xfrm>
          <a:off x="8519584" y="751417"/>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254001</xdr:colOff>
      <xdr:row>2</xdr:row>
      <xdr:rowOff>201084</xdr:rowOff>
    </xdr:from>
    <xdr:to>
      <xdr:col>18</xdr:col>
      <xdr:colOff>1174751</xdr:colOff>
      <xdr:row>3</xdr:row>
      <xdr:rowOff>137583</xdr:rowOff>
    </xdr:to>
    <xdr:sp macro="" textlink="">
      <xdr:nvSpPr>
        <xdr:cNvPr id="3" name="TextBox 2">
          <a:hlinkClick xmlns:r="http://schemas.openxmlformats.org/officeDocument/2006/relationships" r:id="rId1"/>
          <a:extLst>
            <a:ext uri="{FF2B5EF4-FFF2-40B4-BE49-F238E27FC236}">
              <a16:creationId xmlns:a16="http://schemas.microsoft.com/office/drawing/2014/main" id="{40B9C935-205E-42DA-A8F5-5CC3E1D42492}"/>
            </a:ext>
          </a:extLst>
        </xdr:cNvPr>
        <xdr:cNvSpPr txBox="1"/>
      </xdr:nvSpPr>
      <xdr:spPr>
        <a:xfrm>
          <a:off x="8625418" y="783167"/>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137583</xdr:colOff>
      <xdr:row>2</xdr:row>
      <xdr:rowOff>190501</xdr:rowOff>
    </xdr:from>
    <xdr:to>
      <xdr:col>17</xdr:col>
      <xdr:colOff>148166</xdr:colOff>
      <xdr:row>3</xdr:row>
      <xdr:rowOff>232833</xdr:rowOff>
    </xdr:to>
    <xdr:sp macro="" textlink="">
      <xdr:nvSpPr>
        <xdr:cNvPr id="2" name="Rectangle: Rounded Corners 1">
          <a:extLst>
            <a:ext uri="{FF2B5EF4-FFF2-40B4-BE49-F238E27FC236}">
              <a16:creationId xmlns:a16="http://schemas.microsoft.com/office/drawing/2014/main" id="{D82AD45F-533B-42E7-8C0A-3E91C00B1735}"/>
            </a:ext>
          </a:extLst>
        </xdr:cNvPr>
        <xdr:cNvSpPr/>
      </xdr:nvSpPr>
      <xdr:spPr>
        <a:xfrm>
          <a:off x="6233583" y="571501"/>
          <a:ext cx="4277783" cy="194732"/>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232833</xdr:colOff>
      <xdr:row>2</xdr:row>
      <xdr:rowOff>211667</xdr:rowOff>
    </xdr:from>
    <xdr:to>
      <xdr:col>17</xdr:col>
      <xdr:colOff>126999</xdr:colOff>
      <xdr:row>3</xdr:row>
      <xdr:rowOff>201083</xdr:rowOff>
    </xdr:to>
    <xdr:sp macro="" textlink="">
      <xdr:nvSpPr>
        <xdr:cNvPr id="3" name="TextBox 2">
          <a:hlinkClick xmlns:r="http://schemas.openxmlformats.org/officeDocument/2006/relationships" r:id="rId1"/>
          <a:extLst>
            <a:ext uri="{FF2B5EF4-FFF2-40B4-BE49-F238E27FC236}">
              <a16:creationId xmlns:a16="http://schemas.microsoft.com/office/drawing/2014/main" id="{9B3CB3CA-BE60-46FA-9F3B-87290EA14263}"/>
            </a:ext>
          </a:extLst>
        </xdr:cNvPr>
        <xdr:cNvSpPr txBox="1"/>
      </xdr:nvSpPr>
      <xdr:spPr>
        <a:xfrm>
          <a:off x="6328833" y="573617"/>
          <a:ext cx="4161366" cy="18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169333</xdr:colOff>
      <xdr:row>2</xdr:row>
      <xdr:rowOff>179917</xdr:rowOff>
    </xdr:from>
    <xdr:to>
      <xdr:col>11</xdr:col>
      <xdr:colOff>1058333</xdr:colOff>
      <xdr:row>3</xdr:row>
      <xdr:rowOff>190499</xdr:rowOff>
    </xdr:to>
    <xdr:sp macro="" textlink="">
      <xdr:nvSpPr>
        <xdr:cNvPr id="2" name="Rectangle: Rounded Corners 1">
          <a:extLst>
            <a:ext uri="{FF2B5EF4-FFF2-40B4-BE49-F238E27FC236}">
              <a16:creationId xmlns:a16="http://schemas.microsoft.com/office/drawing/2014/main" id="{EB0EA345-2288-433C-83F5-77B2BEB9714D}"/>
            </a:ext>
          </a:extLst>
        </xdr:cNvPr>
        <xdr:cNvSpPr/>
      </xdr:nvSpPr>
      <xdr:spPr>
        <a:xfrm>
          <a:off x="9800166" y="762000"/>
          <a:ext cx="1862667" cy="306916"/>
        </a:xfrm>
        <a:prstGeom prst="roundRect">
          <a:avLst/>
        </a:prstGeom>
        <a:solidFill>
          <a:srgbClr val="005CB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275167</xdr:colOff>
      <xdr:row>2</xdr:row>
      <xdr:rowOff>211667</xdr:rowOff>
    </xdr:from>
    <xdr:to>
      <xdr:col>11</xdr:col>
      <xdr:colOff>984250</xdr:colOff>
      <xdr:row>3</xdr:row>
      <xdr:rowOff>148166</xdr:rowOff>
    </xdr:to>
    <xdr:sp macro="" textlink="">
      <xdr:nvSpPr>
        <xdr:cNvPr id="3" name="TextBox 2">
          <a:hlinkClick xmlns:r="http://schemas.openxmlformats.org/officeDocument/2006/relationships" r:id="rId1"/>
          <a:extLst>
            <a:ext uri="{FF2B5EF4-FFF2-40B4-BE49-F238E27FC236}">
              <a16:creationId xmlns:a16="http://schemas.microsoft.com/office/drawing/2014/main" id="{F39DC28F-2045-4F75-B18F-7BF615ADE92C}"/>
            </a:ext>
          </a:extLst>
        </xdr:cNvPr>
        <xdr:cNvSpPr txBox="1"/>
      </xdr:nvSpPr>
      <xdr:spPr>
        <a:xfrm>
          <a:off x="9906000" y="793750"/>
          <a:ext cx="168275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Visit</a:t>
          </a:r>
          <a:r>
            <a:rPr lang="en-US" sz="1100" b="1" baseline="0">
              <a:solidFill>
                <a:schemeClr val="bg1"/>
              </a:solidFill>
            </a:rPr>
            <a:t> Energy Star Website</a:t>
          </a:r>
          <a:endParaRPr lang="en-US" sz="11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7.bin"/><Relationship Id="rId1" Type="http://schemas.openxmlformats.org/officeDocument/2006/relationships/hyperlink" Target="https://view.officeapps.live.com/op/view.aspx?src=https%3A%2F%2Fwww.puc.pa.gov%2Fpcdocs%2F1692532.docx&amp;wdOrigin=BROWSELINK" TargetMode="External"/><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hyperlink" Target="https://view.officeapps.live.com/op/view.aspx?src=https%3A%2F%2Fwww.puc.pa.gov%2Fpcdocs%2F1692532.docx&amp;wdOrigin=BROWSELINK" TargetMode="External"/><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9.bin"/><Relationship Id="rId1" Type="http://schemas.openxmlformats.org/officeDocument/2006/relationships/hyperlink" Target="https://view.officeapps.live.com/op/view.aspx?src=https%3A%2F%2Fwww.puc.pa.gov%2Fpcdocs%2F1692532.docx&amp;wdOrigin=BROWSELINK" TargetMode="Externa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7A32E-1876-4083-8F92-7097C8B53C02}">
  <dimension ref="A1:E22"/>
  <sheetViews>
    <sheetView workbookViewId="0">
      <selection activeCell="D25" sqref="D25"/>
    </sheetView>
  </sheetViews>
  <sheetFormatPr defaultRowHeight="15" x14ac:dyDescent="0.25"/>
  <cols>
    <col min="2" max="2" width="10.7109375" bestFit="1" customWidth="1"/>
    <col min="3" max="4" width="16.85546875" bestFit="1" customWidth="1"/>
    <col min="5" max="5" width="22.7109375" bestFit="1" customWidth="1"/>
  </cols>
  <sheetData>
    <row r="1" spans="1:5" ht="18.75" x14ac:dyDescent="0.3">
      <c r="A1" s="149" t="s">
        <v>0</v>
      </c>
    </row>
    <row r="5" spans="1:5" x14ac:dyDescent="0.25">
      <c r="A5" t="s">
        <v>1</v>
      </c>
      <c r="B5" t="s">
        <v>2</v>
      </c>
      <c r="C5" t="s">
        <v>3</v>
      </c>
      <c r="D5" t="s">
        <v>4</v>
      </c>
      <c r="E5" t="s">
        <v>5</v>
      </c>
    </row>
    <row r="6" spans="1:5" x14ac:dyDescent="0.25">
      <c r="A6" s="151" t="s">
        <v>6</v>
      </c>
      <c r="B6" s="150">
        <v>44027</v>
      </c>
      <c r="C6" t="s">
        <v>7</v>
      </c>
      <c r="D6" t="s">
        <v>7</v>
      </c>
      <c r="E6" t="s">
        <v>8</v>
      </c>
    </row>
    <row r="7" spans="1:5" x14ac:dyDescent="0.25">
      <c r="A7" s="419">
        <v>3.4</v>
      </c>
      <c r="B7" s="420">
        <v>44032</v>
      </c>
      <c r="C7" s="419" t="s">
        <v>9</v>
      </c>
      <c r="D7" s="419" t="s">
        <v>10</v>
      </c>
      <c r="E7" t="s">
        <v>11</v>
      </c>
    </row>
    <row r="8" spans="1:5" x14ac:dyDescent="0.25">
      <c r="A8" s="419"/>
      <c r="B8" s="420"/>
      <c r="C8" s="419"/>
      <c r="D8" s="419"/>
      <c r="E8" t="s">
        <v>12</v>
      </c>
    </row>
    <row r="9" spans="1:5" x14ac:dyDescent="0.25">
      <c r="A9" s="419"/>
      <c r="B9" s="420"/>
      <c r="C9" s="419"/>
      <c r="D9" s="419"/>
      <c r="E9" t="s">
        <v>13</v>
      </c>
    </row>
    <row r="10" spans="1:5" x14ac:dyDescent="0.25">
      <c r="A10" s="419"/>
      <c r="B10" s="420"/>
      <c r="C10" s="419"/>
      <c r="D10" s="419"/>
      <c r="E10" t="s">
        <v>14</v>
      </c>
    </row>
    <row r="11" spans="1:5" x14ac:dyDescent="0.25">
      <c r="A11" s="419"/>
      <c r="B11" s="420"/>
      <c r="C11" s="419"/>
      <c r="D11" s="419"/>
      <c r="E11" t="s">
        <v>15</v>
      </c>
    </row>
    <row r="12" spans="1:5" x14ac:dyDescent="0.25">
      <c r="A12" s="419"/>
      <c r="B12" s="420"/>
      <c r="C12" s="419"/>
      <c r="D12" s="419"/>
      <c r="E12" t="s">
        <v>16</v>
      </c>
    </row>
    <row r="13" spans="1:5" x14ac:dyDescent="0.25">
      <c r="A13" s="419"/>
      <c r="B13" s="420"/>
      <c r="C13" s="419"/>
      <c r="D13" s="419"/>
      <c r="E13" t="s">
        <v>17</v>
      </c>
    </row>
    <row r="14" spans="1:5" x14ac:dyDescent="0.25">
      <c r="A14">
        <v>3.5</v>
      </c>
      <c r="B14" s="150">
        <v>44126</v>
      </c>
      <c r="C14" t="s">
        <v>10</v>
      </c>
      <c r="D14" t="s">
        <v>10</v>
      </c>
      <c r="E14" t="s">
        <v>18</v>
      </c>
    </row>
    <row r="16" spans="1:5" x14ac:dyDescent="0.25">
      <c r="A16" s="421" t="s">
        <v>19</v>
      </c>
      <c r="B16" s="423">
        <v>44344</v>
      </c>
      <c r="C16" s="422" t="s">
        <v>20</v>
      </c>
      <c r="D16" s="422"/>
      <c r="E16" t="s">
        <v>21</v>
      </c>
    </row>
    <row r="17" spans="1:5" x14ac:dyDescent="0.25">
      <c r="A17" s="422"/>
      <c r="B17" s="423"/>
      <c r="C17" s="422"/>
      <c r="D17" s="422"/>
      <c r="E17" t="s">
        <v>22</v>
      </c>
    </row>
    <row r="18" spans="1:5" x14ac:dyDescent="0.25">
      <c r="A18" s="422"/>
      <c r="B18" s="423"/>
      <c r="C18" s="422"/>
      <c r="D18" s="422"/>
      <c r="E18" t="s">
        <v>23</v>
      </c>
    </row>
    <row r="19" spans="1:5" x14ac:dyDescent="0.25">
      <c r="A19">
        <v>5</v>
      </c>
      <c r="B19" s="150">
        <v>44712</v>
      </c>
      <c r="C19" t="s">
        <v>24</v>
      </c>
      <c r="D19" t="s">
        <v>20</v>
      </c>
      <c r="E19" t="s">
        <v>25</v>
      </c>
    </row>
    <row r="20" spans="1:5" x14ac:dyDescent="0.25">
      <c r="A20">
        <v>5.2</v>
      </c>
      <c r="B20" s="150">
        <v>45341</v>
      </c>
      <c r="C20" t="s">
        <v>659</v>
      </c>
      <c r="D20" t="s">
        <v>20</v>
      </c>
      <c r="E20" t="s">
        <v>660</v>
      </c>
    </row>
    <row r="21" spans="1:5" x14ac:dyDescent="0.25">
      <c r="A21">
        <v>5.3</v>
      </c>
      <c r="B21" s="150">
        <v>45848</v>
      </c>
      <c r="C21" t="s">
        <v>795</v>
      </c>
      <c r="E21" t="s">
        <v>796</v>
      </c>
    </row>
    <row r="22" spans="1:5" x14ac:dyDescent="0.25">
      <c r="A22">
        <v>5.4</v>
      </c>
      <c r="B22" s="150">
        <v>45895</v>
      </c>
      <c r="C22" t="s">
        <v>795</v>
      </c>
      <c r="E22" t="s">
        <v>798</v>
      </c>
    </row>
  </sheetData>
  <sheetProtection algorithmName="SHA-512" hashValue="JcO6jRkzWVcCLtzje2F2KU2C8pp1f8ca48jVyq9BV/MLuGtcv5/bSurZQkzkahULIsP+GhbjB+12GmiXBMZe1Q==" saltValue="363VPDCR+RHFG+swop/tIg==" spinCount="100000" sheet="1"/>
  <mergeCells count="8">
    <mergeCell ref="A7:A13"/>
    <mergeCell ref="B7:B13"/>
    <mergeCell ref="C7:C13"/>
    <mergeCell ref="D7:D13"/>
    <mergeCell ref="A16:A18"/>
    <mergeCell ref="B16:B18"/>
    <mergeCell ref="C16:C18"/>
    <mergeCell ref="D16:D18"/>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M27"/>
  <sheetViews>
    <sheetView tabSelected="1" zoomScaleNormal="100" workbookViewId="0">
      <selection activeCell="P18" sqref="P18"/>
    </sheetView>
  </sheetViews>
  <sheetFormatPr defaultRowHeight="15" x14ac:dyDescent="0.25"/>
  <cols>
    <col min="1" max="1" width="6.140625" customWidth="1"/>
    <col min="2" max="2" width="7.28515625" customWidth="1"/>
    <col min="3" max="3" width="5.7109375" customWidth="1"/>
    <col min="4" max="4" width="4.42578125" customWidth="1"/>
    <col min="8" max="8" width="5.85546875" customWidth="1"/>
    <col min="9" max="9" width="7.5703125" customWidth="1"/>
    <col min="10" max="12" width="7.42578125" customWidth="1"/>
    <col min="13" max="13" width="6.5703125" customWidth="1"/>
  </cols>
  <sheetData>
    <row r="1" spans="1:13" ht="28.5" customHeight="1" thickBot="1" x14ac:dyDescent="0.3">
      <c r="A1" s="25"/>
      <c r="B1" s="25"/>
      <c r="C1" s="25"/>
      <c r="D1" s="25"/>
      <c r="E1" s="25"/>
      <c r="F1" s="25"/>
      <c r="G1" s="25"/>
      <c r="H1" s="25"/>
      <c r="I1" s="25"/>
      <c r="J1" s="25"/>
      <c r="K1" s="25"/>
      <c r="L1" s="25"/>
      <c r="M1" s="25"/>
    </row>
    <row r="2" spans="1:13" ht="21" customHeight="1" x14ac:dyDescent="0.25">
      <c r="A2" s="25"/>
      <c r="B2" s="427"/>
      <c r="C2" s="428"/>
      <c r="D2" s="428"/>
      <c r="E2" s="433" t="s">
        <v>26</v>
      </c>
      <c r="F2" s="433"/>
      <c r="G2" s="434"/>
      <c r="H2" s="439" t="s">
        <v>27</v>
      </c>
      <c r="I2" s="439"/>
      <c r="J2" s="439"/>
      <c r="K2" s="440"/>
      <c r="L2" s="159">
        <v>5.4</v>
      </c>
      <c r="M2" s="25"/>
    </row>
    <row r="3" spans="1:13" ht="21" customHeight="1" x14ac:dyDescent="0.25">
      <c r="A3" s="25"/>
      <c r="B3" s="429"/>
      <c r="C3" s="430"/>
      <c r="D3" s="430"/>
      <c r="E3" s="435"/>
      <c r="F3" s="435"/>
      <c r="G3" s="436"/>
      <c r="H3" s="441" t="s">
        <v>28</v>
      </c>
      <c r="I3" s="441"/>
      <c r="J3" s="441"/>
      <c r="K3" s="441"/>
      <c r="L3" s="442"/>
      <c r="M3" s="25"/>
    </row>
    <row r="4" spans="1:13" ht="22.5" customHeight="1" thickBot="1" x14ac:dyDescent="0.3">
      <c r="A4" s="25"/>
      <c r="B4" s="431"/>
      <c r="C4" s="432"/>
      <c r="D4" s="432"/>
      <c r="E4" s="437"/>
      <c r="F4" s="437"/>
      <c r="G4" s="438"/>
      <c r="H4" s="443"/>
      <c r="I4" s="443"/>
      <c r="J4" s="443"/>
      <c r="K4" s="443"/>
      <c r="L4" s="444"/>
      <c r="M4" s="25"/>
    </row>
    <row r="5" spans="1:13" ht="15.75" thickBot="1" x14ac:dyDescent="0.3">
      <c r="A5" s="25"/>
      <c r="B5" s="25"/>
      <c r="C5" s="25"/>
      <c r="D5" s="25"/>
      <c r="E5" s="25"/>
      <c r="F5" s="25"/>
      <c r="G5" s="25"/>
      <c r="H5" s="25"/>
      <c r="I5" s="25"/>
      <c r="J5" s="25"/>
      <c r="K5" s="25"/>
      <c r="L5" s="25"/>
      <c r="M5" s="25"/>
    </row>
    <row r="6" spans="1:13" ht="7.5" customHeight="1" x14ac:dyDescent="0.25">
      <c r="A6" s="25"/>
      <c r="B6" s="445" t="s">
        <v>29</v>
      </c>
      <c r="C6" s="446"/>
      <c r="D6" s="446"/>
      <c r="E6" s="446"/>
      <c r="F6" s="446"/>
      <c r="G6" s="446"/>
      <c r="H6" s="446"/>
      <c r="I6" s="446"/>
      <c r="J6" s="446"/>
      <c r="K6" s="446"/>
      <c r="L6" s="447"/>
      <c r="M6" s="25"/>
    </row>
    <row r="7" spans="1:13" x14ac:dyDescent="0.25">
      <c r="A7" s="25"/>
      <c r="B7" s="448"/>
      <c r="C7" s="449"/>
      <c r="D7" s="449"/>
      <c r="E7" s="449"/>
      <c r="F7" s="449"/>
      <c r="G7" s="449"/>
      <c r="H7" s="449"/>
      <c r="I7" s="449"/>
      <c r="J7" s="449"/>
      <c r="K7" s="449"/>
      <c r="L7" s="450"/>
      <c r="M7" s="25"/>
    </row>
    <row r="8" spans="1:13" x14ac:dyDescent="0.25">
      <c r="A8" s="25"/>
      <c r="B8" s="448"/>
      <c r="C8" s="449"/>
      <c r="D8" s="449"/>
      <c r="E8" s="449"/>
      <c r="F8" s="449"/>
      <c r="G8" s="449"/>
      <c r="H8" s="449"/>
      <c r="I8" s="449"/>
      <c r="J8" s="449"/>
      <c r="K8" s="449"/>
      <c r="L8" s="450"/>
      <c r="M8" s="25"/>
    </row>
    <row r="9" spans="1:13" x14ac:dyDescent="0.25">
      <c r="A9" s="25"/>
      <c r="B9" s="448"/>
      <c r="C9" s="449"/>
      <c r="D9" s="449"/>
      <c r="E9" s="449"/>
      <c r="F9" s="449"/>
      <c r="G9" s="449"/>
      <c r="H9" s="449"/>
      <c r="I9" s="449"/>
      <c r="J9" s="449"/>
      <c r="K9" s="449"/>
      <c r="L9" s="450"/>
      <c r="M9" s="25"/>
    </row>
    <row r="10" spans="1:13" ht="15.75" customHeight="1" x14ac:dyDescent="0.25">
      <c r="A10" s="25"/>
      <c r="B10" s="448"/>
      <c r="C10" s="449"/>
      <c r="D10" s="449"/>
      <c r="E10" s="449"/>
      <c r="F10" s="449"/>
      <c r="G10" s="449"/>
      <c r="H10" s="449"/>
      <c r="I10" s="449"/>
      <c r="J10" s="449"/>
      <c r="K10" s="449"/>
      <c r="L10" s="450"/>
      <c r="M10" s="25"/>
    </row>
    <row r="11" spans="1:13" ht="20.25" customHeight="1" x14ac:dyDescent="0.25">
      <c r="A11" s="25"/>
      <c r="B11" s="448"/>
      <c r="C11" s="449"/>
      <c r="D11" s="449"/>
      <c r="E11" s="449"/>
      <c r="F11" s="449"/>
      <c r="G11" s="449"/>
      <c r="H11" s="449"/>
      <c r="I11" s="449"/>
      <c r="J11" s="449"/>
      <c r="K11" s="449"/>
      <c r="L11" s="450"/>
      <c r="M11" s="25"/>
    </row>
    <row r="12" spans="1:13" ht="18.75" customHeight="1" x14ac:dyDescent="0.25">
      <c r="A12" s="25"/>
      <c r="B12" s="448"/>
      <c r="C12" s="449"/>
      <c r="D12" s="449"/>
      <c r="E12" s="449"/>
      <c r="F12" s="449"/>
      <c r="G12" s="449"/>
      <c r="H12" s="449"/>
      <c r="I12" s="449"/>
      <c r="J12" s="449"/>
      <c r="K12" s="449"/>
      <c r="L12" s="450"/>
      <c r="M12" s="25"/>
    </row>
    <row r="13" spans="1:13" ht="20.25" customHeight="1" x14ac:dyDescent="0.25">
      <c r="A13" s="25"/>
      <c r="B13" s="448"/>
      <c r="C13" s="449"/>
      <c r="D13" s="449"/>
      <c r="E13" s="449"/>
      <c r="F13" s="449"/>
      <c r="G13" s="449"/>
      <c r="H13" s="449"/>
      <c r="I13" s="449"/>
      <c r="J13" s="449"/>
      <c r="K13" s="449"/>
      <c r="L13" s="450"/>
      <c r="M13" s="25"/>
    </row>
    <row r="14" spans="1:13" ht="20.25" customHeight="1" thickBot="1" x14ac:dyDescent="0.3">
      <c r="A14" s="25"/>
      <c r="B14" s="451"/>
      <c r="C14" s="452"/>
      <c r="D14" s="452"/>
      <c r="E14" s="452"/>
      <c r="F14" s="452"/>
      <c r="G14" s="452"/>
      <c r="H14" s="452"/>
      <c r="I14" s="452"/>
      <c r="J14" s="452"/>
      <c r="K14" s="452"/>
      <c r="L14" s="453"/>
      <c r="M14" s="25"/>
    </row>
    <row r="15" spans="1:13" ht="15.75" thickBot="1" x14ac:dyDescent="0.3">
      <c r="A15" s="25"/>
      <c r="B15" s="424" t="s">
        <v>30</v>
      </c>
      <c r="C15" s="425"/>
      <c r="D15" s="425"/>
      <c r="E15" s="425"/>
      <c r="F15" s="425"/>
      <c r="G15" s="425"/>
      <c r="H15" s="425"/>
      <c r="I15" s="425"/>
      <c r="J15" s="425"/>
      <c r="K15" s="425"/>
      <c r="L15" s="426"/>
      <c r="M15" s="25"/>
    </row>
    <row r="16" spans="1:13" ht="28.5" customHeight="1" x14ac:dyDescent="0.25">
      <c r="A16" s="25"/>
      <c r="B16" s="463" t="s">
        <v>31</v>
      </c>
      <c r="C16" s="464"/>
      <c r="D16" s="464"/>
      <c r="E16" s="465" t="s">
        <v>32</v>
      </c>
      <c r="F16" s="466"/>
      <c r="G16" s="466"/>
      <c r="H16" s="466"/>
      <c r="I16" s="466"/>
      <c r="J16" s="466"/>
      <c r="K16" s="466"/>
      <c r="L16" s="467"/>
      <c r="M16" s="25"/>
    </row>
    <row r="17" spans="1:13" ht="28.5" customHeight="1" x14ac:dyDescent="0.25">
      <c r="A17" s="25"/>
      <c r="B17" s="468" t="s">
        <v>33</v>
      </c>
      <c r="C17" s="469"/>
      <c r="D17" s="469"/>
      <c r="E17" s="470" t="s">
        <v>34</v>
      </c>
      <c r="F17" s="471"/>
      <c r="G17" s="471"/>
      <c r="H17" s="471"/>
      <c r="I17" s="471"/>
      <c r="J17" s="471"/>
      <c r="K17" s="471"/>
      <c r="L17" s="472"/>
      <c r="M17" s="25"/>
    </row>
    <row r="18" spans="1:13" ht="28.5" customHeight="1" x14ac:dyDescent="0.25">
      <c r="A18" s="25"/>
      <c r="B18" s="473" t="s">
        <v>35</v>
      </c>
      <c r="C18" s="474"/>
      <c r="D18" s="474"/>
      <c r="E18" s="470" t="s">
        <v>36</v>
      </c>
      <c r="F18" s="471"/>
      <c r="G18" s="471"/>
      <c r="H18" s="471"/>
      <c r="I18" s="471"/>
      <c r="J18" s="471"/>
      <c r="K18" s="471"/>
      <c r="L18" s="472"/>
      <c r="M18" s="25"/>
    </row>
    <row r="19" spans="1:13" ht="28.5" customHeight="1" thickBot="1" x14ac:dyDescent="0.3">
      <c r="A19" s="25"/>
      <c r="B19" s="454" t="s">
        <v>37</v>
      </c>
      <c r="C19" s="455"/>
      <c r="D19" s="456"/>
      <c r="E19" s="457" t="s">
        <v>38</v>
      </c>
      <c r="F19" s="458"/>
      <c r="G19" s="458"/>
      <c r="H19" s="458"/>
      <c r="I19" s="458"/>
      <c r="J19" s="458"/>
      <c r="K19" s="458"/>
      <c r="L19" s="459"/>
      <c r="M19" s="25"/>
    </row>
    <row r="20" spans="1:13" ht="15.75" thickBot="1" x14ac:dyDescent="0.3">
      <c r="A20" s="25"/>
      <c r="B20" s="424" t="s">
        <v>39</v>
      </c>
      <c r="C20" s="425"/>
      <c r="D20" s="425"/>
      <c r="E20" s="425"/>
      <c r="F20" s="425"/>
      <c r="G20" s="425"/>
      <c r="H20" s="425"/>
      <c r="I20" s="425"/>
      <c r="J20" s="425"/>
      <c r="K20" s="425"/>
      <c r="L20" s="426"/>
      <c r="M20" s="25"/>
    </row>
    <row r="21" spans="1:13" ht="124.5" customHeight="1" thickBot="1" x14ac:dyDescent="0.3">
      <c r="A21" s="25"/>
      <c r="B21" s="460" t="s">
        <v>40</v>
      </c>
      <c r="C21" s="461"/>
      <c r="D21" s="461"/>
      <c r="E21" s="461"/>
      <c r="F21" s="461"/>
      <c r="G21" s="461"/>
      <c r="H21" s="461"/>
      <c r="I21" s="461"/>
      <c r="J21" s="461"/>
      <c r="K21" s="461"/>
      <c r="L21" s="462"/>
      <c r="M21" s="25"/>
    </row>
    <row r="22" spans="1:13" ht="31.5" customHeight="1" x14ac:dyDescent="0.25">
      <c r="A22" s="25"/>
      <c r="B22" s="25"/>
      <c r="C22" s="25"/>
      <c r="D22" s="25"/>
      <c r="E22" s="25"/>
      <c r="F22" s="25"/>
      <c r="G22" s="25"/>
      <c r="H22" s="25"/>
      <c r="I22" s="25"/>
      <c r="J22" s="25"/>
      <c r="K22" s="25"/>
      <c r="L22" s="25"/>
      <c r="M22" s="25"/>
    </row>
    <row r="27" spans="1:13" x14ac:dyDescent="0.25">
      <c r="D27" s="26"/>
    </row>
  </sheetData>
  <sheetProtection algorithmName="SHA-512" hashValue="wDKlgPy2vsswfCkj8uWf89QCeUi62lpGS6KNxl1sqLewX+ZIbwlmcsM5PHbnig/1WCaT0U/GGysHCHT/0SdSnA==" saltValue="TYVegD/e/8jsvUs2tE0skQ==" spinCount="100000" sheet="1" selectLockedCells="1"/>
  <mergeCells count="16">
    <mergeCell ref="B19:D19"/>
    <mergeCell ref="E19:L19"/>
    <mergeCell ref="B20:L20"/>
    <mergeCell ref="B21:L21"/>
    <mergeCell ref="B16:D16"/>
    <mergeCell ref="E16:L16"/>
    <mergeCell ref="B17:D17"/>
    <mergeCell ref="E17:L17"/>
    <mergeCell ref="B18:D18"/>
    <mergeCell ref="E18:L18"/>
    <mergeCell ref="B15:L15"/>
    <mergeCell ref="B2:D4"/>
    <mergeCell ref="E2:G4"/>
    <mergeCell ref="H2:K2"/>
    <mergeCell ref="H3:L4"/>
    <mergeCell ref="B6:L14"/>
  </mergeCells>
  <pageMargins left="0.7" right="0.7" top="0.75" bottom="0.75" header="0.3" footer="0.3"/>
  <pageSetup scale="97"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A1:IL725"/>
  <sheetViews>
    <sheetView topLeftCell="A2" zoomScale="90" zoomScaleNormal="90" workbookViewId="0">
      <selection activeCell="B19" sqref="B19"/>
    </sheetView>
  </sheetViews>
  <sheetFormatPr defaultRowHeight="15" x14ac:dyDescent="0.25"/>
  <cols>
    <col min="1" max="1" width="4.28515625" customWidth="1"/>
    <col min="2" max="2" width="45.85546875" customWidth="1"/>
    <col min="3" max="3" width="9" customWidth="1"/>
    <col min="4" max="5" width="14" customWidth="1"/>
    <col min="6" max="6" width="21.85546875" bestFit="1" customWidth="1"/>
    <col min="7" max="7" width="4.28515625" customWidth="1"/>
    <col min="10" max="10" width="9.140625" customWidth="1"/>
    <col min="11" max="11" width="14.140625" hidden="1" customWidth="1"/>
    <col min="12" max="12" width="4.42578125" hidden="1" customWidth="1"/>
    <col min="13" max="13" width="9.7109375" hidden="1" customWidth="1"/>
  </cols>
  <sheetData>
    <row r="1" spans="1:246" ht="22.5" customHeight="1" thickBot="1" x14ac:dyDescent="0.3">
      <c r="A1" s="66"/>
      <c r="B1" s="67"/>
      <c r="C1" s="67"/>
      <c r="D1" s="67"/>
      <c r="E1" s="67"/>
      <c r="F1" s="67"/>
      <c r="G1" s="68"/>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row>
    <row r="2" spans="1:246" ht="45" customHeight="1" thickBot="1" x14ac:dyDescent="0.3">
      <c r="A2" s="69"/>
      <c r="B2" s="481" t="s">
        <v>41</v>
      </c>
      <c r="C2" s="482"/>
      <c r="D2" s="482"/>
      <c r="E2" s="482"/>
      <c r="F2" s="483"/>
      <c r="G2" s="70"/>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row>
    <row r="3" spans="1:246" ht="6.75" customHeight="1" thickBot="1" x14ac:dyDescent="0.3">
      <c r="A3" s="69"/>
      <c r="B3" s="311"/>
      <c r="C3" s="310"/>
      <c r="D3" s="310"/>
      <c r="E3" s="310"/>
      <c r="F3" s="310"/>
      <c r="G3" s="70"/>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row>
    <row r="4" spans="1:246" ht="12.75" customHeight="1" x14ac:dyDescent="0.25">
      <c r="A4" s="71"/>
      <c r="B4" s="475" t="s">
        <v>781</v>
      </c>
      <c r="C4" s="476"/>
      <c r="D4" s="476"/>
      <c r="E4" s="476"/>
      <c r="F4" s="477"/>
      <c r="G4" s="70"/>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row>
    <row r="5" spans="1:246" ht="12.75" customHeight="1" thickBot="1" x14ac:dyDescent="0.3">
      <c r="A5" s="71"/>
      <c r="B5" s="478"/>
      <c r="C5" s="479"/>
      <c r="D5" s="479"/>
      <c r="E5" s="479"/>
      <c r="F5" s="480"/>
      <c r="G5" s="70"/>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row>
    <row r="6" spans="1:246" ht="13.5" customHeight="1" thickBot="1" x14ac:dyDescent="0.3">
      <c r="A6" s="71"/>
      <c r="B6" s="309"/>
      <c r="C6" s="309"/>
      <c r="D6" s="309"/>
      <c r="E6" s="309"/>
      <c r="F6" s="309"/>
      <c r="G6" s="70"/>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row>
    <row r="7" spans="1:246" ht="16.5" customHeight="1" x14ac:dyDescent="0.25">
      <c r="A7" s="71"/>
      <c r="B7" s="127" t="s">
        <v>42</v>
      </c>
      <c r="C7" s="487"/>
      <c r="D7" s="488"/>
      <c r="E7" s="488"/>
      <c r="F7" s="489"/>
      <c r="G7" s="70"/>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row>
    <row r="8" spans="1:246" ht="16.5" customHeight="1" x14ac:dyDescent="0.25">
      <c r="A8" s="71"/>
      <c r="B8" s="128" t="s">
        <v>43</v>
      </c>
      <c r="C8" s="490"/>
      <c r="D8" s="491"/>
      <c r="E8" s="491"/>
      <c r="F8" s="492"/>
      <c r="G8" s="70"/>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row>
    <row r="9" spans="1:246" ht="16.5" customHeight="1" x14ac:dyDescent="0.25">
      <c r="A9" s="71"/>
      <c r="B9" s="128" t="s">
        <v>44</v>
      </c>
      <c r="C9" s="490"/>
      <c r="D9" s="491"/>
      <c r="E9" s="491"/>
      <c r="F9" s="492"/>
      <c r="G9" s="70"/>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row>
    <row r="10" spans="1:246" ht="16.5" customHeight="1" thickBot="1" x14ac:dyDescent="0.3">
      <c r="A10" s="71"/>
      <c r="B10" s="128" t="s">
        <v>45</v>
      </c>
      <c r="C10" s="490"/>
      <c r="D10" s="491"/>
      <c r="E10" s="491"/>
      <c r="F10" s="492"/>
      <c r="G10" s="70"/>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row>
    <row r="11" spans="1:246" ht="16.5" customHeight="1" x14ac:dyDescent="0.25">
      <c r="A11" s="71"/>
      <c r="B11" s="129" t="s">
        <v>46</v>
      </c>
      <c r="C11" s="493"/>
      <c r="D11" s="494"/>
      <c r="E11" s="494"/>
      <c r="F11" s="495"/>
      <c r="G11" s="70"/>
      <c r="H11" s="82"/>
      <c r="I11" s="82"/>
      <c r="J11" s="82"/>
      <c r="K11" s="400" t="s">
        <v>718</v>
      </c>
      <c r="L11" s="401">
        <v>0.5</v>
      </c>
      <c r="M11" s="576" t="s">
        <v>790</v>
      </c>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row>
    <row r="12" spans="1:246" ht="16.5" customHeight="1" thickBot="1" x14ac:dyDescent="0.3">
      <c r="A12" s="71"/>
      <c r="B12" s="130" t="s">
        <v>47</v>
      </c>
      <c r="C12" s="502"/>
      <c r="D12" s="503"/>
      <c r="E12" s="503"/>
      <c r="F12" s="504"/>
      <c r="G12" s="70"/>
      <c r="H12" s="82"/>
      <c r="I12" s="82"/>
      <c r="J12" s="82"/>
      <c r="K12" s="577" t="s">
        <v>791</v>
      </c>
      <c r="L12" s="578">
        <v>1</v>
      </c>
      <c r="M12" s="575">
        <f>VLOOKUP(F15,K11:L13,2,FALSE)</f>
        <v>0.5</v>
      </c>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row>
    <row r="13" spans="1:246" ht="13.5" customHeight="1" thickBot="1" x14ac:dyDescent="0.3">
      <c r="A13" s="71"/>
      <c r="B13" s="309"/>
      <c r="C13" s="309"/>
      <c r="D13" s="309"/>
      <c r="E13" s="309"/>
      <c r="F13" s="309"/>
      <c r="G13" s="70"/>
      <c r="H13" s="82"/>
      <c r="I13" s="82"/>
      <c r="J13" s="82"/>
      <c r="K13" s="402" t="s">
        <v>797</v>
      </c>
      <c r="L13" s="579">
        <v>1</v>
      </c>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row>
    <row r="14" spans="1:246" ht="16.5" customHeight="1" x14ac:dyDescent="0.25">
      <c r="A14" s="71"/>
      <c r="B14" s="57" t="s">
        <v>48</v>
      </c>
      <c r="C14" s="498">
        <f>SUM(E19:E39)</f>
        <v>0</v>
      </c>
      <c r="D14" s="499"/>
      <c r="E14" s="309"/>
      <c r="F14" s="404" t="s">
        <v>792</v>
      </c>
      <c r="G14" s="70"/>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row>
    <row r="15" spans="1:246" ht="16.5" customHeight="1" thickBot="1" x14ac:dyDescent="0.3">
      <c r="A15" s="71"/>
      <c r="B15" s="58" t="s">
        <v>49</v>
      </c>
      <c r="C15" s="496">
        <f>SUM(D19:D39)</f>
        <v>0</v>
      </c>
      <c r="D15" s="497"/>
      <c r="E15" s="309"/>
      <c r="F15" s="403" t="s">
        <v>718</v>
      </c>
      <c r="G15" s="70"/>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row>
    <row r="16" spans="1:246" ht="16.5" customHeight="1" thickBot="1" x14ac:dyDescent="0.3">
      <c r="A16" s="71"/>
      <c r="B16" s="59" t="s">
        <v>50</v>
      </c>
      <c r="C16" s="500">
        <f>SUM(F19:F39)</f>
        <v>0</v>
      </c>
      <c r="D16" s="501"/>
      <c r="E16" s="309"/>
      <c r="F16" s="309"/>
      <c r="G16" s="70"/>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row>
    <row r="17" spans="1:246" ht="13.5" customHeight="1" thickBot="1" x14ac:dyDescent="0.3">
      <c r="A17" s="71"/>
      <c r="B17" s="309"/>
      <c r="C17" s="309"/>
      <c r="D17" s="309"/>
      <c r="E17" s="309"/>
      <c r="F17" s="309"/>
      <c r="G17" s="70"/>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row>
    <row r="18" spans="1:246" ht="32.25" customHeight="1" thickBot="1" x14ac:dyDescent="0.3">
      <c r="A18" s="71"/>
      <c r="B18" s="155" t="s">
        <v>617</v>
      </c>
      <c r="C18" s="156" t="s">
        <v>51</v>
      </c>
      <c r="D18" s="157" t="s">
        <v>52</v>
      </c>
      <c r="E18" s="157" t="s">
        <v>53</v>
      </c>
      <c r="F18" s="158" t="s">
        <v>54</v>
      </c>
      <c r="G18" s="70"/>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row>
    <row r="19" spans="1:246" ht="18" customHeight="1" x14ac:dyDescent="0.25">
      <c r="A19" s="71"/>
      <c r="B19" s="79" t="s">
        <v>55</v>
      </c>
      <c r="C19" s="63">
        <f>'Commercial Refrigerators'!K16</f>
        <v>0</v>
      </c>
      <c r="D19" s="60">
        <f>'Commercial Refrigerators'!Q16</f>
        <v>0</v>
      </c>
      <c r="E19" s="61">
        <f>'Commercial Refrigerators'!R16</f>
        <v>0</v>
      </c>
      <c r="F19" s="62">
        <f>'Commercial Refrigerators'!S16</f>
        <v>0</v>
      </c>
      <c r="G19" s="70"/>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row>
    <row r="20" spans="1:246" ht="18" customHeight="1" x14ac:dyDescent="0.25">
      <c r="A20" s="71"/>
      <c r="B20" s="80" t="s">
        <v>56</v>
      </c>
      <c r="C20" s="64">
        <f>'Commercial Freezers'!K16</f>
        <v>0</v>
      </c>
      <c r="D20" s="22">
        <f>'Commercial Freezers'!Q16</f>
        <v>0</v>
      </c>
      <c r="E20" s="29">
        <f>'Commercial Freezers'!R16</f>
        <v>0</v>
      </c>
      <c r="F20" s="36">
        <f>'Commercial Freezers'!S16</f>
        <v>0</v>
      </c>
      <c r="G20" s="70"/>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row>
    <row r="21" spans="1:246" ht="18" customHeight="1" x14ac:dyDescent="0.25">
      <c r="A21" s="71"/>
      <c r="B21" s="80" t="s">
        <v>57</v>
      </c>
      <c r="C21" s="64">
        <f>SUM('Ice Machines'!M16)</f>
        <v>0</v>
      </c>
      <c r="D21" s="22">
        <f>'Ice Machines'!AM16</f>
        <v>0</v>
      </c>
      <c r="E21" s="29">
        <f>'Ice Machines'!AN16</f>
        <v>0</v>
      </c>
      <c r="F21" s="36">
        <f>'Ice Machines'!AO16</f>
        <v>0</v>
      </c>
      <c r="G21" s="70"/>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row>
    <row r="22" spans="1:246" ht="18" customHeight="1" x14ac:dyDescent="0.25">
      <c r="A22" s="71"/>
      <c r="B22" s="80" t="s">
        <v>62</v>
      </c>
      <c r="C22" s="64">
        <f>'Combination Ovens'!J16</f>
        <v>0</v>
      </c>
      <c r="D22" s="22">
        <f>'Combination Ovens'!AD16</f>
        <v>0</v>
      </c>
      <c r="E22" s="29">
        <f>'Combination Ovens'!AE16</f>
        <v>0</v>
      </c>
      <c r="F22" s="36">
        <f>'Combination Ovens'!AF16</f>
        <v>0</v>
      </c>
      <c r="G22" s="70"/>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row>
    <row r="23" spans="1:246" ht="18" customHeight="1" x14ac:dyDescent="0.25">
      <c r="A23" s="71"/>
      <c r="B23" s="80" t="s">
        <v>63</v>
      </c>
      <c r="C23" s="64">
        <f>'Convection Ovens'!J16</f>
        <v>0</v>
      </c>
      <c r="D23" s="22">
        <f>'Convection Ovens'!V16</f>
        <v>0</v>
      </c>
      <c r="E23" s="29">
        <f>'Convection Ovens'!W16</f>
        <v>0</v>
      </c>
      <c r="F23" s="36">
        <f>'Convection Ovens'!X16</f>
        <v>0</v>
      </c>
      <c r="G23" s="70"/>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row>
    <row r="24" spans="1:246" ht="18" customHeight="1" x14ac:dyDescent="0.25">
      <c r="A24" s="71"/>
      <c r="B24" s="80" t="s">
        <v>64</v>
      </c>
      <c r="C24" s="64">
        <f>'Steam Cookers'!J16</f>
        <v>0</v>
      </c>
      <c r="D24" s="22">
        <f>'Steam Cookers'!AA16</f>
        <v>0</v>
      </c>
      <c r="E24" s="29">
        <f>'Steam Cookers'!AF16</f>
        <v>0</v>
      </c>
      <c r="F24" s="36">
        <f>'Steam Cookers'!AG16</f>
        <v>0</v>
      </c>
      <c r="G24" s="70"/>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row>
    <row r="25" spans="1:246" ht="18" customHeight="1" x14ac:dyDescent="0.25">
      <c r="A25" s="71"/>
      <c r="B25" s="80" t="s">
        <v>65</v>
      </c>
      <c r="C25" s="65">
        <f>Fryers!R16</f>
        <v>0</v>
      </c>
      <c r="D25" s="22">
        <f>Fryers!X16</f>
        <v>0</v>
      </c>
      <c r="E25" s="29">
        <f>Fryers!Y16</f>
        <v>0</v>
      </c>
      <c r="F25" s="36">
        <f>Fryers!Z16</f>
        <v>0</v>
      </c>
      <c r="G25" s="70"/>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row>
    <row r="26" spans="1:246" ht="18" customHeight="1" x14ac:dyDescent="0.25">
      <c r="A26" s="71"/>
      <c r="B26" s="80" t="s">
        <v>66</v>
      </c>
      <c r="C26" s="65">
        <f>Griddles!S16</f>
        <v>0</v>
      </c>
      <c r="D26" s="22">
        <f>Griddles!Y16</f>
        <v>0</v>
      </c>
      <c r="E26" s="29">
        <f>Griddles!Z16</f>
        <v>0</v>
      </c>
      <c r="F26" s="36">
        <f>Griddles!AA16</f>
        <v>0</v>
      </c>
      <c r="G26" s="70"/>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row>
    <row r="27" spans="1:246" ht="18" customHeight="1" x14ac:dyDescent="0.25">
      <c r="A27" s="71"/>
      <c r="B27" s="308" t="s">
        <v>68</v>
      </c>
      <c r="C27" s="64">
        <f>'Hot Food Holding Cabinets'!J16</f>
        <v>0</v>
      </c>
      <c r="D27" s="22">
        <f>'Hot Food Holding Cabinets'!S16</f>
        <v>0</v>
      </c>
      <c r="E27" s="29">
        <f>'Hot Food Holding Cabinets'!T16</f>
        <v>0</v>
      </c>
      <c r="F27" s="36">
        <f>'Hot Food Holding Cabinets'!U16</f>
        <v>0</v>
      </c>
      <c r="G27" s="70"/>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row>
    <row r="28" spans="1:246" ht="18" customHeight="1" x14ac:dyDescent="0.25">
      <c r="A28" s="71"/>
      <c r="B28" s="308" t="s">
        <v>668</v>
      </c>
      <c r="C28" s="64">
        <f>'Commerical Dishwasher'!L16</f>
        <v>0</v>
      </c>
      <c r="D28" s="22">
        <f>'Commerical Dishwasher'!X16</f>
        <v>0</v>
      </c>
      <c r="E28" s="29">
        <f>'Commerical Dishwasher'!Y16</f>
        <v>0</v>
      </c>
      <c r="F28" s="36">
        <f>'Commerical Dishwasher'!Z16</f>
        <v>0</v>
      </c>
      <c r="G28" s="70"/>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row>
    <row r="29" spans="1:246" ht="18" customHeight="1" x14ac:dyDescent="0.25">
      <c r="A29" s="71"/>
      <c r="B29" s="307" t="s">
        <v>67</v>
      </c>
      <c r="C29" s="64">
        <f>'Pre Rinse Sprayers'!I17</f>
        <v>0</v>
      </c>
      <c r="D29" s="22">
        <f>'Pre Rinse Sprayers'!R17</f>
        <v>0</v>
      </c>
      <c r="E29" s="29">
        <f>'Pre Rinse Sprayers'!S17</f>
        <v>0</v>
      </c>
      <c r="F29" s="36">
        <f>'Pre Rinse Sprayers'!T17</f>
        <v>0</v>
      </c>
      <c r="G29" s="70"/>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row>
    <row r="30" spans="1:246" ht="18" customHeight="1" x14ac:dyDescent="0.25">
      <c r="A30" s="71"/>
      <c r="B30" s="80" t="s">
        <v>61</v>
      </c>
      <c r="C30" s="64">
        <f>'Vending Controls'!J16</f>
        <v>0</v>
      </c>
      <c r="D30" s="22">
        <f>'Vending Controls'!L16</f>
        <v>0</v>
      </c>
      <c r="E30" s="29">
        <f>'Vending Controls'!M16</f>
        <v>0</v>
      </c>
      <c r="F30" s="36">
        <f>'Vending Controls'!N16</f>
        <v>0</v>
      </c>
      <c r="G30" s="70"/>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row>
    <row r="31" spans="1:246" ht="18" customHeight="1" x14ac:dyDescent="0.25">
      <c r="A31" s="71"/>
      <c r="B31" s="80" t="s">
        <v>58</v>
      </c>
      <c r="C31" s="64">
        <f>'Night Covers'!I16</f>
        <v>0</v>
      </c>
      <c r="D31" s="22">
        <f>'Night Covers'!M16</f>
        <v>0</v>
      </c>
      <c r="E31" s="29">
        <f>'Night Covers'!N16</f>
        <v>0</v>
      </c>
      <c r="F31" s="36">
        <f>'Night Covers'!O16</f>
        <v>0</v>
      </c>
      <c r="G31" s="70"/>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row>
    <row r="32" spans="1:246" ht="18" customHeight="1" x14ac:dyDescent="0.25">
      <c r="A32" s="71"/>
      <c r="B32" s="80" t="s">
        <v>59</v>
      </c>
      <c r="C32" s="64">
        <f>'Strip Curtains'!I16</f>
        <v>0</v>
      </c>
      <c r="D32" s="22">
        <f>'Strip Curtains'!K16</f>
        <v>0</v>
      </c>
      <c r="E32" s="29">
        <f>'Strip Curtains'!L16</f>
        <v>0</v>
      </c>
      <c r="F32" s="36">
        <f>'Strip Curtains'!M16</f>
        <v>0</v>
      </c>
      <c r="G32" s="70"/>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row>
    <row r="33" spans="1:246" ht="18" customHeight="1" x14ac:dyDescent="0.25">
      <c r="A33" s="71"/>
      <c r="B33" s="80" t="s">
        <v>60</v>
      </c>
      <c r="C33" s="64">
        <f>'Anti-Sweat Heaters'!I16</f>
        <v>0</v>
      </c>
      <c r="D33" s="22">
        <f>'Anti-Sweat Heaters'!L16</f>
        <v>0</v>
      </c>
      <c r="E33" s="29">
        <f>'Anti-Sweat Heaters'!M16</f>
        <v>0</v>
      </c>
      <c r="F33" s="36">
        <f>'Anti-Sweat Heaters'!N16</f>
        <v>0</v>
      </c>
      <c r="G33" s="70"/>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row>
    <row r="34" spans="1:246" ht="18" customHeight="1" x14ac:dyDescent="0.25">
      <c r="A34" s="71"/>
      <c r="B34" s="80" t="s">
        <v>662</v>
      </c>
      <c r="C34" s="64">
        <f>'ECM Evap Fan Motor'!O16</f>
        <v>0</v>
      </c>
      <c r="D34" s="22">
        <f>'ECM Evap Fan Motor'!X16</f>
        <v>0</v>
      </c>
      <c r="E34" s="29">
        <f>'ECM Evap Fan Motor'!Y16</f>
        <v>0</v>
      </c>
      <c r="F34" s="36">
        <f>'ECM Evap Fan Motor'!Z16</f>
        <v>0</v>
      </c>
      <c r="G34" s="70"/>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row>
    <row r="35" spans="1:246" ht="18" customHeight="1" x14ac:dyDescent="0.25">
      <c r="A35" s="71"/>
      <c r="B35" s="80" t="s">
        <v>663</v>
      </c>
      <c r="C35" s="64">
        <f>'Evap Motor Control'!O16</f>
        <v>0</v>
      </c>
      <c r="D35" s="22">
        <f>'Evap Motor Control'!V16</f>
        <v>0</v>
      </c>
      <c r="E35" s="29">
        <f>'Evap Motor Control'!W16</f>
        <v>0</v>
      </c>
      <c r="F35" s="36">
        <f>'Evap Motor Control'!X16</f>
        <v>0</v>
      </c>
      <c r="G35" s="70"/>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row>
    <row r="36" spans="1:246" ht="18" customHeight="1" x14ac:dyDescent="0.25">
      <c r="A36" s="71"/>
      <c r="B36" s="206" t="s">
        <v>664</v>
      </c>
      <c r="C36" s="207">
        <f>'Adding Doors'!J16</f>
        <v>0</v>
      </c>
      <c r="D36" s="208">
        <f>'Adding Doors'!P16</f>
        <v>0</v>
      </c>
      <c r="E36" s="209">
        <f>'Adding Doors'!N16</f>
        <v>0</v>
      </c>
      <c r="F36" s="210">
        <f>'Adding Doors'!Q16</f>
        <v>0</v>
      </c>
      <c r="G36" s="70"/>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row>
    <row r="37" spans="1:246" ht="17.25" customHeight="1" x14ac:dyDescent="0.25">
      <c r="A37" s="71"/>
      <c r="B37" s="206" t="s">
        <v>665</v>
      </c>
      <c r="C37" s="207">
        <f>'Auto Door Closers'!K16</f>
        <v>0</v>
      </c>
      <c r="D37" s="208">
        <f>'Auto Door Closers'!N16</f>
        <v>0</v>
      </c>
      <c r="E37" s="209">
        <f>'Auto Door Closers'!L16</f>
        <v>0</v>
      </c>
      <c r="F37" s="210">
        <f>'Auto Door Closers'!O16</f>
        <v>0</v>
      </c>
      <c r="G37" s="70"/>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row>
    <row r="38" spans="1:246" ht="17.25" customHeight="1" x14ac:dyDescent="0.25">
      <c r="A38" s="71"/>
      <c r="B38" s="206" t="s">
        <v>661</v>
      </c>
      <c r="C38" s="207">
        <f>'Door Gaskets'!K16</f>
        <v>0</v>
      </c>
      <c r="D38" s="208">
        <f>'Door Gaskets'!N16</f>
        <v>0</v>
      </c>
      <c r="E38" s="209">
        <f>'Door Gaskets'!L16</f>
        <v>0</v>
      </c>
      <c r="F38" s="210">
        <f>'Door Gaskets'!O16</f>
        <v>0</v>
      </c>
      <c r="G38" s="70"/>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row>
    <row r="39" spans="1:246" ht="17.25" customHeight="1" thickBot="1" x14ac:dyDescent="0.3">
      <c r="A39" s="71"/>
      <c r="B39" s="81" t="s">
        <v>666</v>
      </c>
      <c r="C39" s="312">
        <f>'Evap Defrost Control'!I16</f>
        <v>0</v>
      </c>
      <c r="D39" s="31">
        <f>'Evap Defrost Control'!L16</f>
        <v>0</v>
      </c>
      <c r="E39" s="32">
        <f>'Evap Defrost Control'!M16</f>
        <v>0</v>
      </c>
      <c r="F39" s="37">
        <f>'Evap Defrost Control'!N16</f>
        <v>0</v>
      </c>
      <c r="G39" s="70"/>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row>
    <row r="40" spans="1:246" ht="28.5" customHeight="1" thickBot="1" x14ac:dyDescent="0.3">
      <c r="A40" s="71"/>
      <c r="B40" s="309"/>
      <c r="C40" s="309"/>
      <c r="D40" s="309"/>
      <c r="E40" s="309"/>
      <c r="F40" s="309"/>
      <c r="G40" s="70"/>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row>
    <row r="41" spans="1:246" ht="22.5" customHeight="1" thickBot="1" x14ac:dyDescent="0.3">
      <c r="A41" s="71"/>
      <c r="B41" s="484" t="s">
        <v>69</v>
      </c>
      <c r="C41" s="485"/>
      <c r="D41" s="485"/>
      <c r="E41" s="485"/>
      <c r="F41" s="486"/>
      <c r="G41" s="70"/>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row>
    <row r="42" spans="1:246" s="82" customFormat="1" ht="15.75" thickBot="1" x14ac:dyDescent="0.3">
      <c r="A42" s="72"/>
      <c r="B42" s="73"/>
      <c r="C42" s="73"/>
      <c r="D42" s="73"/>
      <c r="E42" s="73"/>
      <c r="F42" s="73"/>
      <c r="G42" s="74"/>
    </row>
    <row r="43" spans="1:246" s="82" customFormat="1" x14ac:dyDescent="0.25"/>
    <row r="44" spans="1:246" s="82" customFormat="1" x14ac:dyDescent="0.25"/>
    <row r="45" spans="1:246" s="82" customFormat="1" x14ac:dyDescent="0.25"/>
    <row r="46" spans="1:246" s="82" customFormat="1" x14ac:dyDescent="0.25"/>
    <row r="47" spans="1:246" s="82" customFormat="1" x14ac:dyDescent="0.25"/>
    <row r="48" spans="1:246"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pans="2:6" s="82" customFormat="1" x14ac:dyDescent="0.25"/>
    <row r="722" spans="2:6" s="82" customFormat="1" x14ac:dyDescent="0.25"/>
    <row r="723" spans="2:6" s="82" customFormat="1" x14ac:dyDescent="0.25"/>
    <row r="724" spans="2:6" s="82" customFormat="1" x14ac:dyDescent="0.25"/>
    <row r="725" spans="2:6" x14ac:dyDescent="0.25">
      <c r="B725" s="82"/>
      <c r="C725" s="82"/>
      <c r="D725" s="82"/>
      <c r="E725" s="82"/>
      <c r="F725" s="82"/>
    </row>
  </sheetData>
  <sheetProtection algorithmName="SHA-512" hashValue="hNgm59vb7b50t+SmlqRQVaqetBLMVUCwROqObCEe9rH6PahoUhhMribuJTW1a7ow9lVS27GzrYhf3Q9hWY6PYw==" saltValue="EVWt9BwcZWU9vHmwusBMvg==" spinCount="100000" sheet="1" selectLockedCells="1"/>
  <mergeCells count="12">
    <mergeCell ref="B4:F5"/>
    <mergeCell ref="B2:F2"/>
    <mergeCell ref="B41:F41"/>
    <mergeCell ref="C7:F7"/>
    <mergeCell ref="C8:F8"/>
    <mergeCell ref="C9:F9"/>
    <mergeCell ref="C10:F10"/>
    <mergeCell ref="C11:F11"/>
    <mergeCell ref="C15:D15"/>
    <mergeCell ref="C14:D14"/>
    <mergeCell ref="C16:D16"/>
    <mergeCell ref="C12:F12"/>
  </mergeCells>
  <conditionalFormatting sqref="F15">
    <cfRule type="cellIs" dxfId="0" priority="2" operator="equal">
      <formula>"Met-Ed LCI/SCI"</formula>
    </cfRule>
    <cfRule type="cellIs" dxfId="1" priority="1" operator="equal">
      <formula>"Penelec - LCI"</formula>
    </cfRule>
  </conditionalFormatting>
  <dataValidations count="1">
    <dataValidation type="list" allowBlank="1" showInputMessage="1" showErrorMessage="1" sqref="F15" xr:uid="{CDC8BC79-5BDD-419B-8692-058A82EC318D}">
      <formula1>$K$11:$K$13</formula1>
    </dataValidation>
  </dataValidations>
  <hyperlinks>
    <hyperlink ref="B19" location="'Commercial Refrigerators'!A1" display="Commercial Reach-in Refrigerators" xr:uid="{00000000-0004-0000-0100-000000000000}"/>
    <hyperlink ref="B20" location="'Commercial Freezers'!A1" display="Commercial Reach-in Freezers" xr:uid="{00000000-0004-0000-0100-000001000000}"/>
    <hyperlink ref="B21" location="'Ice Machines'!A1" display="Ice Machines" xr:uid="{00000000-0004-0000-0100-000002000000}"/>
    <hyperlink ref="B33" location="'Anti-Sweat Heaters'!A1" display="Anti-Sweat Heater Controls" xr:uid="{00000000-0004-0000-0100-000005000000}"/>
    <hyperlink ref="B32" location="'Strip Curtains'!A1" display="Strip Curtains for Walk-in Freezers &amp; Coolers" xr:uid="{00000000-0004-0000-0100-000004000000}"/>
    <hyperlink ref="B31" location="'Night Covers'!A1" display="Refrigerated Case Night Covers" xr:uid="{00000000-0004-0000-0100-000003000000}"/>
    <hyperlink ref="B22" location="'Combination Ovens'!A1" display="Combination Ovens" xr:uid="{B0CC1442-A729-4BE9-9849-922BE23B2E7A}"/>
    <hyperlink ref="B23" location="'Convection Ovens'!A1" display="Convection Ovens" xr:uid="{FEECFBB8-C51B-4FDF-BA5D-D0A6C258EDAD}"/>
    <hyperlink ref="B24" location="'Steam Cookers'!A1" display="Steam Cookers" xr:uid="{872E6BDD-906E-4A1B-AAD5-13242B035548}"/>
    <hyperlink ref="B25" location="Fryers!A1" display="Fryers" xr:uid="{42B34F15-D5DB-44D4-A485-6A0389608CB3}"/>
    <hyperlink ref="B26" location="Griddles!A1" display="Griddles" xr:uid="{DCDBA35F-D364-4873-BB3B-9EC0C493DC24}"/>
    <hyperlink ref="B27" location="'Hot Food Holding Cabinets'!A1" display="Hot Food Holding Cabinet" xr:uid="{95AB9473-0672-46B4-B6CD-CB40A9DF0F6D}"/>
    <hyperlink ref="B30" location="'Vending Controls'!A1" display="Vending Machine Controls" xr:uid="{F55D7B6C-7D55-4AE0-A45E-4F871833AA9D}"/>
    <hyperlink ref="B28" location="'Hot Food Holding Cabinets'!A1" display="Hot Food Holding Cabinet" xr:uid="{F074E485-F49C-4DFB-AB0B-CCF7CC9524C2}"/>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F736"/>
  <sheetViews>
    <sheetView topLeftCell="A2" zoomScale="90" zoomScaleNormal="90" workbookViewId="0">
      <selection activeCell="B3" sqref="B3:C3"/>
    </sheetView>
  </sheetViews>
  <sheetFormatPr defaultRowHeight="15" x14ac:dyDescent="0.25"/>
  <cols>
    <col min="1" max="1" width="3.7109375" customWidth="1"/>
    <col min="2" max="2" width="5" customWidth="1"/>
    <col min="3" max="3" width="23.85546875" customWidth="1"/>
    <col min="4" max="4" width="18.85546875" customWidth="1"/>
    <col min="5" max="5" width="18.85546875" hidden="1" customWidth="1"/>
    <col min="6" max="6" width="20.28515625" customWidth="1"/>
    <col min="7" max="7" width="20.85546875" customWidth="1"/>
    <col min="8" max="8" width="22.85546875" customWidth="1"/>
    <col min="9" max="9" width="13" customWidth="1"/>
    <col min="10" max="10" width="19.5703125" customWidth="1"/>
    <col min="11" max="11" width="10.85546875" customWidth="1"/>
    <col min="12" max="12" width="11.28515625" hidden="1" customWidth="1"/>
    <col min="13" max="14" width="13.7109375" hidden="1" customWidth="1"/>
    <col min="15" max="15" width="9" hidden="1" customWidth="1"/>
    <col min="16" max="16" width="17" hidden="1" customWidth="1"/>
    <col min="17" max="19" width="16" customWidth="1"/>
    <col min="20" max="20" width="15.5703125" hidden="1" customWidth="1"/>
    <col min="21" max="21" width="31.85546875" hidden="1" customWidth="1"/>
    <col min="22" max="22" width="17.28515625" hidden="1" customWidth="1"/>
    <col min="23" max="32" width="9.140625" hidden="1" customWidth="1"/>
    <col min="33" max="33" width="6.5703125" style="82" customWidth="1"/>
    <col min="34" max="34" width="9.140625" style="82" customWidth="1"/>
    <col min="35" max="162" width="9.140625" style="82"/>
  </cols>
  <sheetData>
    <row r="1" spans="1:33" ht="19.5" customHeight="1" x14ac:dyDescent="0.25">
      <c r="A1" s="38"/>
      <c r="B1" s="38"/>
      <c r="C1" s="38"/>
      <c r="D1" s="38"/>
      <c r="E1" s="38"/>
      <c r="F1" s="38"/>
      <c r="G1" s="38"/>
      <c r="H1" s="38"/>
      <c r="I1" s="38"/>
      <c r="J1" s="38"/>
      <c r="K1" s="38"/>
      <c r="L1" s="27"/>
      <c r="M1" s="27"/>
      <c r="N1" s="27"/>
      <c r="O1" s="27"/>
      <c r="P1" s="27"/>
      <c r="Q1" s="38"/>
      <c r="R1" s="38"/>
      <c r="S1" s="38"/>
      <c r="T1" s="27" t="s">
        <v>76</v>
      </c>
      <c r="U1" s="27" t="s">
        <v>77</v>
      </c>
      <c r="V1" s="27"/>
      <c r="W1" s="27"/>
      <c r="X1" s="27"/>
      <c r="Y1" s="27"/>
      <c r="Z1" s="27"/>
      <c r="AA1" s="27"/>
      <c r="AB1" s="27"/>
      <c r="AC1" s="27"/>
      <c r="AD1" s="27"/>
      <c r="AG1" s="83"/>
    </row>
    <row r="2" spans="1:33" ht="27" customHeight="1" x14ac:dyDescent="0.25">
      <c r="A2" s="38"/>
      <c r="B2" s="510" t="s">
        <v>78</v>
      </c>
      <c r="C2" s="511"/>
      <c r="D2" s="511"/>
      <c r="E2" s="511"/>
      <c r="F2" s="511"/>
      <c r="G2" s="511"/>
      <c r="H2" s="511"/>
      <c r="I2" s="511"/>
      <c r="J2" s="511"/>
      <c r="K2" s="511"/>
      <c r="L2" s="511"/>
      <c r="M2" s="511"/>
      <c r="N2" s="511"/>
      <c r="O2" s="511"/>
      <c r="P2" s="511"/>
      <c r="Q2" s="511"/>
      <c r="R2" s="511"/>
      <c r="S2" s="512"/>
      <c r="T2" s="27"/>
      <c r="U2" s="27"/>
      <c r="V2" s="27"/>
      <c r="W2" s="27"/>
      <c r="X2" s="27"/>
      <c r="Y2" s="27"/>
      <c r="Z2" s="27"/>
      <c r="AA2" s="27"/>
      <c r="AB2" s="27"/>
      <c r="AC2" s="27"/>
      <c r="AD2" s="27"/>
      <c r="AG2" s="83"/>
    </row>
    <row r="3" spans="1:33" ht="23.25" customHeight="1" x14ac:dyDescent="0.25">
      <c r="A3" s="38"/>
      <c r="B3" s="505" t="s">
        <v>79</v>
      </c>
      <c r="C3" s="506"/>
      <c r="D3" s="513" t="s">
        <v>80</v>
      </c>
      <c r="E3" s="513"/>
      <c r="F3" s="513"/>
      <c r="G3" s="513"/>
      <c r="H3" s="513"/>
      <c r="I3" s="513"/>
      <c r="J3" s="513"/>
      <c r="K3" s="38"/>
      <c r="L3" s="27"/>
      <c r="M3" s="27"/>
      <c r="N3" s="27"/>
      <c r="O3" s="27"/>
      <c r="P3" s="27"/>
      <c r="Q3" s="38"/>
      <c r="R3" s="38"/>
      <c r="S3" s="38"/>
      <c r="T3" s="27"/>
      <c r="U3" s="27"/>
      <c r="V3" s="27"/>
      <c r="W3" s="27"/>
      <c r="X3" s="27"/>
      <c r="Y3" s="27"/>
      <c r="Z3" s="27"/>
      <c r="AA3" s="27"/>
      <c r="AB3" s="27"/>
      <c r="AC3" s="27"/>
      <c r="AD3" s="27"/>
      <c r="AG3" s="83"/>
    </row>
    <row r="4" spans="1:33" ht="39.75" customHeight="1" x14ac:dyDescent="0.25">
      <c r="A4" s="38"/>
      <c r="B4" s="38"/>
      <c r="C4" s="38"/>
      <c r="D4" s="513"/>
      <c r="E4" s="513"/>
      <c r="F4" s="513"/>
      <c r="G4" s="513"/>
      <c r="H4" s="513"/>
      <c r="I4" s="513"/>
      <c r="J4" s="513"/>
      <c r="K4" s="38"/>
      <c r="L4" s="27"/>
      <c r="M4" s="27"/>
      <c r="N4" s="27"/>
      <c r="O4" s="27"/>
      <c r="P4" s="27"/>
      <c r="Q4" s="38"/>
      <c r="R4" s="38"/>
      <c r="S4" s="38"/>
      <c r="T4" s="27"/>
      <c r="U4" s="27"/>
      <c r="V4" s="27"/>
      <c r="W4" s="27"/>
      <c r="X4" s="27"/>
      <c r="Y4" s="27"/>
      <c r="Z4" s="27"/>
      <c r="AA4" s="27"/>
      <c r="AB4" s="27"/>
      <c r="AC4" s="27"/>
      <c r="AD4" s="27"/>
      <c r="AG4" s="83"/>
    </row>
    <row r="5" spans="1:33" ht="12.75" customHeight="1" x14ac:dyDescent="0.25">
      <c r="A5" s="38"/>
      <c r="B5" s="38"/>
      <c r="C5" s="38"/>
      <c r="D5" s="38"/>
      <c r="E5" s="27"/>
      <c r="F5" s="38"/>
      <c r="G5" s="38"/>
      <c r="H5" s="38"/>
      <c r="I5" s="38"/>
      <c r="J5" s="38"/>
      <c r="K5" s="38"/>
      <c r="L5" s="27"/>
      <c r="M5" s="27"/>
      <c r="N5" s="27"/>
      <c r="O5" s="27"/>
      <c r="P5" s="27"/>
      <c r="Q5" s="38"/>
      <c r="R5" s="38"/>
      <c r="S5" s="38"/>
      <c r="T5" s="27"/>
      <c r="U5" s="27"/>
      <c r="V5" s="27"/>
      <c r="W5" s="27"/>
      <c r="X5" s="27"/>
      <c r="Y5" s="27"/>
      <c r="Z5" s="27"/>
      <c r="AA5" s="27"/>
      <c r="AB5" s="27"/>
      <c r="AC5" s="27"/>
      <c r="AD5" s="27"/>
      <c r="AG5" s="83"/>
    </row>
    <row r="6" spans="1:33" ht="38.25" customHeight="1" x14ac:dyDescent="0.25">
      <c r="A6" s="38"/>
      <c r="B6" s="153" t="s">
        <v>81</v>
      </c>
      <c r="C6" s="153" t="s">
        <v>82</v>
      </c>
      <c r="D6" s="153" t="s">
        <v>83</v>
      </c>
      <c r="E6" s="153" t="s">
        <v>84</v>
      </c>
      <c r="F6" s="153" t="s">
        <v>85</v>
      </c>
      <c r="G6" s="153" t="s">
        <v>86</v>
      </c>
      <c r="H6" s="153" t="s">
        <v>87</v>
      </c>
      <c r="I6" s="153" t="s">
        <v>88</v>
      </c>
      <c r="J6" s="153" t="s">
        <v>89</v>
      </c>
      <c r="K6" s="153" t="s">
        <v>51</v>
      </c>
      <c r="L6" s="153" t="s">
        <v>90</v>
      </c>
      <c r="M6" s="153" t="s">
        <v>91</v>
      </c>
      <c r="N6" s="153" t="s">
        <v>92</v>
      </c>
      <c r="O6" s="152" t="s">
        <v>93</v>
      </c>
      <c r="P6" s="153" t="s">
        <v>94</v>
      </c>
      <c r="Q6" s="153" t="s">
        <v>95</v>
      </c>
      <c r="R6" s="153" t="s">
        <v>96</v>
      </c>
      <c r="S6" s="153" t="s">
        <v>70</v>
      </c>
      <c r="T6" s="154" t="s">
        <v>97</v>
      </c>
      <c r="U6" s="154" t="s">
        <v>98</v>
      </c>
      <c r="V6" s="154" t="s">
        <v>99</v>
      </c>
      <c r="AG6" s="83"/>
    </row>
    <row r="7" spans="1:33" ht="17.25" hidden="1" customHeight="1" x14ac:dyDescent="0.25">
      <c r="A7" s="38"/>
      <c r="B7" s="245" t="s">
        <v>100</v>
      </c>
      <c r="C7" s="245"/>
      <c r="D7" s="245" t="s">
        <v>101</v>
      </c>
      <c r="E7" s="245" t="s">
        <v>102</v>
      </c>
      <c r="F7" s="245" t="s">
        <v>103</v>
      </c>
      <c r="G7" s="245" t="s">
        <v>104</v>
      </c>
      <c r="H7" s="245" t="s">
        <v>105</v>
      </c>
      <c r="I7" s="245" t="s">
        <v>106</v>
      </c>
      <c r="J7" s="245" t="s">
        <v>107</v>
      </c>
      <c r="K7" s="245" t="s">
        <v>51</v>
      </c>
      <c r="L7" s="245"/>
      <c r="M7" s="245"/>
      <c r="N7" s="245"/>
      <c r="O7" s="246"/>
      <c r="P7" s="246" t="s">
        <v>108</v>
      </c>
      <c r="Q7" s="245" t="s">
        <v>109</v>
      </c>
      <c r="R7" s="245" t="s">
        <v>110</v>
      </c>
      <c r="S7" s="245" t="s">
        <v>111</v>
      </c>
      <c r="T7" s="245" t="s">
        <v>112</v>
      </c>
      <c r="U7" s="245" t="s">
        <v>113</v>
      </c>
      <c r="V7" s="250" t="s">
        <v>114</v>
      </c>
      <c r="AG7" s="83"/>
    </row>
    <row r="8" spans="1:33" ht="19.5" customHeight="1" x14ac:dyDescent="0.25">
      <c r="A8" s="38"/>
      <c r="B8" s="220">
        <v>1</v>
      </c>
      <c r="C8" s="9" t="s">
        <v>115</v>
      </c>
      <c r="D8" s="11"/>
      <c r="E8" s="11" t="str">
        <f t="shared" ref="E8:E15" si="0">IF(D8=$C$21,$D$21,IF(D8=$C$22,$D$22,""))</f>
        <v/>
      </c>
      <c r="F8" s="11"/>
      <c r="G8" s="12"/>
      <c r="H8" s="12"/>
      <c r="I8" s="11"/>
      <c r="J8" s="11"/>
      <c r="K8" s="12"/>
      <c r="L8" s="15" t="str">
        <f t="shared" ref="L8:L15" si="1">IF(J8="","",IF(J8&lt;15,$T$21,IF(J8&gt;=50,$T$24,IF(AND(J8&lt;30,J8&gt;=15),$T$22,IF(AND(J8&lt;50,J8&gt;=30),$T$23,"")))))</f>
        <v/>
      </c>
      <c r="M8" s="10" t="str">
        <f t="array" ref="M8">IFERROR(IF($C$34="PY9-PY12", INDEX($H$32:$R$39,MATCH(1,($H$32:$H$39=I8)*($I$32:$I$39=L8),0),4), INDEX($H$43:$R$50,MATCH(1,($H$43:$H$50=I8)*($I$43:$I$50=L8),0),4)),"")</f>
        <v/>
      </c>
      <c r="N8" s="10" t="str">
        <f t="array" ref="N8">IFERROR(IF($C$34="PY9-PY12", INDEX($S$32:$AC$39,MATCH(1,($S$32:$S$39=I8)*($T$32:$T$39=L8),0),4), INDEX($S$43:$AC$50,MATCH(1,($S$43:$S$50=I8)*($T$43:$T$50=L8),0),4)),"")</f>
        <v/>
      </c>
      <c r="O8" s="21">
        <v>1</v>
      </c>
      <c r="P8" s="21" t="str">
        <f t="shared" ref="P8:P15" si="2">IFERROR(ROUND((((M8-N8))/24)*K8,6), "")</f>
        <v/>
      </c>
      <c r="Q8" s="16" t="str">
        <f t="shared" ref="Q8:Q15" si="3">IFERROR(ROUND((((M8-N8)*O8)/24)*K8,6), "")</f>
        <v/>
      </c>
      <c r="R8" s="17" t="str">
        <f t="shared" ref="R8:R15" si="4">IF(K8="", "", IFERROR(ROUND(((M8-N8)*365)*K8,4), ""))</f>
        <v/>
      </c>
      <c r="S8" s="39" t="str">
        <f t="shared" ref="S8:S15" si="5">IF(OR(D8="", K8=""),"", K8*$C$28)</f>
        <v/>
      </c>
      <c r="T8" s="10">
        <f t="shared" ref="T8:T15" si="6">F8</f>
        <v>0</v>
      </c>
      <c r="U8" s="10" t="s">
        <v>116</v>
      </c>
      <c r="V8" t="str">
        <f t="shared" ref="V8:V15" si="7">IF(R8&gt;0,"Yes","No")</f>
        <v>Yes</v>
      </c>
      <c r="AG8" s="83"/>
    </row>
    <row r="9" spans="1:33" ht="19.5" customHeight="1" x14ac:dyDescent="0.25">
      <c r="A9" s="38"/>
      <c r="B9" s="220">
        <v>2</v>
      </c>
      <c r="C9" s="9" t="s">
        <v>115</v>
      </c>
      <c r="D9" s="11"/>
      <c r="E9" s="11" t="str">
        <f t="shared" si="0"/>
        <v/>
      </c>
      <c r="F9" s="11"/>
      <c r="G9" s="12"/>
      <c r="H9" s="12"/>
      <c r="I9" s="11"/>
      <c r="J9" s="11"/>
      <c r="K9" s="12"/>
      <c r="L9" s="15" t="str">
        <f t="shared" si="1"/>
        <v/>
      </c>
      <c r="M9" s="10" t="str">
        <f t="array" ref="M9">IFERROR(IF($C$34="PY9-PY12", INDEX($H$32:$R$39,MATCH(1,($H$32:$H$39=I9)*($I$32:$I$39=L9),0),5), INDEX($H$43:$R$50,MATCH(1,($H$43:$H$50=I9)*($I$43:$I$50=L9),0),5)),"")</f>
        <v/>
      </c>
      <c r="N9" s="10" t="str">
        <f t="array" ref="N9">IFERROR(IF($C$34="PY9-PY12", INDEX($S$32:$AC$39,MATCH(1,($S$32:$S$39=I9)*($T$32:$T$39=L9),0),5), INDEX($S$43:$AC$50,MATCH(1,($S$43:$S$50=I9)*($T$43:$T$50=L9),0),5)),"")</f>
        <v/>
      </c>
      <c r="O9" s="21">
        <v>1</v>
      </c>
      <c r="P9" s="21" t="str">
        <f t="shared" si="2"/>
        <v/>
      </c>
      <c r="Q9" s="16" t="str">
        <f t="shared" si="3"/>
        <v/>
      </c>
      <c r="R9" s="17" t="str">
        <f t="shared" si="4"/>
        <v/>
      </c>
      <c r="S9" s="39" t="str">
        <f t="shared" si="5"/>
        <v/>
      </c>
      <c r="T9" s="10">
        <f t="shared" si="6"/>
        <v>0</v>
      </c>
      <c r="U9" s="10" t="s">
        <v>116</v>
      </c>
      <c r="V9" t="str">
        <f t="shared" si="7"/>
        <v>Yes</v>
      </c>
      <c r="AG9" s="83"/>
    </row>
    <row r="10" spans="1:33" ht="19.5" customHeight="1" x14ac:dyDescent="0.25">
      <c r="A10" s="38"/>
      <c r="B10" s="220">
        <v>3</v>
      </c>
      <c r="C10" s="9" t="s">
        <v>115</v>
      </c>
      <c r="D10" s="11"/>
      <c r="E10" s="11" t="str">
        <f t="shared" si="0"/>
        <v/>
      </c>
      <c r="F10" s="11"/>
      <c r="G10" s="12"/>
      <c r="H10" s="12"/>
      <c r="I10" s="11"/>
      <c r="J10" s="11"/>
      <c r="K10" s="12"/>
      <c r="L10" s="15" t="str">
        <f t="shared" si="1"/>
        <v/>
      </c>
      <c r="M10" s="10" t="str">
        <f t="array" ref="M10">IFERROR(IF($C$34="PY9-PY12", INDEX($H$32:$R$39,MATCH(1,($H$32:$H$39=I10)*($I$32:$I$39=L10),0),6), INDEX($H$43:$R$50,MATCH(1,($H$43:$H$50=I10)*($I$43:$I$50=L10),0),6)),"")</f>
        <v/>
      </c>
      <c r="N10" s="10" t="str">
        <f t="array" ref="N10">IFERROR(IF($C$34="PY9-PY12", INDEX($S$32:$AC$39,MATCH(1,($S$32:$S$39=I10)*($T$32:$T$39=L10),0),6), INDEX($S$43:$AC$50,MATCH(1,($S$43:$S$50=I10)*($T$43:$T$50=L10),0),6)),"")</f>
        <v/>
      </c>
      <c r="O10" s="21">
        <v>1</v>
      </c>
      <c r="P10" s="21" t="str">
        <f t="shared" si="2"/>
        <v/>
      </c>
      <c r="Q10" s="16" t="str">
        <f t="shared" si="3"/>
        <v/>
      </c>
      <c r="R10" s="17" t="str">
        <f t="shared" si="4"/>
        <v/>
      </c>
      <c r="S10" s="39" t="str">
        <f t="shared" si="5"/>
        <v/>
      </c>
      <c r="T10" s="10">
        <f t="shared" si="6"/>
        <v>0</v>
      </c>
      <c r="U10" s="10" t="s">
        <v>116</v>
      </c>
      <c r="V10" t="str">
        <f t="shared" si="7"/>
        <v>Yes</v>
      </c>
      <c r="AG10" s="83"/>
    </row>
    <row r="11" spans="1:33" ht="19.5" customHeight="1" x14ac:dyDescent="0.25">
      <c r="A11" s="38"/>
      <c r="B11" s="220">
        <v>4</v>
      </c>
      <c r="C11" s="9" t="s">
        <v>115</v>
      </c>
      <c r="D11" s="11"/>
      <c r="E11" s="11" t="str">
        <f t="shared" si="0"/>
        <v/>
      </c>
      <c r="F11" s="11"/>
      <c r="G11" s="12"/>
      <c r="H11" s="12"/>
      <c r="I11" s="11"/>
      <c r="J11" s="11"/>
      <c r="K11" s="12"/>
      <c r="L11" s="15" t="str">
        <f t="shared" si="1"/>
        <v/>
      </c>
      <c r="M11" s="10" t="str">
        <f t="array" ref="M11">IFERROR(IF($C$34="PY9-PY12", INDEX($H$32:$R$39,MATCH(1,($H$32:$H$39=I11)*($I$32:$I$39=L11),0),7), INDEX($H$43:$R$50,MATCH(1,($H$43:$H$50=I11)*($I$43:$I$50=L11),0),7)),"")</f>
        <v/>
      </c>
      <c r="N11" s="10" t="str">
        <f t="array" ref="N11">IFERROR(IF($C$34="PY9-PY12", INDEX($S$32:$AC$39,MATCH(1,($S$32:$S$39=I11)*($T$32:$T$39=L11),0),7), INDEX($S$43:$AC$50,MATCH(1,($S$43:$S$50=I11)*($T$43:$T$50=L11),0),7)),"")</f>
        <v/>
      </c>
      <c r="O11" s="21">
        <v>1</v>
      </c>
      <c r="P11" s="21" t="str">
        <f t="shared" si="2"/>
        <v/>
      </c>
      <c r="Q11" s="16" t="str">
        <f t="shared" si="3"/>
        <v/>
      </c>
      <c r="R11" s="17" t="str">
        <f t="shared" si="4"/>
        <v/>
      </c>
      <c r="S11" s="39" t="str">
        <f t="shared" si="5"/>
        <v/>
      </c>
      <c r="T11" s="10">
        <f t="shared" si="6"/>
        <v>0</v>
      </c>
      <c r="U11" s="10" t="s">
        <v>116</v>
      </c>
      <c r="V11" t="str">
        <f t="shared" si="7"/>
        <v>Yes</v>
      </c>
      <c r="AG11" s="83"/>
    </row>
    <row r="12" spans="1:33" ht="19.5" customHeight="1" x14ac:dyDescent="0.25">
      <c r="A12" s="38"/>
      <c r="B12" s="220">
        <v>5</v>
      </c>
      <c r="C12" s="9" t="s">
        <v>115</v>
      </c>
      <c r="D12" s="11"/>
      <c r="E12" s="11" t="str">
        <f t="shared" si="0"/>
        <v/>
      </c>
      <c r="F12" s="11"/>
      <c r="G12" s="12"/>
      <c r="H12" s="12"/>
      <c r="I12" s="11"/>
      <c r="J12" s="11"/>
      <c r="K12" s="12"/>
      <c r="L12" s="15" t="str">
        <f t="shared" si="1"/>
        <v/>
      </c>
      <c r="M12" s="10" t="str">
        <f t="array" ref="M12">IFERROR(IF($C$34="PY9-PY12", INDEX($H$32:$R$39,MATCH(1,($H$32:$H$39=I12)*($I$32:$I$39=L12),0),8), INDEX($H$43:$R$50,MATCH(1,($H$43:$H$50=I12)*($I$43:$I$50=L12),0),8)),"")</f>
        <v/>
      </c>
      <c r="N12" s="10" t="str">
        <f t="array" ref="N12">IFERROR(IF($C$34="PY9-PY12", INDEX($S$32:$AC$39,MATCH(1,($S$32:$S$39=I12)*($T$32:$T$39=L12),0),8), INDEX($S$43:$AC$50,MATCH(1,($S$43:$S$50=I12)*($T$43:$T$50=L12),0),8)),"")</f>
        <v/>
      </c>
      <c r="O12" s="21">
        <v>1</v>
      </c>
      <c r="P12" s="21" t="str">
        <f t="shared" si="2"/>
        <v/>
      </c>
      <c r="Q12" s="16" t="str">
        <f t="shared" si="3"/>
        <v/>
      </c>
      <c r="R12" s="17" t="str">
        <f t="shared" si="4"/>
        <v/>
      </c>
      <c r="S12" s="39" t="str">
        <f t="shared" si="5"/>
        <v/>
      </c>
      <c r="T12" s="10">
        <f t="shared" si="6"/>
        <v>0</v>
      </c>
      <c r="U12" s="10" t="s">
        <v>116</v>
      </c>
      <c r="V12" t="str">
        <f t="shared" si="7"/>
        <v>Yes</v>
      </c>
      <c r="AG12" s="83"/>
    </row>
    <row r="13" spans="1:33" ht="19.5" customHeight="1" x14ac:dyDescent="0.25">
      <c r="A13" s="38"/>
      <c r="B13" s="220">
        <v>6</v>
      </c>
      <c r="C13" s="9" t="s">
        <v>115</v>
      </c>
      <c r="D13" s="11"/>
      <c r="E13" s="11" t="str">
        <f t="shared" si="0"/>
        <v/>
      </c>
      <c r="F13" s="11"/>
      <c r="G13" s="12"/>
      <c r="H13" s="12"/>
      <c r="I13" s="11"/>
      <c r="J13" s="11"/>
      <c r="K13" s="12"/>
      <c r="L13" s="15" t="str">
        <f t="shared" si="1"/>
        <v/>
      </c>
      <c r="M13" s="10" t="str">
        <f t="array" ref="M13">IFERROR(IF($C$34="PY9-PY12", INDEX($H$32:$R$39,MATCH(1,($H$32:$H$39=I13)*($I$32:$I$39=L13),0),9), INDEX($H$43:$R$50,MATCH(1,($H$43:$H$50=I13)*($I$43:$I$50=L13),0),9)),"")</f>
        <v/>
      </c>
      <c r="N13" s="10" t="str">
        <f t="array" ref="N13">IFERROR(IF($C$34="PY9-PY12", INDEX($S$32:$AC$39,MATCH(1,($S$32:$S$39=I13)*($T$32:$T$39=L13),0),9), INDEX($S$43:$AC$50,MATCH(1,($S$43:$S$50=I13)*($T$43:$T$50=L13),0),9)),"")</f>
        <v/>
      </c>
      <c r="O13" s="21">
        <v>1</v>
      </c>
      <c r="P13" s="21" t="str">
        <f t="shared" si="2"/>
        <v/>
      </c>
      <c r="Q13" s="16" t="str">
        <f t="shared" si="3"/>
        <v/>
      </c>
      <c r="R13" s="17" t="str">
        <f t="shared" si="4"/>
        <v/>
      </c>
      <c r="S13" s="39" t="str">
        <f t="shared" si="5"/>
        <v/>
      </c>
      <c r="T13" s="10">
        <f t="shared" si="6"/>
        <v>0</v>
      </c>
      <c r="U13" s="10" t="s">
        <v>116</v>
      </c>
      <c r="V13" t="str">
        <f t="shared" si="7"/>
        <v>Yes</v>
      </c>
      <c r="AG13" s="83"/>
    </row>
    <row r="14" spans="1:33" ht="19.5" customHeight="1" x14ac:dyDescent="0.25">
      <c r="A14" s="38"/>
      <c r="B14" s="220">
        <v>7</v>
      </c>
      <c r="C14" s="9" t="s">
        <v>115</v>
      </c>
      <c r="D14" s="11"/>
      <c r="E14" s="11" t="str">
        <f t="shared" si="0"/>
        <v/>
      </c>
      <c r="F14" s="11"/>
      <c r="G14" s="12"/>
      <c r="H14" s="12"/>
      <c r="I14" s="11"/>
      <c r="J14" s="11"/>
      <c r="K14" s="12"/>
      <c r="L14" s="15" t="str">
        <f t="shared" si="1"/>
        <v/>
      </c>
      <c r="M14" s="10" t="str">
        <f t="array" ref="M14">IFERROR(IF($C$34="PY9-PY12", INDEX($H$32:$R$39,MATCH(1,($H$32:$H$39=I14)*($I$32:$I$39=L14),0),10), INDEX($H$43:$R$50,MATCH(1,($H$43:$H$50=I14)*($I$43:$I$50=L14),0),10)),"")</f>
        <v/>
      </c>
      <c r="N14" s="10" t="str">
        <f t="array" ref="N14">IFERROR(IF($C$34="PY9-PY12", INDEX($S$32:$AC$39,MATCH(1,($S$32:$S$39=I14)*($T$32:$T$39=L14),0),10), INDEX($S$43:$AC$50,MATCH(1,($S$43:$S$50=I14)*($T$43:$T$50=L14),0),10)),"")</f>
        <v/>
      </c>
      <c r="O14" s="21">
        <v>1</v>
      </c>
      <c r="P14" s="21" t="str">
        <f t="shared" si="2"/>
        <v/>
      </c>
      <c r="Q14" s="16" t="str">
        <f t="shared" si="3"/>
        <v/>
      </c>
      <c r="R14" s="17" t="str">
        <f t="shared" si="4"/>
        <v/>
      </c>
      <c r="S14" s="39" t="str">
        <f t="shared" si="5"/>
        <v/>
      </c>
      <c r="T14" s="10">
        <f t="shared" si="6"/>
        <v>0</v>
      </c>
      <c r="U14" s="10" t="s">
        <v>116</v>
      </c>
      <c r="V14" t="str">
        <f t="shared" si="7"/>
        <v>Yes</v>
      </c>
      <c r="AG14" s="83"/>
    </row>
    <row r="15" spans="1:33" ht="19.5" customHeight="1" x14ac:dyDescent="0.25">
      <c r="A15" s="38"/>
      <c r="B15" s="220">
        <v>8</v>
      </c>
      <c r="C15" s="9" t="s">
        <v>115</v>
      </c>
      <c r="D15" s="11"/>
      <c r="E15" s="11" t="str">
        <f t="shared" si="0"/>
        <v/>
      </c>
      <c r="F15" s="11"/>
      <c r="G15" s="12"/>
      <c r="H15" s="12"/>
      <c r="I15" s="11"/>
      <c r="J15" s="11"/>
      <c r="K15" s="12"/>
      <c r="L15" s="15" t="str">
        <f t="shared" si="1"/>
        <v/>
      </c>
      <c r="M15" s="10" t="str">
        <f t="array" ref="M15">IFERROR(IF($C$34="PY9-PY12", INDEX($H$32:$R$39,MATCH(1,($H$32:$H$39=I15)*($I$32:$I$39=L15),0),11), INDEX($H$43:$R$50,MATCH(1,($H$43:$H$50=I15)*($I$43:$I$50=L15),0),11)),"")</f>
        <v/>
      </c>
      <c r="N15" s="10" t="str">
        <f t="array" ref="N15">IFERROR(IF($C$34="PY9-PY12", INDEX($S$32:$AC$39,MATCH(1,($S$32:$S$39=I15)*($T$32:$T$39=L15),0),11), INDEX($S$43:$AC$50,MATCH(1,($S$43:$S$50=I15)*($T$43:$T$50=L15),0),11)),"")</f>
        <v/>
      </c>
      <c r="O15" s="21">
        <v>1</v>
      </c>
      <c r="P15" s="21" t="str">
        <f t="shared" si="2"/>
        <v/>
      </c>
      <c r="Q15" s="16" t="str">
        <f t="shared" si="3"/>
        <v/>
      </c>
      <c r="R15" s="17" t="str">
        <f t="shared" si="4"/>
        <v/>
      </c>
      <c r="S15" s="39" t="str">
        <f t="shared" si="5"/>
        <v/>
      </c>
      <c r="T15" s="10">
        <f t="shared" si="6"/>
        <v>0</v>
      </c>
      <c r="U15" s="10" t="s">
        <v>116</v>
      </c>
      <c r="V15" t="str">
        <f t="shared" si="7"/>
        <v>Yes</v>
      </c>
      <c r="AG15" s="83"/>
    </row>
    <row r="16" spans="1:33" hidden="1" x14ac:dyDescent="0.25">
      <c r="A16" s="27"/>
      <c r="K16">
        <f>SUM(K8:K15)</f>
        <v>0</v>
      </c>
      <c r="L16">
        <f t="shared" ref="L16:S16" si="8">SUM(L8:L15)</f>
        <v>0</v>
      </c>
      <c r="M16">
        <f t="shared" si="8"/>
        <v>0</v>
      </c>
      <c r="N16">
        <f t="shared" si="8"/>
        <v>0</v>
      </c>
      <c r="O16">
        <f t="shared" si="8"/>
        <v>8</v>
      </c>
      <c r="P16">
        <f t="shared" si="8"/>
        <v>0</v>
      </c>
      <c r="Q16">
        <f t="shared" si="8"/>
        <v>0</v>
      </c>
      <c r="R16">
        <f t="shared" si="8"/>
        <v>0</v>
      </c>
      <c r="S16">
        <f t="shared" si="8"/>
        <v>0</v>
      </c>
      <c r="AG16" s="83"/>
    </row>
    <row r="17" spans="1:33" hidden="1" x14ac:dyDescent="0.25">
      <c r="A17" s="27"/>
      <c r="U17" s="1"/>
      <c r="AG17" s="83"/>
    </row>
    <row r="18" spans="1:33" hidden="1" x14ac:dyDescent="0.25">
      <c r="A18" s="27"/>
      <c r="C18" s="507" t="s">
        <v>117</v>
      </c>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9"/>
      <c r="AG18" s="83"/>
    </row>
    <row r="19" spans="1:33" hidden="1" x14ac:dyDescent="0.25">
      <c r="A19" s="27"/>
      <c r="H19" s="135" t="s">
        <v>118</v>
      </c>
      <c r="I19" s="248"/>
      <c r="J19" s="248"/>
      <c r="K19" s="248"/>
      <c r="L19" s="248"/>
      <c r="M19" s="248"/>
      <c r="N19" s="248"/>
      <c r="O19" s="248"/>
      <c r="P19" s="248"/>
      <c r="Q19" s="248"/>
      <c r="R19" s="249"/>
      <c r="S19" s="135" t="s">
        <v>119</v>
      </c>
      <c r="T19" s="248"/>
      <c r="U19" s="248"/>
      <c r="V19" s="248"/>
      <c r="W19" s="248"/>
      <c r="X19" s="248"/>
      <c r="Y19" s="248"/>
      <c r="Z19" s="248"/>
      <c r="AA19" s="248"/>
      <c r="AB19" s="248"/>
      <c r="AC19" s="249"/>
      <c r="AG19" s="83"/>
    </row>
    <row r="20" spans="1:33" ht="30" hidden="1" x14ac:dyDescent="0.25">
      <c r="A20" s="27"/>
      <c r="C20" s="132" t="s">
        <v>83</v>
      </c>
      <c r="D20" s="132" t="s">
        <v>84</v>
      </c>
      <c r="H20" s="221" t="s">
        <v>120</v>
      </c>
      <c r="I20" s="222" t="s">
        <v>121</v>
      </c>
      <c r="J20" s="221" t="s">
        <v>122</v>
      </c>
      <c r="K20" s="222">
        <v>1</v>
      </c>
      <c r="L20" s="222">
        <v>2</v>
      </c>
      <c r="M20" s="222">
        <v>3</v>
      </c>
      <c r="N20" s="222">
        <v>4</v>
      </c>
      <c r="O20" s="222">
        <v>5</v>
      </c>
      <c r="P20" s="222">
        <v>6</v>
      </c>
      <c r="Q20" s="222">
        <v>7</v>
      </c>
      <c r="R20" s="222">
        <v>8</v>
      </c>
      <c r="S20" s="221" t="s">
        <v>120</v>
      </c>
      <c r="T20" s="222" t="s">
        <v>121</v>
      </c>
      <c r="U20" s="221" t="s">
        <v>123</v>
      </c>
      <c r="V20" s="222">
        <v>1</v>
      </c>
      <c r="W20" s="222">
        <v>2</v>
      </c>
      <c r="X20" s="222">
        <v>3</v>
      </c>
      <c r="Y20" s="222">
        <v>4</v>
      </c>
      <c r="Z20" s="222">
        <v>5</v>
      </c>
      <c r="AA20" s="222">
        <v>6</v>
      </c>
      <c r="AB20" s="222">
        <v>7</v>
      </c>
      <c r="AC20" s="222">
        <v>8</v>
      </c>
      <c r="AG20" s="83"/>
    </row>
    <row r="21" spans="1:33" hidden="1" x14ac:dyDescent="0.25">
      <c r="A21" s="27"/>
      <c r="C21" s="4" t="s">
        <v>124</v>
      </c>
      <c r="D21" s="4" t="s">
        <v>124</v>
      </c>
      <c r="H21" s="5" t="s">
        <v>125</v>
      </c>
      <c r="I21" s="6" t="s">
        <v>126</v>
      </c>
      <c r="J21" s="6" t="s">
        <v>127</v>
      </c>
      <c r="K21" s="22">
        <f>(0.1*$J$8)+2.04</f>
        <v>2.04</v>
      </c>
      <c r="L21" s="22">
        <f>(0.1*$J$9)+2.04</f>
        <v>2.04</v>
      </c>
      <c r="M21" s="22">
        <f>(0.1*$J$10)+2.04</f>
        <v>2.04</v>
      </c>
      <c r="N21" s="22">
        <f>(0.1*$J$11)+2.04</f>
        <v>2.04</v>
      </c>
      <c r="O21" s="22">
        <f>(0.1*$J$12)+2.04</f>
        <v>2.04</v>
      </c>
      <c r="P21" s="22">
        <f>(0.1*$J$13)+2.04</f>
        <v>2.04</v>
      </c>
      <c r="Q21" s="22">
        <f>(0.1*$J$14)+2.04</f>
        <v>2.04</v>
      </c>
      <c r="R21" s="22">
        <f>(0.1*$J$15)+2.04</f>
        <v>2.04</v>
      </c>
      <c r="S21" s="5" t="s">
        <v>125</v>
      </c>
      <c r="T21" s="6" t="s">
        <v>126</v>
      </c>
      <c r="U21" s="6" t="s">
        <v>128</v>
      </c>
      <c r="V21" s="23">
        <f>(0.089*J8)+1.411</f>
        <v>1.411</v>
      </c>
      <c r="W21" s="23">
        <f>(0.089*J9)+1.411</f>
        <v>1.411</v>
      </c>
      <c r="X21" s="23">
        <f>(0.089*J10)+1.411</f>
        <v>1.411</v>
      </c>
      <c r="Y21" s="23">
        <f>(0.089*J11)+1.411</f>
        <v>1.411</v>
      </c>
      <c r="Z21" s="23">
        <f>(0.089*J12)+1.411</f>
        <v>1.411</v>
      </c>
      <c r="AA21" s="23">
        <f>(0.089*J13)+1.411</f>
        <v>1.411</v>
      </c>
      <c r="AB21" s="23">
        <f>(0.089*J14)+1.411</f>
        <v>1.411</v>
      </c>
      <c r="AC21" s="23">
        <f>(0.089*J15)+1.411</f>
        <v>1.411</v>
      </c>
      <c r="AG21" s="83"/>
    </row>
    <row r="22" spans="1:33" hidden="1" x14ac:dyDescent="0.25">
      <c r="A22" s="27"/>
      <c r="C22" s="4" t="s">
        <v>129</v>
      </c>
      <c r="D22" s="4" t="s">
        <v>130</v>
      </c>
      <c r="H22" s="5" t="s">
        <v>125</v>
      </c>
      <c r="I22" s="6" t="s">
        <v>131</v>
      </c>
      <c r="J22" s="6" t="s">
        <v>127</v>
      </c>
      <c r="K22" s="22">
        <f>(0.1*$J$8)+2.04</f>
        <v>2.04</v>
      </c>
      <c r="L22" s="22">
        <f>(0.1*$J$9)+2.04</f>
        <v>2.04</v>
      </c>
      <c r="M22" s="22">
        <f>(0.1*$J$10)+2.04</f>
        <v>2.04</v>
      </c>
      <c r="N22" s="22">
        <f>(0.1*$J$11)+2.04</f>
        <v>2.04</v>
      </c>
      <c r="O22" s="22">
        <f>(0.1*$J$12)+2.04</f>
        <v>2.04</v>
      </c>
      <c r="P22" s="22">
        <f>(0.1*$J$13)+2.04</f>
        <v>2.04</v>
      </c>
      <c r="Q22" s="22">
        <f>(0.1*$J$14)+2.04</f>
        <v>2.04</v>
      </c>
      <c r="R22" s="22">
        <f>(0.1*$J$15)+2.04</f>
        <v>2.04</v>
      </c>
      <c r="S22" s="5" t="s">
        <v>125</v>
      </c>
      <c r="T22" s="6" t="s">
        <v>131</v>
      </c>
      <c r="U22" s="6" t="s">
        <v>132</v>
      </c>
      <c r="V22" s="23">
        <f>(0.037*J8)+2.2</f>
        <v>2.2000000000000002</v>
      </c>
      <c r="W22" s="23">
        <f>(0.037*J9)+2.2</f>
        <v>2.2000000000000002</v>
      </c>
      <c r="X22" s="23">
        <f>(0.037*J10)+2.2</f>
        <v>2.2000000000000002</v>
      </c>
      <c r="Y22" s="23">
        <f>(0.037*J11)+2.2</f>
        <v>2.2000000000000002</v>
      </c>
      <c r="Z22" s="23">
        <f>(0.037*J12)+2.2</f>
        <v>2.2000000000000002</v>
      </c>
      <c r="AA22" s="23">
        <f>(0.037*J13)+2.2</f>
        <v>2.2000000000000002</v>
      </c>
      <c r="AB22" s="23">
        <f>(0.037*J14)+2.2</f>
        <v>2.2000000000000002</v>
      </c>
      <c r="AC22" s="23">
        <f>(0.037*J15)+2.2</f>
        <v>2.2000000000000002</v>
      </c>
      <c r="AG22" s="83"/>
    </row>
    <row r="23" spans="1:33" hidden="1" x14ac:dyDescent="0.25">
      <c r="A23" s="27"/>
      <c r="H23" s="5" t="s">
        <v>125</v>
      </c>
      <c r="I23" s="6" t="s">
        <v>133</v>
      </c>
      <c r="J23" s="6" t="s">
        <v>127</v>
      </c>
      <c r="K23" s="22">
        <f>(0.1*$J$8)+2.04</f>
        <v>2.04</v>
      </c>
      <c r="L23" s="22">
        <f>(0.1*$J$9)+2.04</f>
        <v>2.04</v>
      </c>
      <c r="M23" s="22">
        <f>(0.1*$J$10)+2.04</f>
        <v>2.04</v>
      </c>
      <c r="N23" s="22">
        <f>(0.1*$J$11)+2.04</f>
        <v>2.04</v>
      </c>
      <c r="O23" s="22">
        <f>(0.1*$J$12)+2.04</f>
        <v>2.04</v>
      </c>
      <c r="P23" s="22">
        <f>(0.1*$J$13)+2.04</f>
        <v>2.04</v>
      </c>
      <c r="Q23" s="22">
        <f>(0.1*$J$14)+2.04</f>
        <v>2.04</v>
      </c>
      <c r="R23" s="22">
        <f>(0.1*$J$15)+2.04</f>
        <v>2.04</v>
      </c>
      <c r="S23" s="5" t="s">
        <v>125</v>
      </c>
      <c r="T23" s="6" t="s">
        <v>133</v>
      </c>
      <c r="U23" s="6" t="s">
        <v>134</v>
      </c>
      <c r="V23" s="23">
        <f>(0.056*J8)+1.635</f>
        <v>1.635</v>
      </c>
      <c r="W23" s="23">
        <f>(0.056*J9)+1.635</f>
        <v>1.635</v>
      </c>
      <c r="X23" s="23">
        <f>(0.056*J10)+1.635</f>
        <v>1.635</v>
      </c>
      <c r="Y23" s="23">
        <f>(0.056*J11)+1.635</f>
        <v>1.635</v>
      </c>
      <c r="Z23" s="23">
        <f>(0.056*J12)+1.635</f>
        <v>1.635</v>
      </c>
      <c r="AA23" s="23">
        <f>(0.056*J13)+1.635</f>
        <v>1.635</v>
      </c>
      <c r="AB23" s="23">
        <f>(0.056*J14)+1.635</f>
        <v>1.635</v>
      </c>
      <c r="AC23" s="23">
        <f>(0.056*J15)+1.635</f>
        <v>1.635</v>
      </c>
      <c r="AG23" s="83"/>
    </row>
    <row r="24" spans="1:33" hidden="1" x14ac:dyDescent="0.25">
      <c r="A24" s="27"/>
      <c r="C24" s="131" t="s">
        <v>135</v>
      </c>
      <c r="H24" s="5" t="s">
        <v>125</v>
      </c>
      <c r="I24" s="6" t="s">
        <v>136</v>
      </c>
      <c r="J24" s="6" t="s">
        <v>127</v>
      </c>
      <c r="K24" s="22">
        <f>(0.1*$J$8)+2.04</f>
        <v>2.04</v>
      </c>
      <c r="L24" s="22">
        <f>(0.1*$J$9)+2.04</f>
        <v>2.04</v>
      </c>
      <c r="M24" s="22">
        <f>(0.1*$J$10)+2.04</f>
        <v>2.04</v>
      </c>
      <c r="N24" s="22">
        <f>(0.1*$J$11)+2.04</f>
        <v>2.04</v>
      </c>
      <c r="O24" s="22">
        <f>(0.1*$J$12)+2.04</f>
        <v>2.04</v>
      </c>
      <c r="P24" s="22">
        <f>(0.1*$J$13)+2.04</f>
        <v>2.04</v>
      </c>
      <c r="Q24" s="22">
        <f>(0.1*$J$14)+2.04</f>
        <v>2.04</v>
      </c>
      <c r="R24" s="22">
        <f>(0.1*$J$15)+2.04</f>
        <v>2.04</v>
      </c>
      <c r="S24" s="5" t="s">
        <v>125</v>
      </c>
      <c r="T24" s="6" t="s">
        <v>136</v>
      </c>
      <c r="U24" s="6" t="s">
        <v>137</v>
      </c>
      <c r="V24" s="23">
        <f>(0.06*J8)+1.416</f>
        <v>1.4159999999999999</v>
      </c>
      <c r="W24" s="23">
        <f>(0.06*J9)+1.416</f>
        <v>1.4159999999999999</v>
      </c>
      <c r="X24" s="23">
        <f>(0.06*J10)+1.416</f>
        <v>1.4159999999999999</v>
      </c>
      <c r="Y24" s="23">
        <f>(0.06*J11)+1.416</f>
        <v>1.4159999999999999</v>
      </c>
      <c r="Z24" s="23">
        <f>(0.06*J12)+1.416</f>
        <v>1.4159999999999999</v>
      </c>
      <c r="AA24" s="23">
        <f>(0.06*J13)+1.416</f>
        <v>1.4159999999999999</v>
      </c>
      <c r="AB24" s="23">
        <f>(0.06*J14)+1.416</f>
        <v>1.4159999999999999</v>
      </c>
      <c r="AC24" s="23">
        <f>(0.06*J15)+1.416</f>
        <v>1.4159999999999999</v>
      </c>
      <c r="AG24" s="83"/>
    </row>
    <row r="25" spans="1:33" hidden="1" x14ac:dyDescent="0.25">
      <c r="A25" s="27"/>
      <c r="C25" s="8">
        <v>365</v>
      </c>
      <c r="H25" s="5" t="s">
        <v>138</v>
      </c>
      <c r="I25" s="6" t="s">
        <v>126</v>
      </c>
      <c r="J25" s="6" t="s">
        <v>139</v>
      </c>
      <c r="K25" s="22">
        <f>(0.12*J8)+3.34</f>
        <v>3.34</v>
      </c>
      <c r="L25" s="22">
        <f>(0.12*$J9)+3.34</f>
        <v>3.34</v>
      </c>
      <c r="M25" s="22">
        <f>(0.12*$J10)+3.34</f>
        <v>3.34</v>
      </c>
      <c r="N25" s="22">
        <f>(0.12*$J11)+3.34</f>
        <v>3.34</v>
      </c>
      <c r="O25" s="22">
        <f>(0.12*$J12)+3.34</f>
        <v>3.34</v>
      </c>
      <c r="P25" s="22">
        <f>(0.12*$J13)+3.34</f>
        <v>3.34</v>
      </c>
      <c r="Q25" s="22">
        <f>(0.12*$J14)+3.34</f>
        <v>3.34</v>
      </c>
      <c r="R25" s="22">
        <f>(0.12*$J15)+3.34</f>
        <v>3.34</v>
      </c>
      <c r="S25" s="5" t="s">
        <v>138</v>
      </c>
      <c r="T25" s="6" t="s">
        <v>126</v>
      </c>
      <c r="U25" s="6" t="s">
        <v>140</v>
      </c>
      <c r="V25" s="23">
        <f>(0.118*J8)+1.382</f>
        <v>1.3819999999999999</v>
      </c>
      <c r="W25" s="23">
        <f>(0.118*J9)+1.382</f>
        <v>1.3819999999999999</v>
      </c>
      <c r="X25" s="23">
        <f>(0.118*J10)+1.382</f>
        <v>1.3819999999999999</v>
      </c>
      <c r="Y25" s="23">
        <f>(0.118*J11)+1.382</f>
        <v>1.3819999999999999</v>
      </c>
      <c r="Z25" s="23">
        <f>(0.118*J12)+1.382</f>
        <v>1.3819999999999999</v>
      </c>
      <c r="AA25" s="23">
        <f>(0.118*J13)+1.382</f>
        <v>1.3819999999999999</v>
      </c>
      <c r="AB25" s="23">
        <f>(0.118*J14)+1.382</f>
        <v>1.3819999999999999</v>
      </c>
      <c r="AC25" s="23">
        <f>(0.118*J15)+1.382</f>
        <v>1.3819999999999999</v>
      </c>
      <c r="AG25" s="83"/>
    </row>
    <row r="26" spans="1:33" hidden="1" x14ac:dyDescent="0.25">
      <c r="A26" s="27"/>
      <c r="H26" s="5" t="s">
        <v>138</v>
      </c>
      <c r="I26" s="6" t="s">
        <v>131</v>
      </c>
      <c r="J26" s="6" t="s">
        <v>139</v>
      </c>
      <c r="K26" s="22">
        <f>(0.12*J8)+3.34</f>
        <v>3.34</v>
      </c>
      <c r="L26" s="22">
        <f>(0.12*$J9)+3.34</f>
        <v>3.34</v>
      </c>
      <c r="M26" s="22">
        <f>(0.12*$J10)+3.34</f>
        <v>3.34</v>
      </c>
      <c r="N26" s="22">
        <f>(0.12*$J11)+3.34</f>
        <v>3.34</v>
      </c>
      <c r="O26" s="22">
        <f>(0.12*$J12)+3.34</f>
        <v>3.34</v>
      </c>
      <c r="P26" s="22">
        <f>(0.12*$J13)+3.34</f>
        <v>3.34</v>
      </c>
      <c r="Q26" s="22">
        <f>(0.12*$J14)+3.34</f>
        <v>3.34</v>
      </c>
      <c r="R26" s="22">
        <f>(0.12*$J15)+3.34</f>
        <v>3.34</v>
      </c>
      <c r="S26" s="5" t="s">
        <v>138</v>
      </c>
      <c r="T26" s="6" t="s">
        <v>131</v>
      </c>
      <c r="U26" s="6" t="s">
        <v>141</v>
      </c>
      <c r="V26" s="23">
        <f>(0.14*J8)+1.05</f>
        <v>1.05</v>
      </c>
      <c r="W26" s="23">
        <f>(0.14*J9)+1.05</f>
        <v>1.05</v>
      </c>
      <c r="X26" s="23">
        <f>(0.14*J10)+1.05</f>
        <v>1.05</v>
      </c>
      <c r="Y26" s="23">
        <f>(0.14*J11)+1.05</f>
        <v>1.05</v>
      </c>
      <c r="Z26" s="23">
        <f>(0.14*J12)+1.05</f>
        <v>1.05</v>
      </c>
      <c r="AA26" s="23">
        <f>(0.14*J13)+1.05</f>
        <v>1.05</v>
      </c>
      <c r="AB26" s="23">
        <f>(0.14*J14)+1.05</f>
        <v>1.05</v>
      </c>
      <c r="AC26" s="23">
        <f>(0.14*J15)+1.05</f>
        <v>1.05</v>
      </c>
      <c r="AG26" s="83"/>
    </row>
    <row r="27" spans="1:33" hidden="1" x14ac:dyDescent="0.25">
      <c r="A27" s="27"/>
      <c r="C27" s="13" t="s">
        <v>142</v>
      </c>
      <c r="H27" s="5" t="s">
        <v>138</v>
      </c>
      <c r="I27" s="6" t="s">
        <v>133</v>
      </c>
      <c r="J27" s="6" t="s">
        <v>139</v>
      </c>
      <c r="K27" s="22">
        <f>(0.12*J8)+3.34</f>
        <v>3.34</v>
      </c>
      <c r="L27" s="22">
        <f>(0.12*J9)+3.34</f>
        <v>3.34</v>
      </c>
      <c r="M27" s="22">
        <f>(0.12*J10)+3.34</f>
        <v>3.34</v>
      </c>
      <c r="N27" s="22">
        <f>(0.12*J11)+3.34</f>
        <v>3.34</v>
      </c>
      <c r="O27" s="22">
        <f>(0.12*J12)+3.34</f>
        <v>3.34</v>
      </c>
      <c r="P27" s="22">
        <f>(0.12*J13)+3.34</f>
        <v>3.34</v>
      </c>
      <c r="Q27" s="22">
        <f>(0.12*J14)+3.34</f>
        <v>3.34</v>
      </c>
      <c r="R27" s="22">
        <f>(0.12*J15)+3.34</f>
        <v>3.34</v>
      </c>
      <c r="S27" s="5" t="s">
        <v>138</v>
      </c>
      <c r="T27" s="6" t="s">
        <v>133</v>
      </c>
      <c r="U27" s="6" t="s">
        <v>143</v>
      </c>
      <c r="V27" s="23">
        <f>(0.088*J8)+2.625</f>
        <v>2.625</v>
      </c>
      <c r="W27" s="23">
        <f>(0.088*J9)+2.625</f>
        <v>2.625</v>
      </c>
      <c r="X27" s="23">
        <f>(0.088*J10)+2.625</f>
        <v>2.625</v>
      </c>
      <c r="Y27" s="23">
        <f>(0.088*J11)+2.625</f>
        <v>2.625</v>
      </c>
      <c r="Z27" s="23">
        <f>(0.088*J12)+2.625</f>
        <v>2.625</v>
      </c>
      <c r="AA27" s="23">
        <f>(0.088*J13)+2.625</f>
        <v>2.625</v>
      </c>
      <c r="AB27" s="23">
        <f>(0.088*J14)+2.625</f>
        <v>2.625</v>
      </c>
      <c r="AC27" s="23">
        <f>(0.088*J15)+2.625</f>
        <v>2.625</v>
      </c>
      <c r="AG27" s="83"/>
    </row>
    <row r="28" spans="1:33" hidden="1" x14ac:dyDescent="0.25">
      <c r="A28" s="27"/>
      <c r="C28" s="76">
        <f>50*'Project Summary'!M12</f>
        <v>25</v>
      </c>
      <c r="D28" s="13" t="s">
        <v>144</v>
      </c>
      <c r="E28" s="247"/>
      <c r="F28" s="247"/>
      <c r="H28" s="5" t="s">
        <v>138</v>
      </c>
      <c r="I28" s="6" t="s">
        <v>136</v>
      </c>
      <c r="J28" s="6" t="s">
        <v>139</v>
      </c>
      <c r="K28" s="22">
        <f>(0.12*J8)+3.34</f>
        <v>3.34</v>
      </c>
      <c r="L28" s="22">
        <f>(0.12*J9)+3.34</f>
        <v>3.34</v>
      </c>
      <c r="M28" s="22">
        <f>(0.12*J10)+3.34</f>
        <v>3.34</v>
      </c>
      <c r="N28" s="22">
        <f>(0.12*J11)+3.34</f>
        <v>3.34</v>
      </c>
      <c r="O28" s="22">
        <f>(0.12*J12)+3.34</f>
        <v>3.34</v>
      </c>
      <c r="P28" s="22">
        <f>(0.12*J13)+3.34</f>
        <v>3.34</v>
      </c>
      <c r="Q28" s="22">
        <f>(0.12*J14)+3.34</f>
        <v>3.34</v>
      </c>
      <c r="R28" s="22">
        <f>(0.12*J15)+3.34</f>
        <v>3.34</v>
      </c>
      <c r="S28" s="5" t="s">
        <v>138</v>
      </c>
      <c r="T28" s="6" t="s">
        <v>136</v>
      </c>
      <c r="U28" s="6" t="s">
        <v>145</v>
      </c>
      <c r="V28" s="23">
        <f>(0.11*J8)+1.5</f>
        <v>1.5</v>
      </c>
      <c r="W28" s="23">
        <f>(0.11*J9)+1.5</f>
        <v>1.5</v>
      </c>
      <c r="X28" s="23">
        <f>(0.11*J10)+1.5</f>
        <v>1.5</v>
      </c>
      <c r="Y28" s="23">
        <f>(0.11*J11)+1.5</f>
        <v>1.5</v>
      </c>
      <c r="Z28" s="23">
        <f>(0.11*J12)+1.5</f>
        <v>1.5</v>
      </c>
      <c r="AA28" s="23">
        <f>(0.11*J13)+1.5</f>
        <v>1.5</v>
      </c>
      <c r="AB28" s="23">
        <f>(0.11*J14)+1.5</f>
        <v>1.5</v>
      </c>
      <c r="AC28" s="23">
        <f>(0.11*J15)+1.5</f>
        <v>1.5</v>
      </c>
      <c r="AG28" s="83"/>
    </row>
    <row r="29" spans="1:33" hidden="1" x14ac:dyDescent="0.25">
      <c r="A29" s="27"/>
      <c r="C29" s="34"/>
      <c r="H29" s="219"/>
      <c r="I29" s="33"/>
      <c r="J29" s="33"/>
      <c r="K29" s="35"/>
      <c r="L29" s="35"/>
      <c r="M29" s="35"/>
      <c r="N29" s="35"/>
      <c r="O29" s="35"/>
      <c r="P29" s="35"/>
      <c r="Q29" s="35"/>
      <c r="R29" s="35"/>
      <c r="S29" s="219"/>
      <c r="T29" s="33"/>
      <c r="U29" s="33"/>
      <c r="V29" s="126"/>
      <c r="W29" s="126"/>
      <c r="X29" s="126"/>
      <c r="Y29" s="126"/>
      <c r="Z29" s="126"/>
      <c r="AA29" s="126"/>
      <c r="AB29" s="126"/>
      <c r="AC29" s="126"/>
      <c r="AG29" s="83"/>
    </row>
    <row r="30" spans="1:33" hidden="1" x14ac:dyDescent="0.25">
      <c r="A30" s="27"/>
      <c r="C30" s="13" t="s">
        <v>146</v>
      </c>
      <c r="H30" s="135" t="s">
        <v>147</v>
      </c>
      <c r="I30" s="136">
        <v>42887</v>
      </c>
      <c r="J30" s="248"/>
      <c r="K30" s="248"/>
      <c r="L30" s="248"/>
      <c r="M30" s="248"/>
      <c r="N30" s="248"/>
      <c r="O30" s="248"/>
      <c r="P30" s="248"/>
      <c r="Q30" s="248"/>
      <c r="R30" s="249"/>
      <c r="S30" s="135" t="s">
        <v>119</v>
      </c>
      <c r="T30" s="248"/>
      <c r="U30" s="248"/>
      <c r="V30" s="248"/>
      <c r="W30" s="248"/>
      <c r="X30" s="248"/>
      <c r="Y30" s="248"/>
      <c r="Z30" s="248"/>
      <c r="AA30" s="248"/>
      <c r="AB30" s="248"/>
      <c r="AC30" s="249"/>
      <c r="AG30" s="83"/>
    </row>
    <row r="31" spans="1:33" ht="30" hidden="1" x14ac:dyDescent="0.25">
      <c r="A31" s="27"/>
      <c r="C31" s="5">
        <v>12</v>
      </c>
      <c r="H31" s="221" t="s">
        <v>120</v>
      </c>
      <c r="I31" s="222" t="s">
        <v>121</v>
      </c>
      <c r="J31" s="221" t="s">
        <v>122</v>
      </c>
      <c r="K31" s="222">
        <v>1</v>
      </c>
      <c r="L31" s="222">
        <v>2</v>
      </c>
      <c r="M31" s="222">
        <v>3</v>
      </c>
      <c r="N31" s="222">
        <v>4</v>
      </c>
      <c r="O31" s="222">
        <v>5</v>
      </c>
      <c r="P31" s="222">
        <v>6</v>
      </c>
      <c r="Q31" s="222">
        <v>7</v>
      </c>
      <c r="R31" s="222">
        <v>8</v>
      </c>
      <c r="S31" s="221" t="s">
        <v>120</v>
      </c>
      <c r="T31" s="222" t="s">
        <v>121</v>
      </c>
      <c r="U31" s="221" t="s">
        <v>123</v>
      </c>
      <c r="V31" s="222">
        <v>1</v>
      </c>
      <c r="W31" s="222">
        <v>2</v>
      </c>
      <c r="X31" s="222">
        <v>3</v>
      </c>
      <c r="Y31" s="222">
        <v>4</v>
      </c>
      <c r="Z31" s="222">
        <v>5</v>
      </c>
      <c r="AA31" s="222">
        <v>6</v>
      </c>
      <c r="AB31" s="222">
        <v>7</v>
      </c>
      <c r="AC31" s="222">
        <v>8</v>
      </c>
      <c r="AG31" s="83"/>
    </row>
    <row r="32" spans="1:33" hidden="1" x14ac:dyDescent="0.25">
      <c r="A32" s="27"/>
      <c r="C32" s="34"/>
      <c r="H32" s="5" t="s">
        <v>125</v>
      </c>
      <c r="I32" s="6" t="s">
        <v>126</v>
      </c>
      <c r="J32" s="6" t="s">
        <v>148</v>
      </c>
      <c r="K32" s="22">
        <f>(0.05*$J$8)+1.36</f>
        <v>1.36</v>
      </c>
      <c r="L32" s="22">
        <f>(0.05*$J$9)+1.36</f>
        <v>1.36</v>
      </c>
      <c r="M32" s="22">
        <f>(0.05*$J$10)+1.36</f>
        <v>1.36</v>
      </c>
      <c r="N32" s="22">
        <f>(0.05*$J$11)+1.36</f>
        <v>1.36</v>
      </c>
      <c r="O32" s="22">
        <f>(0.05*$J$12)+1.36</f>
        <v>1.36</v>
      </c>
      <c r="P32" s="22">
        <f>(0.05*$J$13)+1.36</f>
        <v>1.36</v>
      </c>
      <c r="Q32" s="22">
        <f>(0.05*$J$14)+1.36</f>
        <v>1.36</v>
      </c>
      <c r="R32" s="22">
        <f>(0.05*$J$15)+1.36</f>
        <v>1.36</v>
      </c>
      <c r="S32" s="5" t="s">
        <v>125</v>
      </c>
      <c r="T32" s="6" t="s">
        <v>126</v>
      </c>
      <c r="U32" s="6" t="s">
        <v>149</v>
      </c>
      <c r="V32" s="23">
        <f>0.022*J8+0.97</f>
        <v>0.97</v>
      </c>
      <c r="W32" s="23">
        <f>0.022*J9+0.97</f>
        <v>0.97</v>
      </c>
      <c r="X32" s="23">
        <f>0.022*J10+0.97</f>
        <v>0.97</v>
      </c>
      <c r="Y32" s="23">
        <f>0.022*J11+0.97</f>
        <v>0.97</v>
      </c>
      <c r="Z32" s="23">
        <f>0.022*J12+0.97</f>
        <v>0.97</v>
      </c>
      <c r="AA32" s="23">
        <f>0.022*J13+0.97</f>
        <v>0.97</v>
      </c>
      <c r="AB32" s="23">
        <f>0.022*J14+0.97</f>
        <v>0.97</v>
      </c>
      <c r="AC32" s="23">
        <f>0.022*J15+0.97</f>
        <v>0.97</v>
      </c>
      <c r="AG32" s="83"/>
    </row>
    <row r="33" spans="1:33" hidden="1" x14ac:dyDescent="0.25">
      <c r="A33" s="27"/>
      <c r="C33" s="223" t="s">
        <v>150</v>
      </c>
      <c r="H33" s="5" t="s">
        <v>125</v>
      </c>
      <c r="I33" s="6" t="s">
        <v>131</v>
      </c>
      <c r="J33" s="6" t="s">
        <v>148</v>
      </c>
      <c r="K33" s="22">
        <f>(0.05*$J$8)+1.36</f>
        <v>1.36</v>
      </c>
      <c r="L33" s="22">
        <f>(0.05*$J$9)+1.36</f>
        <v>1.36</v>
      </c>
      <c r="M33" s="22">
        <f>(0.05*$J$10)+1.36</f>
        <v>1.36</v>
      </c>
      <c r="N33" s="22">
        <f>(0.05*$J$11)+1.36</f>
        <v>1.36</v>
      </c>
      <c r="O33" s="22">
        <f>(0.05*$J$12)+1.36</f>
        <v>1.36</v>
      </c>
      <c r="P33" s="22">
        <f>(0.05*$J$13)+1.36</f>
        <v>1.36</v>
      </c>
      <c r="Q33" s="22">
        <f>(0.05*$J$14)+1.36</f>
        <v>1.36</v>
      </c>
      <c r="R33" s="22">
        <f>(0.05*$J$15)+1.36</f>
        <v>1.36</v>
      </c>
      <c r="S33" s="5" t="s">
        <v>125</v>
      </c>
      <c r="T33" s="6" t="s">
        <v>131</v>
      </c>
      <c r="U33" s="6" t="s">
        <v>151</v>
      </c>
      <c r="V33" s="23">
        <f>0.066*J8+0.31</f>
        <v>0.31</v>
      </c>
      <c r="W33" s="23">
        <f>0.066*J9+0.31</f>
        <v>0.31</v>
      </c>
      <c r="X33" s="23">
        <f>0.066*J10+0.31</f>
        <v>0.31</v>
      </c>
      <c r="Y33" s="23">
        <f>0.066*J11+0.31</f>
        <v>0.31</v>
      </c>
      <c r="Z33" s="23">
        <f>0.066*J12+0.31</f>
        <v>0.31</v>
      </c>
      <c r="AA33" s="23">
        <f>0.066*J13+0.31</f>
        <v>0.31</v>
      </c>
      <c r="AB33" s="23">
        <f>0.066*J14+0.31</f>
        <v>0.31</v>
      </c>
      <c r="AC33" s="23">
        <f>0.066*J15+0.31</f>
        <v>0.31</v>
      </c>
      <c r="AG33" s="83"/>
    </row>
    <row r="34" spans="1:33" hidden="1" x14ac:dyDescent="0.25">
      <c r="A34" s="27"/>
      <c r="C34" s="22" t="str">
        <f>IF('Project Summary'!$C$12="", "PY9-PY12", IF('Project Summary'!$C$12&lt;=I30, "PY8", "PY9-PY12"))</f>
        <v>PY9-PY12</v>
      </c>
      <c r="H34" s="5" t="s">
        <v>125</v>
      </c>
      <c r="I34" s="6" t="s">
        <v>133</v>
      </c>
      <c r="J34" s="6" t="s">
        <v>148</v>
      </c>
      <c r="K34" s="22">
        <f>(0.05*$J$8)+1.36</f>
        <v>1.36</v>
      </c>
      <c r="L34" s="22">
        <f>(0.05*$J$9)+1.36</f>
        <v>1.36</v>
      </c>
      <c r="M34" s="22">
        <f>(0.05*$J$10)+1.36</f>
        <v>1.36</v>
      </c>
      <c r="N34" s="22">
        <f>(0.05*$J$11)+1.36</f>
        <v>1.36</v>
      </c>
      <c r="O34" s="22">
        <f>(0.05*$J$12)+1.36</f>
        <v>1.36</v>
      </c>
      <c r="P34" s="22">
        <f>(0.05*$J$13)+1.36</f>
        <v>1.36</v>
      </c>
      <c r="Q34" s="22">
        <f>(0.05*$J$14)+1.36</f>
        <v>1.36</v>
      </c>
      <c r="R34" s="22">
        <f>(0.05*$J$15)+1.36</f>
        <v>1.36</v>
      </c>
      <c r="S34" s="5" t="s">
        <v>125</v>
      </c>
      <c r="T34" s="6" t="s">
        <v>133</v>
      </c>
      <c r="U34" s="6" t="s">
        <v>152</v>
      </c>
      <c r="V34" s="23">
        <f>0.04*J8+1.09</f>
        <v>1.0900000000000001</v>
      </c>
      <c r="W34" s="23">
        <f>0.04*J9+1.09</f>
        <v>1.0900000000000001</v>
      </c>
      <c r="X34" s="23">
        <f>0.04*J10+1.09</f>
        <v>1.0900000000000001</v>
      </c>
      <c r="Y34" s="23">
        <f>0.04*J11+1.09</f>
        <v>1.0900000000000001</v>
      </c>
      <c r="Z34" s="23">
        <f>0.04*J12+1.09</f>
        <v>1.0900000000000001</v>
      </c>
      <c r="AA34" s="23">
        <f>0.04*J13+1.09</f>
        <v>1.0900000000000001</v>
      </c>
      <c r="AB34" s="23">
        <f>0.04*J14+1.09</f>
        <v>1.0900000000000001</v>
      </c>
      <c r="AC34" s="23">
        <f>0.04*J15+1.09</f>
        <v>1.0900000000000001</v>
      </c>
      <c r="AG34" s="83"/>
    </row>
    <row r="35" spans="1:33" hidden="1" x14ac:dyDescent="0.25">
      <c r="A35" s="27"/>
      <c r="C35" s="34"/>
      <c r="H35" s="5" t="s">
        <v>125</v>
      </c>
      <c r="I35" s="6" t="s">
        <v>136</v>
      </c>
      <c r="J35" s="6" t="s">
        <v>148</v>
      </c>
      <c r="K35" s="22">
        <f>(0.05*$J$8)+1.36</f>
        <v>1.36</v>
      </c>
      <c r="L35" s="22">
        <f>(0.05*$J$9)+1.36</f>
        <v>1.36</v>
      </c>
      <c r="M35" s="22">
        <f>(0.05*$J$10)+1.36</f>
        <v>1.36</v>
      </c>
      <c r="N35" s="22">
        <f>(0.05*$J$11)+1.36</f>
        <v>1.36</v>
      </c>
      <c r="O35" s="22">
        <f>(0.05*$J$12)+1.36</f>
        <v>1.36</v>
      </c>
      <c r="P35" s="22">
        <f>(0.05*$J$13)+1.36</f>
        <v>1.36</v>
      </c>
      <c r="Q35" s="22">
        <f>(0.05*$J$14)+1.36</f>
        <v>1.36</v>
      </c>
      <c r="R35" s="22">
        <f>(0.05*$J$15)+1.36</f>
        <v>1.36</v>
      </c>
      <c r="S35" s="5" t="s">
        <v>125</v>
      </c>
      <c r="T35" s="6" t="s">
        <v>136</v>
      </c>
      <c r="U35" s="6" t="s">
        <v>153</v>
      </c>
      <c r="V35" s="23">
        <f>0.024*J8+1.89</f>
        <v>1.89</v>
      </c>
      <c r="W35" s="23">
        <f>0.024*J9+1.89</f>
        <v>1.89</v>
      </c>
      <c r="X35" s="23">
        <f>0.024*J10+1.89</f>
        <v>1.89</v>
      </c>
      <c r="Y35" s="23">
        <f>0.024*J11+1.89</f>
        <v>1.89</v>
      </c>
      <c r="Z35" s="23">
        <f>0.024*J12+1.89</f>
        <v>1.89</v>
      </c>
      <c r="AA35" s="23">
        <f>0.024*J13+1.89</f>
        <v>1.89</v>
      </c>
      <c r="AB35" s="23">
        <f>0.024*J14+1.89</f>
        <v>1.89</v>
      </c>
      <c r="AC35" s="23">
        <f>0.024*J15+1.89</f>
        <v>1.89</v>
      </c>
      <c r="AG35" s="83"/>
    </row>
    <row r="36" spans="1:33" hidden="1" x14ac:dyDescent="0.25">
      <c r="A36" s="27"/>
      <c r="C36" s="34"/>
      <c r="H36" s="5" t="s">
        <v>138</v>
      </c>
      <c r="I36" s="6" t="s">
        <v>126</v>
      </c>
      <c r="J36" s="6" t="s">
        <v>154</v>
      </c>
      <c r="K36" s="22">
        <f>(0.1*$J$8)+0.86</f>
        <v>0.86</v>
      </c>
      <c r="L36" s="22">
        <f>(0.1*$J$9)+0.86</f>
        <v>0.86</v>
      </c>
      <c r="M36" s="22">
        <f>(0.1*$J$10)+0.86</f>
        <v>0.86</v>
      </c>
      <c r="N36" s="22">
        <f>(0.1*$J$11)+0.86</f>
        <v>0.86</v>
      </c>
      <c r="O36" s="22">
        <f>(0.1*$J$12)+0.86</f>
        <v>0.86</v>
      </c>
      <c r="P36" s="22">
        <f>(0.1*$J$13)+0.86</f>
        <v>0.86</v>
      </c>
      <c r="Q36" s="22">
        <f>(0.1*$J$14)+0.86</f>
        <v>0.86</v>
      </c>
      <c r="R36" s="22">
        <f>(0.1*$J$15)+0.86</f>
        <v>0.86</v>
      </c>
      <c r="S36" s="5" t="s">
        <v>138</v>
      </c>
      <c r="T36" s="6" t="s">
        <v>126</v>
      </c>
      <c r="U36" s="6" t="s">
        <v>155</v>
      </c>
      <c r="V36" s="23">
        <f>0.095*J8+0.445</f>
        <v>0.44500000000000001</v>
      </c>
      <c r="W36" s="23">
        <f>0.095*J9+0.445</f>
        <v>0.44500000000000001</v>
      </c>
      <c r="X36" s="23">
        <f>0.095*J10+0.445</f>
        <v>0.44500000000000001</v>
      </c>
      <c r="Y36" s="23">
        <f>0.095*J11+0.445</f>
        <v>0.44500000000000001</v>
      </c>
      <c r="Z36" s="23">
        <f>0.095*J12+0.445</f>
        <v>0.44500000000000001</v>
      </c>
      <c r="AA36" s="23">
        <f>0.095*J13+0.445</f>
        <v>0.44500000000000001</v>
      </c>
      <c r="AB36" s="23">
        <f>0.095*J14+0.445</f>
        <v>0.44500000000000001</v>
      </c>
      <c r="AC36" s="23">
        <f>0.095*J15+0.445</f>
        <v>0.44500000000000001</v>
      </c>
      <c r="AG36" s="83"/>
    </row>
    <row r="37" spans="1:33" hidden="1" x14ac:dyDescent="0.25">
      <c r="A37" s="27"/>
      <c r="C37" s="34"/>
      <c r="H37" s="5" t="s">
        <v>138</v>
      </c>
      <c r="I37" s="6" t="s">
        <v>131</v>
      </c>
      <c r="J37" s="6" t="s">
        <v>154</v>
      </c>
      <c r="K37" s="22">
        <f>(0.1*$J$8)+0.86</f>
        <v>0.86</v>
      </c>
      <c r="L37" s="22">
        <f>(0.1*$J$9)+0.86</f>
        <v>0.86</v>
      </c>
      <c r="M37" s="22">
        <f>(0.1*$J$10)+0.86</f>
        <v>0.86</v>
      </c>
      <c r="N37" s="22">
        <f>(0.1*$J$11)+0.86</f>
        <v>0.86</v>
      </c>
      <c r="O37" s="22">
        <f>(0.1*$J$12)+0.86</f>
        <v>0.86</v>
      </c>
      <c r="P37" s="22">
        <f>(0.1*$J$13)+0.86</f>
        <v>0.86</v>
      </c>
      <c r="Q37" s="22">
        <f>(0.1*$J$14)+0.86</f>
        <v>0.86</v>
      </c>
      <c r="R37" s="22">
        <f>(0.1*$J$15)+0.86</f>
        <v>0.86</v>
      </c>
      <c r="S37" s="5" t="s">
        <v>138</v>
      </c>
      <c r="T37" s="6" t="s">
        <v>131</v>
      </c>
      <c r="U37" s="6" t="s">
        <v>156</v>
      </c>
      <c r="V37" s="23">
        <f>0.05*J8+1.12</f>
        <v>1.1200000000000001</v>
      </c>
      <c r="W37" s="23">
        <f>0.05*J9+1.12</f>
        <v>1.1200000000000001</v>
      </c>
      <c r="X37" s="23">
        <f>0.05*J10+1.12</f>
        <v>1.1200000000000001</v>
      </c>
      <c r="Y37" s="23">
        <f>0.05*J11+1.12</f>
        <v>1.1200000000000001</v>
      </c>
      <c r="Z37" s="23">
        <f>0.05*J12+1.12</f>
        <v>1.1200000000000001</v>
      </c>
      <c r="AA37" s="23">
        <f>0.05*J13+1.12</f>
        <v>1.1200000000000001</v>
      </c>
      <c r="AB37" s="23">
        <f>0.05*J14+1.12</f>
        <v>1.1200000000000001</v>
      </c>
      <c r="AC37" s="23">
        <f>0.05*J15+1.12</f>
        <v>1.1200000000000001</v>
      </c>
      <c r="AG37" s="83"/>
    </row>
    <row r="38" spans="1:33" hidden="1" x14ac:dyDescent="0.25">
      <c r="A38" s="27"/>
      <c r="C38" s="34"/>
      <c r="H38" s="5" t="s">
        <v>138</v>
      </c>
      <c r="I38" s="6" t="s">
        <v>133</v>
      </c>
      <c r="J38" s="6" t="s">
        <v>154</v>
      </c>
      <c r="K38" s="22">
        <f>(0.1*$J$8)+0.86</f>
        <v>0.86</v>
      </c>
      <c r="L38" s="22">
        <f>(0.1*$J$9)+0.86</f>
        <v>0.86</v>
      </c>
      <c r="M38" s="22">
        <f>(0.1*$J$10)+0.86</f>
        <v>0.86</v>
      </c>
      <c r="N38" s="22">
        <f>(0.1*$J$11)+0.86</f>
        <v>0.86</v>
      </c>
      <c r="O38" s="22">
        <f>(0.1*$J$12)+0.86</f>
        <v>0.86</v>
      </c>
      <c r="P38" s="22">
        <f>(0.1*$J$13)+0.86</f>
        <v>0.86</v>
      </c>
      <c r="Q38" s="22">
        <f>(0.1*$J$14)+0.86</f>
        <v>0.86</v>
      </c>
      <c r="R38" s="22">
        <f>(0.1*$J$15)+0.86</f>
        <v>0.86</v>
      </c>
      <c r="S38" s="5" t="s">
        <v>138</v>
      </c>
      <c r="T38" s="6" t="s">
        <v>133</v>
      </c>
      <c r="U38" s="6" t="s">
        <v>157</v>
      </c>
      <c r="V38" s="23">
        <f>0.076*J8+0.34</f>
        <v>0.34</v>
      </c>
      <c r="W38" s="23">
        <f>0.076*J9+0.34</f>
        <v>0.34</v>
      </c>
      <c r="X38" s="23">
        <f>0.076*J10+0.34</f>
        <v>0.34</v>
      </c>
      <c r="Y38" s="23">
        <f>0.076*J11+0.34</f>
        <v>0.34</v>
      </c>
      <c r="Z38" s="23">
        <f>0.076*J12+0.34</f>
        <v>0.34</v>
      </c>
      <c r="AA38" s="23">
        <f>0.076*J13+0.34</f>
        <v>0.34</v>
      </c>
      <c r="AB38" s="23">
        <f>0.076*J14+0.34</f>
        <v>0.34</v>
      </c>
      <c r="AC38" s="23">
        <f>0.076*J15+0.34</f>
        <v>0.34</v>
      </c>
      <c r="AG38" s="83"/>
    </row>
    <row r="39" spans="1:33" hidden="1" x14ac:dyDescent="0.25">
      <c r="A39" s="27"/>
      <c r="C39" s="34"/>
      <c r="H39" s="5" t="s">
        <v>138</v>
      </c>
      <c r="I39" s="6" t="s">
        <v>136</v>
      </c>
      <c r="J39" s="6" t="s">
        <v>154</v>
      </c>
      <c r="K39" s="22">
        <f>(0.1*$J$8)+0.86</f>
        <v>0.86</v>
      </c>
      <c r="L39" s="22">
        <f>(0.1*$J$9)+0.86</f>
        <v>0.86</v>
      </c>
      <c r="M39" s="22">
        <f>(0.1*$J$10)+0.86</f>
        <v>0.86</v>
      </c>
      <c r="N39" s="22">
        <f>(0.1*$J$11)+0.86</f>
        <v>0.86</v>
      </c>
      <c r="O39" s="22">
        <f>(0.1*$J$12)+0.86</f>
        <v>0.86</v>
      </c>
      <c r="P39" s="22">
        <f>(0.1*$J$13)+0.86</f>
        <v>0.86</v>
      </c>
      <c r="Q39" s="22">
        <f>(0.1*$J$14)+0.86</f>
        <v>0.86</v>
      </c>
      <c r="R39" s="22">
        <f>(0.1*$J$15)+0.86</f>
        <v>0.86</v>
      </c>
      <c r="S39" s="5" t="s">
        <v>138</v>
      </c>
      <c r="T39" s="6" t="s">
        <v>136</v>
      </c>
      <c r="U39" s="6" t="s">
        <v>158</v>
      </c>
      <c r="V39" s="23">
        <f>(0.105*J8)-1.111</f>
        <v>-1.111</v>
      </c>
      <c r="W39" s="23">
        <f>(0.105*J9)-1.111</f>
        <v>-1.111</v>
      </c>
      <c r="X39" s="23">
        <f>(0.105*J10)-1.111</f>
        <v>-1.111</v>
      </c>
      <c r="Y39" s="23">
        <f>(0.105*J11)-1.111</f>
        <v>-1.111</v>
      </c>
      <c r="Z39" s="23">
        <f>(0.105*J12)-1.111</f>
        <v>-1.111</v>
      </c>
      <c r="AA39" s="23">
        <f>(0.105*J13)-1.111</f>
        <v>-1.111</v>
      </c>
      <c r="AB39" s="23">
        <f>(0.105*J14)-1.111</f>
        <v>-1.111</v>
      </c>
      <c r="AC39" s="23">
        <f>(0.105*J15)-1.111</f>
        <v>-1.111</v>
      </c>
      <c r="AG39" s="83"/>
    </row>
    <row r="40" spans="1:33" hidden="1" x14ac:dyDescent="0.25">
      <c r="A40" s="27"/>
      <c r="C40" s="34"/>
      <c r="H40" s="219"/>
      <c r="I40" s="33"/>
      <c r="J40" s="33"/>
      <c r="K40" s="35"/>
      <c r="L40" s="35"/>
      <c r="M40" s="35"/>
      <c r="N40" s="35"/>
      <c r="O40" s="35"/>
      <c r="P40" s="35"/>
      <c r="Q40" s="35"/>
      <c r="R40" s="35"/>
      <c r="S40" s="219"/>
      <c r="T40" s="33"/>
      <c r="U40" s="33"/>
      <c r="V40" s="126"/>
      <c r="W40" s="126"/>
      <c r="X40" s="126"/>
      <c r="Y40" s="126"/>
      <c r="Z40" s="126"/>
      <c r="AA40" s="126"/>
      <c r="AB40" s="126"/>
      <c r="AC40" s="126"/>
      <c r="AG40" s="83"/>
    </row>
    <row r="41" spans="1:33" hidden="1" x14ac:dyDescent="0.25">
      <c r="A41" s="27"/>
      <c r="C41" s="34"/>
      <c r="H41" s="135" t="s">
        <v>159</v>
      </c>
      <c r="I41" s="136">
        <v>44348</v>
      </c>
      <c r="J41" s="248"/>
      <c r="K41" s="248"/>
      <c r="L41" s="248"/>
      <c r="M41" s="248"/>
      <c r="N41" s="248"/>
      <c r="O41" s="248"/>
      <c r="P41" s="248"/>
      <c r="Q41" s="248"/>
      <c r="R41" s="249"/>
      <c r="S41" s="135" t="s">
        <v>119</v>
      </c>
      <c r="T41" s="248"/>
      <c r="U41" s="248"/>
      <c r="V41" s="248"/>
      <c r="W41" s="248"/>
      <c r="X41" s="248"/>
      <c r="Y41" s="248"/>
      <c r="Z41" s="248"/>
      <c r="AA41" s="248"/>
      <c r="AB41" s="248"/>
      <c r="AC41" s="249"/>
      <c r="AG41" s="83"/>
    </row>
    <row r="42" spans="1:33" ht="30" hidden="1" x14ac:dyDescent="0.25">
      <c r="A42" s="27"/>
      <c r="C42" s="34"/>
      <c r="H42" s="221" t="s">
        <v>120</v>
      </c>
      <c r="I42" s="222" t="s">
        <v>121</v>
      </c>
      <c r="J42" s="221" t="s">
        <v>122</v>
      </c>
      <c r="K42" s="222">
        <v>1</v>
      </c>
      <c r="L42" s="222">
        <v>2</v>
      </c>
      <c r="M42" s="222">
        <v>3</v>
      </c>
      <c r="N42" s="222">
        <v>4</v>
      </c>
      <c r="O42" s="222">
        <v>5</v>
      </c>
      <c r="P42" s="222">
        <v>6</v>
      </c>
      <c r="Q42" s="222">
        <v>7</v>
      </c>
      <c r="R42" s="222">
        <v>8</v>
      </c>
      <c r="S42" s="221" t="s">
        <v>120</v>
      </c>
      <c r="T42" s="222" t="s">
        <v>121</v>
      </c>
      <c r="U42" s="221" t="s">
        <v>123</v>
      </c>
      <c r="V42" s="222">
        <v>1</v>
      </c>
      <c r="W42" s="222">
        <v>2</v>
      </c>
      <c r="X42" s="222">
        <v>3</v>
      </c>
      <c r="Y42" s="222">
        <v>4</v>
      </c>
      <c r="Z42" s="222">
        <v>5</v>
      </c>
      <c r="AA42" s="222">
        <v>6</v>
      </c>
      <c r="AB42" s="222">
        <v>7</v>
      </c>
      <c r="AC42" s="222">
        <v>8</v>
      </c>
      <c r="AG42" s="83"/>
    </row>
    <row r="43" spans="1:33" hidden="1" x14ac:dyDescent="0.25">
      <c r="A43" s="27"/>
      <c r="C43" s="34"/>
      <c r="H43" s="5" t="s">
        <v>125</v>
      </c>
      <c r="I43" s="6" t="s">
        <v>126</v>
      </c>
      <c r="J43" s="6" t="s">
        <v>148</v>
      </c>
      <c r="K43" s="22">
        <f>(0.05*$J$8)+1.36</f>
        <v>1.36</v>
      </c>
      <c r="L43" s="22">
        <f>(0.05*$J$9)+1.36</f>
        <v>1.36</v>
      </c>
      <c r="M43" s="22">
        <f>(0.05*$J$10)+1.36</f>
        <v>1.36</v>
      </c>
      <c r="N43" s="22">
        <f>(0.05*$J$11)+1.36</f>
        <v>1.36</v>
      </c>
      <c r="O43" s="22">
        <f>(0.05*$J$12)+1.36</f>
        <v>1.36</v>
      </c>
      <c r="P43" s="22">
        <f>(0.05*$J$13)+1.36</f>
        <v>1.36</v>
      </c>
      <c r="Q43" s="22">
        <f>(0.05*$J$14)+1.36</f>
        <v>1.36</v>
      </c>
      <c r="R43" s="22">
        <f>(0.05*$J$15)+1.36</f>
        <v>1.36</v>
      </c>
      <c r="S43" s="5" t="s">
        <v>125</v>
      </c>
      <c r="T43" s="6" t="s">
        <v>126</v>
      </c>
      <c r="U43" s="6" t="s">
        <v>149</v>
      </c>
      <c r="V43" s="23">
        <f>0.022*J8+0.97</f>
        <v>0.97</v>
      </c>
      <c r="W43" s="23">
        <f>0.022*J9+0.97</f>
        <v>0.97</v>
      </c>
      <c r="X43" s="23">
        <f>0.022*J10+0.97</f>
        <v>0.97</v>
      </c>
      <c r="Y43" s="23">
        <f>0.022*J11+0.97</f>
        <v>0.97</v>
      </c>
      <c r="Z43" s="23">
        <f>0.022*J12+0.97</f>
        <v>0.97</v>
      </c>
      <c r="AA43" s="23">
        <f>0.022*J13+0.97</f>
        <v>0.97</v>
      </c>
      <c r="AB43" s="23">
        <f>0.022*J14+0.97</f>
        <v>0.97</v>
      </c>
      <c r="AC43" s="23">
        <f>0.022*J15+0.97</f>
        <v>0.97</v>
      </c>
      <c r="AG43" s="83"/>
    </row>
    <row r="44" spans="1:33" hidden="1" x14ac:dyDescent="0.25">
      <c r="A44" s="27"/>
      <c r="C44" s="34"/>
      <c r="H44" s="5" t="s">
        <v>125</v>
      </c>
      <c r="I44" s="6" t="s">
        <v>131</v>
      </c>
      <c r="J44" s="6" t="s">
        <v>148</v>
      </c>
      <c r="K44" s="22">
        <f>(0.05*$J$8)+1.36</f>
        <v>1.36</v>
      </c>
      <c r="L44" s="22">
        <f>(0.05*$J$9)+1.36</f>
        <v>1.36</v>
      </c>
      <c r="M44" s="22">
        <f>(0.05*$J$10)+1.36</f>
        <v>1.36</v>
      </c>
      <c r="N44" s="22">
        <f>(0.05*$J$11)+1.36</f>
        <v>1.36</v>
      </c>
      <c r="O44" s="22">
        <f>(0.05*$J$12)+1.36</f>
        <v>1.36</v>
      </c>
      <c r="P44" s="22">
        <f>(0.05*$J$13)+1.36</f>
        <v>1.36</v>
      </c>
      <c r="Q44" s="22">
        <f>(0.05*$J$14)+1.36</f>
        <v>1.36</v>
      </c>
      <c r="R44" s="22">
        <f>(0.05*$J$15)+1.36</f>
        <v>1.36</v>
      </c>
      <c r="S44" s="5" t="s">
        <v>125</v>
      </c>
      <c r="T44" s="6" t="s">
        <v>131</v>
      </c>
      <c r="U44" s="6" t="s">
        <v>151</v>
      </c>
      <c r="V44" s="23">
        <f>0.066*J8+0.31</f>
        <v>0.31</v>
      </c>
      <c r="W44" s="23">
        <f>0.066*J9+0.31</f>
        <v>0.31</v>
      </c>
      <c r="X44" s="23">
        <f>0.066*J10+0.31</f>
        <v>0.31</v>
      </c>
      <c r="Y44" s="23">
        <f>0.066*J11+0.31</f>
        <v>0.31</v>
      </c>
      <c r="Z44" s="23">
        <f>0.066*J12+0.31</f>
        <v>0.31</v>
      </c>
      <c r="AA44" s="23">
        <f>0.066*J13+0.31</f>
        <v>0.31</v>
      </c>
      <c r="AB44" s="23">
        <f>0.066*J14+0.31</f>
        <v>0.31</v>
      </c>
      <c r="AC44" s="23">
        <f>0.066*J15+0.31</f>
        <v>0.31</v>
      </c>
      <c r="AG44" s="83"/>
    </row>
    <row r="45" spans="1:33" hidden="1" x14ac:dyDescent="0.25">
      <c r="A45" s="27"/>
      <c r="C45" s="34"/>
      <c r="H45" s="5" t="s">
        <v>125</v>
      </c>
      <c r="I45" s="6" t="s">
        <v>133</v>
      </c>
      <c r="J45" s="6" t="s">
        <v>148</v>
      </c>
      <c r="K45" s="22">
        <f>(0.05*$J$8)+1.36</f>
        <v>1.36</v>
      </c>
      <c r="L45" s="22">
        <f>(0.05*$J$9)+1.36</f>
        <v>1.36</v>
      </c>
      <c r="M45" s="22">
        <f>(0.05*$J$10)+1.36</f>
        <v>1.36</v>
      </c>
      <c r="N45" s="22">
        <f>(0.05*$J$11)+1.36</f>
        <v>1.36</v>
      </c>
      <c r="O45" s="22">
        <f>(0.05*$J$12)+1.36</f>
        <v>1.36</v>
      </c>
      <c r="P45" s="22">
        <f>(0.05*$J$13)+1.36</f>
        <v>1.36</v>
      </c>
      <c r="Q45" s="22">
        <f>(0.05*$J$14)+1.36</f>
        <v>1.36</v>
      </c>
      <c r="R45" s="22">
        <f>(0.05*$J$15)+1.36</f>
        <v>1.36</v>
      </c>
      <c r="S45" s="5" t="s">
        <v>125</v>
      </c>
      <c r="T45" s="6" t="s">
        <v>133</v>
      </c>
      <c r="U45" s="6" t="s">
        <v>152</v>
      </c>
      <c r="V45" s="23">
        <f>0.04*J8+1.09</f>
        <v>1.0900000000000001</v>
      </c>
      <c r="W45" s="23">
        <f>0.04*J9+1.09</f>
        <v>1.0900000000000001</v>
      </c>
      <c r="X45" s="23">
        <f>0.04*J10+1.09</f>
        <v>1.0900000000000001</v>
      </c>
      <c r="Y45" s="23">
        <f>0.04*J11+1.09</f>
        <v>1.0900000000000001</v>
      </c>
      <c r="Z45" s="23">
        <f>0.04*J12+1.09</f>
        <v>1.0900000000000001</v>
      </c>
      <c r="AA45" s="23">
        <f>0.04*J13+1.09</f>
        <v>1.0900000000000001</v>
      </c>
      <c r="AB45" s="23">
        <f>0.04*J14+1.09</f>
        <v>1.0900000000000001</v>
      </c>
      <c r="AC45" s="23">
        <f>0.04*J15+1.09</f>
        <v>1.0900000000000001</v>
      </c>
      <c r="AG45" s="83"/>
    </row>
    <row r="46" spans="1:33" hidden="1" x14ac:dyDescent="0.25">
      <c r="A46" s="27"/>
      <c r="C46" s="34"/>
      <c r="H46" s="5" t="s">
        <v>125</v>
      </c>
      <c r="I46" s="6" t="s">
        <v>136</v>
      </c>
      <c r="J46" s="6" t="s">
        <v>148</v>
      </c>
      <c r="K46" s="22">
        <f>(0.05*$J$8)+1.36</f>
        <v>1.36</v>
      </c>
      <c r="L46" s="22">
        <f>(0.05*$J$9)+1.36</f>
        <v>1.36</v>
      </c>
      <c r="M46" s="22">
        <f>(0.05*$J$10)+1.36</f>
        <v>1.36</v>
      </c>
      <c r="N46" s="22">
        <f>(0.05*$J$11)+1.36</f>
        <v>1.36</v>
      </c>
      <c r="O46" s="22">
        <f>(0.05*$J$12)+1.36</f>
        <v>1.36</v>
      </c>
      <c r="P46" s="22">
        <f>(0.05*$J$13)+1.36</f>
        <v>1.36</v>
      </c>
      <c r="Q46" s="22">
        <f>(0.05*$J$14)+1.36</f>
        <v>1.36</v>
      </c>
      <c r="R46" s="22">
        <f>(0.05*$J$15)+1.36</f>
        <v>1.36</v>
      </c>
      <c r="S46" s="5" t="s">
        <v>125</v>
      </c>
      <c r="T46" s="6" t="s">
        <v>136</v>
      </c>
      <c r="U46" s="6" t="s">
        <v>153</v>
      </c>
      <c r="V46" s="23">
        <f>0.024*J8+1.89</f>
        <v>1.89</v>
      </c>
      <c r="W46" s="23">
        <f>0.024*J9+1.89</f>
        <v>1.89</v>
      </c>
      <c r="X46" s="23">
        <f>0.024*J10+1.89</f>
        <v>1.89</v>
      </c>
      <c r="Y46" s="23">
        <f>0.024*J11+1.89</f>
        <v>1.89</v>
      </c>
      <c r="Z46" s="23">
        <f>0.024*J12+1.89</f>
        <v>1.89</v>
      </c>
      <c r="AA46" s="23">
        <f>0.024*J13+1.89</f>
        <v>1.89</v>
      </c>
      <c r="AB46" s="23">
        <f>0.024*J14+1.89</f>
        <v>1.89</v>
      </c>
      <c r="AC46" s="23">
        <f>0.024*J15+1.89</f>
        <v>1.89</v>
      </c>
      <c r="AG46" s="83"/>
    </row>
    <row r="47" spans="1:33" hidden="1" x14ac:dyDescent="0.25">
      <c r="A47" s="27"/>
      <c r="C47" s="34"/>
      <c r="H47" s="5" t="s">
        <v>138</v>
      </c>
      <c r="I47" s="6" t="s">
        <v>126</v>
      </c>
      <c r="J47" s="6" t="s">
        <v>154</v>
      </c>
      <c r="K47" s="22">
        <f>(0.1*$J$8)+0.86</f>
        <v>0.86</v>
      </c>
      <c r="L47" s="22">
        <f>(0.1*$J$9)+0.86</f>
        <v>0.86</v>
      </c>
      <c r="M47" s="22">
        <f>(0.1*$J$10)+0.86</f>
        <v>0.86</v>
      </c>
      <c r="N47" s="22">
        <f>(0.1*$J$11)+0.86</f>
        <v>0.86</v>
      </c>
      <c r="O47" s="22">
        <f>(0.1*$J$12)+0.86</f>
        <v>0.86</v>
      </c>
      <c r="P47" s="22">
        <f>(0.1*$J$13)+0.86</f>
        <v>0.86</v>
      </c>
      <c r="Q47" s="22">
        <f>(0.1*$J$14)+0.86</f>
        <v>0.86</v>
      </c>
      <c r="R47" s="22">
        <f>(0.1*$J$15)+0.86</f>
        <v>0.86</v>
      </c>
      <c r="S47" s="5" t="s">
        <v>138</v>
      </c>
      <c r="T47" s="6" t="s">
        <v>126</v>
      </c>
      <c r="U47" s="6" t="s">
        <v>155</v>
      </c>
      <c r="V47" s="23">
        <f>0.095*J8+0.445</f>
        <v>0.44500000000000001</v>
      </c>
      <c r="W47" s="23">
        <f>0.095*J9+0.445</f>
        <v>0.44500000000000001</v>
      </c>
      <c r="X47" s="23">
        <f>0.095*J10+0.445</f>
        <v>0.44500000000000001</v>
      </c>
      <c r="Y47" s="23">
        <f>0.095*J11+0.445</f>
        <v>0.44500000000000001</v>
      </c>
      <c r="Z47" s="23">
        <f>0.095*J12+0.445</f>
        <v>0.44500000000000001</v>
      </c>
      <c r="AA47" s="23">
        <f>0.095*J13+0.445</f>
        <v>0.44500000000000001</v>
      </c>
      <c r="AB47" s="23">
        <f>0.095*J14+0.445</f>
        <v>0.44500000000000001</v>
      </c>
      <c r="AC47" s="23">
        <f>0.095*J15+0.445</f>
        <v>0.44500000000000001</v>
      </c>
      <c r="AG47" s="83"/>
    </row>
    <row r="48" spans="1:33" hidden="1" x14ac:dyDescent="0.25">
      <c r="A48" s="27"/>
      <c r="C48" s="34"/>
      <c r="H48" s="5" t="s">
        <v>138</v>
      </c>
      <c r="I48" s="6" t="s">
        <v>131</v>
      </c>
      <c r="J48" s="6" t="s">
        <v>154</v>
      </c>
      <c r="K48" s="22">
        <f>(0.1*$J$8)+0.86</f>
        <v>0.86</v>
      </c>
      <c r="L48" s="22">
        <f>(0.1*$J$9)+0.86</f>
        <v>0.86</v>
      </c>
      <c r="M48" s="22">
        <f>(0.1*$J$10)+0.86</f>
        <v>0.86</v>
      </c>
      <c r="N48" s="22">
        <f>(0.1*$J$11)+0.86</f>
        <v>0.86</v>
      </c>
      <c r="O48" s="22">
        <f>(0.1*$J$12)+0.86</f>
        <v>0.86</v>
      </c>
      <c r="P48" s="22">
        <f>(0.1*$J$13)+0.86</f>
        <v>0.86</v>
      </c>
      <c r="Q48" s="22">
        <f>(0.1*$J$14)+0.86</f>
        <v>0.86</v>
      </c>
      <c r="R48" s="22">
        <f>(0.1*$J$15)+0.86</f>
        <v>0.86</v>
      </c>
      <c r="S48" s="5" t="s">
        <v>138</v>
      </c>
      <c r="T48" s="6" t="s">
        <v>131</v>
      </c>
      <c r="U48" s="6" t="s">
        <v>156</v>
      </c>
      <c r="V48" s="23">
        <f>0.05*J8+1.12</f>
        <v>1.1200000000000001</v>
      </c>
      <c r="W48" s="23">
        <f>0.05*J9+1.12</f>
        <v>1.1200000000000001</v>
      </c>
      <c r="X48" s="23">
        <f>0.05*J10+1.12</f>
        <v>1.1200000000000001</v>
      </c>
      <c r="Y48" s="23">
        <f>0.05*J11+1.12</f>
        <v>1.1200000000000001</v>
      </c>
      <c r="Z48" s="23">
        <f>0.05*J12+1.12</f>
        <v>1.1200000000000001</v>
      </c>
      <c r="AA48" s="23">
        <f>0.05*J13+1.12</f>
        <v>1.1200000000000001</v>
      </c>
      <c r="AB48" s="23">
        <f>0.05*J14+1.12</f>
        <v>1.1200000000000001</v>
      </c>
      <c r="AC48" s="23">
        <f>0.05*J15+1.12</f>
        <v>1.1200000000000001</v>
      </c>
      <c r="AG48" s="83"/>
    </row>
    <row r="49" spans="1:33" hidden="1" x14ac:dyDescent="0.25">
      <c r="A49" s="27"/>
      <c r="C49" s="34"/>
      <c r="H49" s="5" t="s">
        <v>138</v>
      </c>
      <c r="I49" s="6" t="s">
        <v>133</v>
      </c>
      <c r="J49" s="6" t="s">
        <v>154</v>
      </c>
      <c r="K49" s="22">
        <f>(0.1*$J$8)+0.86</f>
        <v>0.86</v>
      </c>
      <c r="L49" s="22">
        <f>(0.1*$J$9)+0.86</f>
        <v>0.86</v>
      </c>
      <c r="M49" s="22">
        <f>(0.1*$J$10)+0.86</f>
        <v>0.86</v>
      </c>
      <c r="N49" s="22">
        <f>(0.1*$J$11)+0.86</f>
        <v>0.86</v>
      </c>
      <c r="O49" s="22">
        <f>(0.1*$J$12)+0.86</f>
        <v>0.86</v>
      </c>
      <c r="P49" s="22">
        <f>(0.1*$J$13)+0.86</f>
        <v>0.86</v>
      </c>
      <c r="Q49" s="22">
        <f>(0.1*$J$14)+0.86</f>
        <v>0.86</v>
      </c>
      <c r="R49" s="22">
        <f>(0.1*$J$15)+0.86</f>
        <v>0.86</v>
      </c>
      <c r="S49" s="5" t="s">
        <v>138</v>
      </c>
      <c r="T49" s="6" t="s">
        <v>133</v>
      </c>
      <c r="U49" s="6" t="s">
        <v>157</v>
      </c>
      <c r="V49" s="23">
        <f>0.076*J8+0.34</f>
        <v>0.34</v>
      </c>
      <c r="W49" s="23">
        <f>0.076*J9+0.34</f>
        <v>0.34</v>
      </c>
      <c r="X49" s="23">
        <f>0.076*J10+0.34</f>
        <v>0.34</v>
      </c>
      <c r="Y49" s="23">
        <f>0.076*J11+0.34</f>
        <v>0.34</v>
      </c>
      <c r="Z49" s="23">
        <f>0.076*J12+0.34</f>
        <v>0.34</v>
      </c>
      <c r="AA49" s="23">
        <f>0.076*J13+0.34</f>
        <v>0.34</v>
      </c>
      <c r="AB49" s="23">
        <f>0.076*J14+0.34</f>
        <v>0.34</v>
      </c>
      <c r="AC49" s="23">
        <f>0.076*J15+0.34</f>
        <v>0.34</v>
      </c>
      <c r="AG49" s="83"/>
    </row>
    <row r="50" spans="1:33" hidden="1" x14ac:dyDescent="0.25">
      <c r="A50" s="27"/>
      <c r="C50" s="34"/>
      <c r="H50" s="5" t="s">
        <v>138</v>
      </c>
      <c r="I50" s="6" t="s">
        <v>136</v>
      </c>
      <c r="J50" s="6" t="s">
        <v>154</v>
      </c>
      <c r="K50" s="22">
        <f>(0.1*$J$8)+0.86</f>
        <v>0.86</v>
      </c>
      <c r="L50" s="22">
        <f>(0.1*$J$9)+0.86</f>
        <v>0.86</v>
      </c>
      <c r="M50" s="22">
        <f>(0.1*$J$10)+0.86</f>
        <v>0.86</v>
      </c>
      <c r="N50" s="22">
        <f>(0.1*$J$11)+0.86</f>
        <v>0.86</v>
      </c>
      <c r="O50" s="22">
        <f>(0.1*$J$12)+0.86</f>
        <v>0.86</v>
      </c>
      <c r="P50" s="22">
        <f>(0.1*$J$13)+0.86</f>
        <v>0.86</v>
      </c>
      <c r="Q50" s="22">
        <f>(0.1*$J$14)+0.86</f>
        <v>0.86</v>
      </c>
      <c r="R50" s="22">
        <f>(0.1*$J$15)+0.86</f>
        <v>0.86</v>
      </c>
      <c r="S50" s="5" t="s">
        <v>138</v>
      </c>
      <c r="T50" s="6" t="s">
        <v>136</v>
      </c>
      <c r="U50" s="6" t="s">
        <v>158</v>
      </c>
      <c r="V50" s="23">
        <f>(0.105*J8)-1.111</f>
        <v>-1.111</v>
      </c>
      <c r="W50" s="23">
        <f>(0.105*J9)-1.111</f>
        <v>-1.111</v>
      </c>
      <c r="X50" s="23">
        <f>(0.105*J10)-1.111</f>
        <v>-1.111</v>
      </c>
      <c r="Y50" s="23">
        <f>(0.105*J11)-1.111</f>
        <v>-1.111</v>
      </c>
      <c r="Z50" s="23">
        <f>(0.105*J12)-1.111</f>
        <v>-1.111</v>
      </c>
      <c r="AA50" s="23">
        <f>(0.105*J13)-1.111</f>
        <v>-1.111</v>
      </c>
      <c r="AB50" s="23">
        <f>(0.105*J14)-1.111</f>
        <v>-1.111</v>
      </c>
      <c r="AC50" s="23">
        <f>(0.105*J15)-1.111</f>
        <v>-1.111</v>
      </c>
      <c r="AG50" s="83"/>
    </row>
    <row r="51" spans="1:33" hidden="1" x14ac:dyDescent="0.25">
      <c r="A51" s="27"/>
      <c r="AG51" s="83"/>
    </row>
    <row r="52" spans="1:33" s="82" customFormat="1"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row>
    <row r="53" spans="1:33" s="82" customFormat="1" x14ac:dyDescent="0.2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row>
    <row r="54" spans="1:33" s="82" customFormat="1" x14ac:dyDescent="0.25"/>
    <row r="55" spans="1:33" s="82" customFormat="1" x14ac:dyDescent="0.25"/>
    <row r="56" spans="1:33" s="82" customFormat="1" x14ac:dyDescent="0.25"/>
    <row r="57" spans="1:33" s="82" customFormat="1" x14ac:dyDescent="0.25"/>
    <row r="58" spans="1:33" s="82" customFormat="1" x14ac:dyDescent="0.25"/>
    <row r="59" spans="1:33" s="82" customFormat="1" x14ac:dyDescent="0.25"/>
    <row r="60" spans="1:33" s="82" customFormat="1" x14ac:dyDescent="0.25"/>
    <row r="61" spans="1:33" s="82" customFormat="1" x14ac:dyDescent="0.25"/>
    <row r="62" spans="1:33" s="82" customFormat="1" x14ac:dyDescent="0.25"/>
    <row r="63" spans="1:33" s="82" customFormat="1" x14ac:dyDescent="0.25"/>
    <row r="64" spans="1:33"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sheetData>
  <sheetProtection algorithmName="SHA-512" hashValue="N/m1UScvXoRO9Og4acyKHym51J/g20LU5M42DG6Rtz9zEyWdFsFg7W45N3a/KDhZkydFl9fivSBKu+kItWzr5w==" saltValue="uijH6TAYe6C+q7EDBoKO4Q==" spinCount="100000" sheet="1" selectLockedCells="1"/>
  <mergeCells count="4">
    <mergeCell ref="B3:C3"/>
    <mergeCell ref="C18:AD18"/>
    <mergeCell ref="B2:S2"/>
    <mergeCell ref="D3:J4"/>
  </mergeCells>
  <dataValidations count="2">
    <dataValidation type="list" allowBlank="1" showInputMessage="1" showErrorMessage="1" sqref="D8:D15" xr:uid="{00000000-0002-0000-0200-000000000000}">
      <formula1>$C$21:$C$22</formula1>
    </dataValidation>
    <dataValidation type="list" allowBlank="1" showInputMessage="1" showErrorMessage="1" sqref="I8:I15" xr:uid="{00000000-0002-0000-0200-000001000000}">
      <formula1>$H$24:$H$25</formula1>
    </dataValidation>
  </dataValidations>
  <hyperlinks>
    <hyperlink ref="B3" location="'Calculator Index'!A1" display="Return to Index" xr:uid="{00000000-0004-0000-0200-000000000000}"/>
    <hyperlink ref="B3:C3" location="'Project Summary'!A1" display="Return to Project Summary" xr:uid="{00000000-0004-0000-0200-000001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Z977"/>
  <sheetViews>
    <sheetView zoomScale="90" zoomScaleNormal="90" workbookViewId="0">
      <selection activeCell="B3" sqref="B3:C3"/>
    </sheetView>
  </sheetViews>
  <sheetFormatPr defaultRowHeight="15" x14ac:dyDescent="0.25"/>
  <cols>
    <col min="1" max="1" width="3.7109375" customWidth="1"/>
    <col min="2" max="2" width="5" customWidth="1"/>
    <col min="3" max="3" width="23.85546875" customWidth="1"/>
    <col min="4" max="4" width="18.85546875" customWidth="1"/>
    <col min="5" max="5" width="18.85546875" hidden="1" customWidth="1"/>
    <col min="6" max="6" width="20" customWidth="1"/>
    <col min="7" max="8" width="22.42578125" customWidth="1"/>
    <col min="9" max="9" width="12.7109375" customWidth="1"/>
    <col min="10" max="10" width="19.5703125" customWidth="1"/>
    <col min="11" max="11" width="10.85546875" customWidth="1"/>
    <col min="12" max="12" width="11.28515625" hidden="1" customWidth="1"/>
    <col min="13" max="14" width="13.7109375" hidden="1" customWidth="1"/>
    <col min="15" max="15" width="9" hidden="1" customWidth="1"/>
    <col min="16" max="16" width="15.42578125" hidden="1" customWidth="1"/>
    <col min="17" max="18" width="16.140625" customWidth="1"/>
    <col min="19" max="19" width="15" customWidth="1"/>
    <col min="20" max="20" width="15" hidden="1" customWidth="1"/>
    <col min="21" max="21" width="31.85546875" hidden="1" customWidth="1"/>
    <col min="22" max="22" width="16" hidden="1" customWidth="1"/>
    <col min="23" max="30" width="10.28515625" hidden="1" customWidth="1"/>
    <col min="31" max="31" width="6.5703125" customWidth="1"/>
    <col min="32" max="208" width="9.140625" style="82"/>
  </cols>
  <sheetData>
    <row r="1" spans="1:31" ht="19.5" customHeight="1" x14ac:dyDescent="0.25">
      <c r="A1" s="38"/>
      <c r="B1" s="38"/>
      <c r="C1" s="38"/>
      <c r="D1" s="38"/>
      <c r="E1" s="38"/>
      <c r="F1" s="38"/>
      <c r="G1" s="38"/>
      <c r="H1" s="38"/>
      <c r="I1" s="38"/>
      <c r="J1" s="38"/>
      <c r="K1" s="38"/>
      <c r="L1" s="27"/>
      <c r="M1" s="27"/>
      <c r="N1" s="27"/>
      <c r="O1" s="27"/>
      <c r="P1" s="27"/>
      <c r="Q1" s="38"/>
      <c r="R1" s="38"/>
      <c r="S1" s="38"/>
      <c r="T1" s="27" t="s">
        <v>76</v>
      </c>
      <c r="U1" s="27" t="s">
        <v>77</v>
      </c>
      <c r="V1" s="27"/>
      <c r="W1" s="27"/>
      <c r="X1" s="27"/>
      <c r="Y1" s="27"/>
      <c r="Z1" s="27"/>
      <c r="AA1" s="27"/>
      <c r="AB1" s="27"/>
      <c r="AC1" s="27"/>
      <c r="AD1" s="27"/>
      <c r="AE1" s="83"/>
    </row>
    <row r="2" spans="1:31" ht="27" customHeight="1" x14ac:dyDescent="0.25">
      <c r="A2" s="38"/>
      <c r="B2" s="510" t="s">
        <v>160</v>
      </c>
      <c r="C2" s="511"/>
      <c r="D2" s="511"/>
      <c r="E2" s="511"/>
      <c r="F2" s="511"/>
      <c r="G2" s="511"/>
      <c r="H2" s="511"/>
      <c r="I2" s="511"/>
      <c r="J2" s="511"/>
      <c r="K2" s="511"/>
      <c r="L2" s="511"/>
      <c r="M2" s="511"/>
      <c r="N2" s="511"/>
      <c r="O2" s="511"/>
      <c r="P2" s="511"/>
      <c r="Q2" s="511"/>
      <c r="R2" s="511"/>
      <c r="S2" s="512"/>
      <c r="T2" s="27"/>
      <c r="U2" s="27"/>
      <c r="V2" s="27"/>
      <c r="W2" s="27"/>
      <c r="X2" s="27"/>
      <c r="Y2" s="27"/>
      <c r="Z2" s="27"/>
      <c r="AA2" s="27"/>
      <c r="AB2" s="27"/>
      <c r="AC2" s="27"/>
      <c r="AD2" s="27"/>
      <c r="AE2" s="83"/>
    </row>
    <row r="3" spans="1:31" ht="23.25" customHeight="1" x14ac:dyDescent="0.25">
      <c r="A3" s="38"/>
      <c r="B3" s="505" t="s">
        <v>79</v>
      </c>
      <c r="C3" s="506"/>
      <c r="D3" s="514" t="s">
        <v>161</v>
      </c>
      <c r="E3" s="514"/>
      <c r="F3" s="514"/>
      <c r="G3" s="515"/>
      <c r="H3" s="515"/>
      <c r="I3" s="515"/>
      <c r="J3" s="515"/>
      <c r="K3" s="38"/>
      <c r="L3" s="27"/>
      <c r="M3" s="27"/>
      <c r="N3" s="27"/>
      <c r="O3" s="27"/>
      <c r="P3" s="27"/>
      <c r="Q3" s="38"/>
      <c r="R3" s="38"/>
      <c r="S3" s="38"/>
      <c r="T3" s="27"/>
      <c r="U3" s="27"/>
      <c r="V3" s="27"/>
      <c r="W3" s="27"/>
      <c r="X3" s="27"/>
      <c r="Y3" s="27"/>
      <c r="Z3" s="27"/>
      <c r="AA3" s="27"/>
      <c r="AB3" s="27"/>
      <c r="AC3" s="27"/>
      <c r="AD3" s="27"/>
      <c r="AE3" s="83"/>
    </row>
    <row r="4" spans="1:31" ht="27" customHeight="1" x14ac:dyDescent="0.25">
      <c r="A4" s="38"/>
      <c r="B4" s="38"/>
      <c r="C4" s="38"/>
      <c r="D4" s="515"/>
      <c r="E4" s="515"/>
      <c r="F4" s="515"/>
      <c r="G4" s="515"/>
      <c r="H4" s="515"/>
      <c r="I4" s="515"/>
      <c r="J4" s="515"/>
      <c r="K4" s="38"/>
      <c r="L4" s="27"/>
      <c r="M4" s="27"/>
      <c r="N4" s="27"/>
      <c r="O4" s="27"/>
      <c r="P4" s="27"/>
      <c r="Q4" s="38"/>
      <c r="R4" s="38"/>
      <c r="S4" s="38"/>
      <c r="T4" s="27"/>
      <c r="U4" s="27"/>
      <c r="V4" s="27"/>
      <c r="W4" s="27"/>
      <c r="X4" s="27"/>
      <c r="Y4" s="27"/>
      <c r="Z4" s="27"/>
      <c r="AA4" s="27"/>
      <c r="AB4" s="27"/>
      <c r="AC4" s="27"/>
      <c r="AD4" s="27"/>
      <c r="AE4" s="83"/>
    </row>
    <row r="5" spans="1:31" ht="12.75" customHeight="1" x14ac:dyDescent="0.25">
      <c r="A5" s="38"/>
      <c r="B5" s="38"/>
      <c r="C5" s="38"/>
      <c r="D5" s="38"/>
      <c r="E5" s="27"/>
      <c r="F5" s="38"/>
      <c r="G5" s="38"/>
      <c r="H5" s="38"/>
      <c r="I5" s="38"/>
      <c r="J5" s="38"/>
      <c r="K5" s="38"/>
      <c r="L5" s="27"/>
      <c r="M5" s="27"/>
      <c r="N5" s="27"/>
      <c r="O5" s="27"/>
      <c r="P5" s="27"/>
      <c r="Q5" s="38"/>
      <c r="R5" s="38"/>
      <c r="S5" s="38"/>
      <c r="T5" s="27"/>
      <c r="U5" s="27"/>
      <c r="V5" s="27"/>
      <c r="W5" s="27"/>
      <c r="X5" s="27"/>
      <c r="Y5" s="27"/>
      <c r="Z5" s="27"/>
      <c r="AA5" s="27"/>
      <c r="AB5" s="27"/>
      <c r="AC5" s="27"/>
      <c r="AD5" s="27"/>
      <c r="AE5" s="83"/>
    </row>
    <row r="6" spans="1:31" ht="38.25" customHeight="1" x14ac:dyDescent="0.25">
      <c r="A6" s="38"/>
      <c r="B6" s="153" t="s">
        <v>81</v>
      </c>
      <c r="C6" s="153" t="s">
        <v>82</v>
      </c>
      <c r="D6" s="153" t="s">
        <v>83</v>
      </c>
      <c r="E6" s="153" t="s">
        <v>84</v>
      </c>
      <c r="F6" s="153" t="s">
        <v>162</v>
      </c>
      <c r="G6" s="153" t="s">
        <v>86</v>
      </c>
      <c r="H6" s="153" t="s">
        <v>87</v>
      </c>
      <c r="I6" s="153" t="s">
        <v>88</v>
      </c>
      <c r="J6" s="153" t="s">
        <v>163</v>
      </c>
      <c r="K6" s="153" t="s">
        <v>51</v>
      </c>
      <c r="L6" s="153" t="s">
        <v>90</v>
      </c>
      <c r="M6" s="153" t="s">
        <v>91</v>
      </c>
      <c r="N6" s="153" t="s">
        <v>92</v>
      </c>
      <c r="O6" s="152" t="s">
        <v>93</v>
      </c>
      <c r="P6" s="153" t="s">
        <v>94</v>
      </c>
      <c r="Q6" s="153" t="s">
        <v>95</v>
      </c>
      <c r="R6" s="153" t="s">
        <v>96</v>
      </c>
      <c r="S6" s="153" t="s">
        <v>70</v>
      </c>
      <c r="T6" s="154" t="s">
        <v>97</v>
      </c>
      <c r="U6" s="154" t="s">
        <v>71</v>
      </c>
      <c r="AE6" s="83"/>
    </row>
    <row r="7" spans="1:31" ht="21" hidden="1" customHeight="1" x14ac:dyDescent="0.25">
      <c r="A7" s="38"/>
      <c r="B7" s="245" t="s">
        <v>100</v>
      </c>
      <c r="C7" s="245"/>
      <c r="D7" s="245" t="s">
        <v>101</v>
      </c>
      <c r="E7" s="245" t="s">
        <v>102</v>
      </c>
      <c r="F7" s="245" t="s">
        <v>103</v>
      </c>
      <c r="G7" s="245" t="s">
        <v>104</v>
      </c>
      <c r="H7" s="245" t="s">
        <v>105</v>
      </c>
      <c r="I7" s="245" t="s">
        <v>106</v>
      </c>
      <c r="J7" s="245" t="s">
        <v>107</v>
      </c>
      <c r="K7" s="245" t="s">
        <v>51</v>
      </c>
      <c r="L7" s="245"/>
      <c r="M7" s="245"/>
      <c r="N7" s="245"/>
      <c r="O7" s="246"/>
      <c r="P7" s="246" t="s">
        <v>108</v>
      </c>
      <c r="Q7" s="245" t="s">
        <v>109</v>
      </c>
      <c r="R7" s="245" t="s">
        <v>110</v>
      </c>
      <c r="S7" s="245" t="s">
        <v>111</v>
      </c>
      <c r="T7" s="252" t="s">
        <v>112</v>
      </c>
      <c r="U7" s="252" t="s">
        <v>113</v>
      </c>
      <c r="AE7" s="83"/>
    </row>
    <row r="8" spans="1:31" ht="19.5" customHeight="1" x14ac:dyDescent="0.25">
      <c r="A8" s="38"/>
      <c r="B8" s="220">
        <v>1</v>
      </c>
      <c r="C8" s="9" t="s">
        <v>164</v>
      </c>
      <c r="D8" s="11"/>
      <c r="E8" s="11" t="str">
        <f t="shared" ref="E8:E15" si="0">IF(D8=$C$21,$D$21,IF(D8=$C$22,$D$22,""))</f>
        <v/>
      </c>
      <c r="F8" s="11"/>
      <c r="G8" s="12"/>
      <c r="H8" s="12"/>
      <c r="I8" s="11"/>
      <c r="J8" s="11"/>
      <c r="K8" s="12"/>
      <c r="L8" s="15" t="str">
        <f t="shared" ref="L8:L15" si="1">IF(J8="","",IF(J8&lt;15,$T$21,IF(J8&gt;=50,$T$24,IF(AND(J8&lt;30,J8&gt;=15),$T$22,IF(AND(J8&lt;50,J8&gt;=30),$T$23,"")))))</f>
        <v/>
      </c>
      <c r="M8" s="10" t="str">
        <f t="array" ref="M8">IFERROR(IF($C$34="PY9-PY12", INDEX($H$32:$R$39,MATCH(1,($H$32:$H$39=I8)*($I$32:$I$39=L8),0),4), INDEX($H$43:$R$50,MATCH(1,($H$43:$H$50=I8)*($I$43:$I$50=L8),0),4)),"")</f>
        <v/>
      </c>
      <c r="N8" s="10" t="str">
        <f t="array" ref="N8">IFERROR(IF($C$34="PY9-PY12", INDEX($S$32:$AC$39,MATCH(1,($S$32:$S$39=I8)*($T$32:$T$39=L8),0),4), INDEX($S$43:$AC$50,MATCH(1,($S$43:$S$50=I8)*($T$43:$T$50=L8),0),4)),"")</f>
        <v/>
      </c>
      <c r="O8" s="21">
        <v>1</v>
      </c>
      <c r="P8" s="21" t="str">
        <f t="shared" ref="P8:P15" si="2">IFERROR(ROUND(((M8-N8)/24)*K8,6), "")</f>
        <v/>
      </c>
      <c r="Q8" s="16" t="str">
        <f t="shared" ref="Q8:Q15" si="3">IFERROR(ROUND((((M8-N8)*O8)/24)*K8,6), "")</f>
        <v/>
      </c>
      <c r="R8" s="17" t="str">
        <f t="shared" ref="R8:R15" si="4">IF(K8="", "", IFERROR(ROUND(((M8-N8)*365)*K8,4), ""))</f>
        <v/>
      </c>
      <c r="S8" s="39" t="str">
        <f>IF(OR(D8="", K8=""),"", K8*$C$28)</f>
        <v/>
      </c>
      <c r="T8" s="21">
        <f t="shared" ref="T8:T15" si="5">F8</f>
        <v>0</v>
      </c>
      <c r="U8" s="21" t="s">
        <v>165</v>
      </c>
      <c r="AE8" s="83"/>
    </row>
    <row r="9" spans="1:31" ht="19.5" customHeight="1" x14ac:dyDescent="0.25">
      <c r="A9" s="38"/>
      <c r="B9" s="220">
        <v>2</v>
      </c>
      <c r="C9" s="9" t="s">
        <v>164</v>
      </c>
      <c r="D9" s="11"/>
      <c r="E9" s="11" t="str">
        <f t="shared" si="0"/>
        <v/>
      </c>
      <c r="F9" s="11"/>
      <c r="G9" s="12"/>
      <c r="H9" s="12"/>
      <c r="I9" s="11"/>
      <c r="J9" s="11"/>
      <c r="K9" s="12"/>
      <c r="L9" s="15" t="str">
        <f t="shared" si="1"/>
        <v/>
      </c>
      <c r="M9" s="10" t="str">
        <f t="array" ref="M9">IFERROR(IF($C$34="PY9-PY12", INDEX($H$32:$R$39,MATCH(1,($H$32:$H$39=I9)*($I$32:$I$39=L9),0),5), INDEX($H$43:$R$50,MATCH(1,($H$43:$H$50=I9)*($I$43:$I$50=L9),0),5)),"")</f>
        <v/>
      </c>
      <c r="N9" s="10" t="str">
        <f t="array" ref="N9">IFERROR(IF($C$34="PY9-PY12", INDEX($S$32:$AC$39,MATCH(1,($S$32:$S$39=I9)*($T$32:$T$39=L9),0),5), INDEX($S$43:$AC$50,MATCH(1,($S$43:$S$50=I9)*($T$43:$T$50=L9),0),5)),"")</f>
        <v/>
      </c>
      <c r="O9" s="21">
        <v>1</v>
      </c>
      <c r="P9" s="21" t="str">
        <f t="shared" si="2"/>
        <v/>
      </c>
      <c r="Q9" s="16" t="str">
        <f t="shared" si="3"/>
        <v/>
      </c>
      <c r="R9" s="17" t="str">
        <f t="shared" si="4"/>
        <v/>
      </c>
      <c r="S9" s="39" t="str">
        <f t="shared" ref="S9:S15" si="6">IF(OR(D9="", K9=""),"", K9*$C$28)</f>
        <v/>
      </c>
      <c r="T9" s="21">
        <f t="shared" si="5"/>
        <v>0</v>
      </c>
      <c r="U9" s="21" t="s">
        <v>165</v>
      </c>
      <c r="AE9" s="83"/>
    </row>
    <row r="10" spans="1:31" ht="19.5" customHeight="1" x14ac:dyDescent="0.25">
      <c r="A10" s="38"/>
      <c r="B10" s="220">
        <v>3</v>
      </c>
      <c r="C10" s="9" t="s">
        <v>164</v>
      </c>
      <c r="D10" s="11"/>
      <c r="E10" s="11" t="str">
        <f t="shared" si="0"/>
        <v/>
      </c>
      <c r="F10" s="11"/>
      <c r="G10" s="12"/>
      <c r="H10" s="12"/>
      <c r="I10" s="11"/>
      <c r="J10" s="11"/>
      <c r="K10" s="12"/>
      <c r="L10" s="15" t="str">
        <f t="shared" si="1"/>
        <v/>
      </c>
      <c r="M10" s="10" t="str">
        <f t="array" ref="M10">IFERROR(IF($C$34="PY9-PY12", INDEX($H$32:$R$39,MATCH(1,($H$32:$H$39=I10)*($I$32:$I$39=L10),0),6), INDEX($H$43:$R$50,MATCH(1,($H$43:$H$50=I10)*($I$43:$I$50=L10),0),6)),"")</f>
        <v/>
      </c>
      <c r="N10" s="10" t="str">
        <f t="array" ref="N10">IFERROR(IF($C$34="PY9-PY12", INDEX($S$32:$AC$39,MATCH(1,($S$32:$S$39=I10)*($T$32:$T$39=L10),0),6), INDEX($S$43:$AC$50,MATCH(1,($S$43:$S$50=I10)*($T$43:$T$50=L10),0),6)),"")</f>
        <v/>
      </c>
      <c r="O10" s="21">
        <v>1</v>
      </c>
      <c r="P10" s="21" t="str">
        <f t="shared" si="2"/>
        <v/>
      </c>
      <c r="Q10" s="16" t="str">
        <f t="shared" si="3"/>
        <v/>
      </c>
      <c r="R10" s="17" t="str">
        <f t="shared" si="4"/>
        <v/>
      </c>
      <c r="S10" s="39" t="str">
        <f t="shared" si="6"/>
        <v/>
      </c>
      <c r="T10" s="21">
        <f t="shared" si="5"/>
        <v>0</v>
      </c>
      <c r="U10" s="21" t="s">
        <v>165</v>
      </c>
      <c r="AE10" s="83"/>
    </row>
    <row r="11" spans="1:31" ht="19.5" customHeight="1" x14ac:dyDescent="0.25">
      <c r="A11" s="38"/>
      <c r="B11" s="220">
        <v>4</v>
      </c>
      <c r="C11" s="9" t="s">
        <v>164</v>
      </c>
      <c r="D11" s="11"/>
      <c r="E11" s="11" t="str">
        <f t="shared" si="0"/>
        <v/>
      </c>
      <c r="F11" s="11"/>
      <c r="G11" s="12"/>
      <c r="H11" s="12"/>
      <c r="I11" s="11"/>
      <c r="J11" s="11"/>
      <c r="K11" s="12"/>
      <c r="L11" s="15" t="str">
        <f t="shared" si="1"/>
        <v/>
      </c>
      <c r="M11" s="10" t="str">
        <f t="array" ref="M11">IFERROR(IF($C$34="PY9-PY12", INDEX($H$32:$R$39,MATCH(1,($H$32:$H$39=I11)*($I$32:$I$39=L11),0),7), INDEX($H$43:$R$50,MATCH(1,($H$43:$H$50=I11)*($I$43:$I$50=L11),0),7)),"")</f>
        <v/>
      </c>
      <c r="N11" s="10" t="str">
        <f t="array" ref="N11">IFERROR(IF($C$34="PY9-PY12", INDEX($S$32:$AC$39,MATCH(1,($S$32:$S$39=I11)*($T$32:$T$39=L11),0),7), INDEX($S$43:$AC$50,MATCH(1,($S$43:$S$50=I11)*($T$43:$T$50=L11),0),7)),"")</f>
        <v/>
      </c>
      <c r="O11" s="21">
        <v>1</v>
      </c>
      <c r="P11" s="21" t="str">
        <f t="shared" si="2"/>
        <v/>
      </c>
      <c r="Q11" s="16" t="str">
        <f t="shared" si="3"/>
        <v/>
      </c>
      <c r="R11" s="17" t="str">
        <f t="shared" si="4"/>
        <v/>
      </c>
      <c r="S11" s="39" t="str">
        <f t="shared" si="6"/>
        <v/>
      </c>
      <c r="T11" s="21">
        <f t="shared" si="5"/>
        <v>0</v>
      </c>
      <c r="U11" s="21" t="s">
        <v>165</v>
      </c>
      <c r="AE11" s="83"/>
    </row>
    <row r="12" spans="1:31" ht="19.5" customHeight="1" x14ac:dyDescent="0.25">
      <c r="A12" s="38"/>
      <c r="B12" s="220">
        <v>5</v>
      </c>
      <c r="C12" s="9" t="s">
        <v>164</v>
      </c>
      <c r="D12" s="11"/>
      <c r="E12" s="11" t="str">
        <f t="shared" si="0"/>
        <v/>
      </c>
      <c r="F12" s="11"/>
      <c r="G12" s="12"/>
      <c r="H12" s="12"/>
      <c r="I12" s="11"/>
      <c r="J12" s="11"/>
      <c r="K12" s="12"/>
      <c r="L12" s="15" t="str">
        <f t="shared" si="1"/>
        <v/>
      </c>
      <c r="M12" s="10" t="str">
        <f t="array" ref="M12">IFERROR(IF($C$34="PY9-PY12", INDEX($H$32:$R$39,MATCH(1,($H$32:$H$39=I12)*($I$32:$I$39=L12),0),8), INDEX($H$43:$R$50,MATCH(1,($H$43:$H$50=I12)*($I$43:$I$50=L12),0),8)),"")</f>
        <v/>
      </c>
      <c r="N12" s="10" t="str">
        <f t="array" ref="N12">IFERROR(IF($C$34="PY9-PY12", INDEX($S$32:$AC$39,MATCH(1,($S$32:$S$39=I12)*($T$32:$T$39=L12),0),8), INDEX($S$43:$AC$50,MATCH(1,($S$43:$S$50=I12)*($T$43:$T$50=L12),0),8)),"")</f>
        <v/>
      </c>
      <c r="O12" s="21">
        <v>1</v>
      </c>
      <c r="P12" s="21" t="str">
        <f t="shared" si="2"/>
        <v/>
      </c>
      <c r="Q12" s="16" t="str">
        <f t="shared" si="3"/>
        <v/>
      </c>
      <c r="R12" s="17" t="str">
        <f t="shared" si="4"/>
        <v/>
      </c>
      <c r="S12" s="39" t="str">
        <f t="shared" si="6"/>
        <v/>
      </c>
      <c r="T12" s="21">
        <f t="shared" si="5"/>
        <v>0</v>
      </c>
      <c r="U12" s="21" t="s">
        <v>165</v>
      </c>
      <c r="AE12" s="83"/>
    </row>
    <row r="13" spans="1:31" ht="19.5" customHeight="1" x14ac:dyDescent="0.25">
      <c r="A13" s="38"/>
      <c r="B13" s="220">
        <v>6</v>
      </c>
      <c r="C13" s="9" t="s">
        <v>164</v>
      </c>
      <c r="D13" s="11"/>
      <c r="E13" s="11" t="str">
        <f t="shared" si="0"/>
        <v/>
      </c>
      <c r="F13" s="11"/>
      <c r="G13" s="12"/>
      <c r="H13" s="12"/>
      <c r="I13" s="11"/>
      <c r="J13" s="11"/>
      <c r="K13" s="12"/>
      <c r="L13" s="15" t="str">
        <f t="shared" si="1"/>
        <v/>
      </c>
      <c r="M13" s="10" t="str">
        <f t="array" ref="M13">IFERROR(IF($C$34="PY9-PY12", INDEX($H$32:$R$39,MATCH(1,($H$32:$H$39=I13)*($I$32:$I$39=L13),0),9), INDEX($H$43:$R$50,MATCH(1,($H$43:$H$50=I13)*($I$43:$I$50=L13),0),9)),"")</f>
        <v/>
      </c>
      <c r="N13" s="10" t="str">
        <f t="array" ref="N13">IFERROR(IF($C$34="PY9-PY12", INDEX($S$32:$AC$39,MATCH(1,($S$32:$S$39=I13)*($T$32:$T$39=L13),0),9), INDEX($S$43:$AC$50,MATCH(1,($S$43:$S$50=I13)*($T$43:$T$50=L13),0),9)),"")</f>
        <v/>
      </c>
      <c r="O13" s="21">
        <v>1</v>
      </c>
      <c r="P13" s="21" t="str">
        <f t="shared" si="2"/>
        <v/>
      </c>
      <c r="Q13" s="16" t="str">
        <f t="shared" si="3"/>
        <v/>
      </c>
      <c r="R13" s="17" t="str">
        <f t="shared" si="4"/>
        <v/>
      </c>
      <c r="S13" s="39" t="str">
        <f t="shared" si="6"/>
        <v/>
      </c>
      <c r="T13" s="21">
        <f t="shared" si="5"/>
        <v>0</v>
      </c>
      <c r="U13" s="21" t="s">
        <v>165</v>
      </c>
      <c r="AE13" s="83"/>
    </row>
    <row r="14" spans="1:31" ht="19.5" customHeight="1" x14ac:dyDescent="0.25">
      <c r="A14" s="38"/>
      <c r="B14" s="220">
        <v>7</v>
      </c>
      <c r="C14" s="9" t="s">
        <v>164</v>
      </c>
      <c r="D14" s="11"/>
      <c r="E14" s="11" t="str">
        <f t="shared" si="0"/>
        <v/>
      </c>
      <c r="F14" s="11"/>
      <c r="G14" s="12"/>
      <c r="H14" s="12"/>
      <c r="I14" s="11"/>
      <c r="J14" s="11"/>
      <c r="K14" s="12"/>
      <c r="L14" s="15" t="str">
        <f t="shared" si="1"/>
        <v/>
      </c>
      <c r="M14" s="10" t="str">
        <f t="array" ref="M14">IFERROR(IF($C$34="PY9-PY12", INDEX($H$32:$R$39,MATCH(1,($H$32:$H$39=I14)*($I$32:$I$39=L14),0),10), INDEX($H$43:$R$50,MATCH(1,($H$43:$H$50=I14)*($I$43:$I$50=L14),0),10)),"")</f>
        <v/>
      </c>
      <c r="N14" s="10" t="str">
        <f t="array" ref="N14">IFERROR(IF($C$34="PY9-PY12", INDEX($S$32:$AC$39,MATCH(1,($S$32:$S$39=I14)*($T$32:$T$39=L14),0),10), INDEX($S$43:$AC$50,MATCH(1,($S$43:$S$50=I14)*($T$43:$T$50=L14),0),10)),"")</f>
        <v/>
      </c>
      <c r="O14" s="21">
        <v>1</v>
      </c>
      <c r="P14" s="21" t="str">
        <f t="shared" si="2"/>
        <v/>
      </c>
      <c r="Q14" s="16" t="str">
        <f t="shared" si="3"/>
        <v/>
      </c>
      <c r="R14" s="17" t="str">
        <f t="shared" si="4"/>
        <v/>
      </c>
      <c r="S14" s="39" t="str">
        <f t="shared" si="6"/>
        <v/>
      </c>
      <c r="T14" s="21">
        <f t="shared" si="5"/>
        <v>0</v>
      </c>
      <c r="U14" s="21" t="s">
        <v>165</v>
      </c>
      <c r="AE14" s="83"/>
    </row>
    <row r="15" spans="1:31" ht="19.5" customHeight="1" x14ac:dyDescent="0.25">
      <c r="A15" s="38"/>
      <c r="B15" s="220">
        <v>8</v>
      </c>
      <c r="C15" s="9" t="s">
        <v>164</v>
      </c>
      <c r="D15" s="11"/>
      <c r="E15" s="11" t="str">
        <f t="shared" si="0"/>
        <v/>
      </c>
      <c r="F15" s="11"/>
      <c r="G15" s="12"/>
      <c r="H15" s="12"/>
      <c r="I15" s="11"/>
      <c r="J15" s="11"/>
      <c r="K15" s="12"/>
      <c r="L15" s="15" t="str">
        <f t="shared" si="1"/>
        <v/>
      </c>
      <c r="M15" s="10" t="str">
        <f t="array" ref="M15">IFERROR(IF($C$34="PY9-PY12", INDEX($H$32:$R$39,MATCH(1,($H$32:$H$39=I15)*($I$32:$I$39=L15),0),11), INDEX($H$43:$R$50,MATCH(1,($H$43:$H$50=I15)*($I$43:$I$50=L15),0),11)),"")</f>
        <v/>
      </c>
      <c r="N15" s="10" t="str">
        <f t="array" ref="N15">IFERROR(IF($C$34="PY9-PY12", INDEX($S$32:$AC$39,MATCH(1,($S$32:$S$39=I15)*($T$32:$T$39=L15),0),11), INDEX($S$43:$AC$50,MATCH(1,($S$43:$S$50=I15)*($T$43:$T$50=L15),0),11)),"")</f>
        <v/>
      </c>
      <c r="O15" s="21">
        <v>1</v>
      </c>
      <c r="P15" s="21" t="str">
        <f t="shared" si="2"/>
        <v/>
      </c>
      <c r="Q15" s="16" t="str">
        <f t="shared" si="3"/>
        <v/>
      </c>
      <c r="R15" s="17" t="str">
        <f t="shared" si="4"/>
        <v/>
      </c>
      <c r="S15" s="39" t="str">
        <f t="shared" si="6"/>
        <v/>
      </c>
      <c r="T15" s="21">
        <f t="shared" si="5"/>
        <v>0</v>
      </c>
      <c r="U15" s="21" t="s">
        <v>165</v>
      </c>
      <c r="AE15" s="83"/>
    </row>
    <row r="16" spans="1:31" hidden="1" x14ac:dyDescent="0.25">
      <c r="A16" s="27"/>
      <c r="K16">
        <f>SUM(K8:K15)</f>
        <v>0</v>
      </c>
      <c r="L16">
        <f t="shared" ref="L16:S16" si="7">SUM(L8:L15)</f>
        <v>0</v>
      </c>
      <c r="M16">
        <f t="shared" si="7"/>
        <v>0</v>
      </c>
      <c r="N16">
        <f t="shared" si="7"/>
        <v>0</v>
      </c>
      <c r="O16">
        <f t="shared" si="7"/>
        <v>8</v>
      </c>
      <c r="P16">
        <f t="shared" si="7"/>
        <v>0</v>
      </c>
      <c r="Q16">
        <f t="shared" si="7"/>
        <v>0</v>
      </c>
      <c r="R16">
        <f t="shared" si="7"/>
        <v>0</v>
      </c>
      <c r="S16">
        <f t="shared" si="7"/>
        <v>0</v>
      </c>
      <c r="AE16" s="83"/>
    </row>
    <row r="17" spans="1:31" hidden="1" x14ac:dyDescent="0.25">
      <c r="A17" s="27"/>
      <c r="U17" s="1"/>
      <c r="AE17" s="83"/>
    </row>
    <row r="18" spans="1:31" hidden="1" x14ac:dyDescent="0.25">
      <c r="A18" s="27"/>
      <c r="C18" s="507" t="s">
        <v>117</v>
      </c>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9"/>
      <c r="AE18" s="83"/>
    </row>
    <row r="19" spans="1:31" hidden="1" x14ac:dyDescent="0.25">
      <c r="A19" s="27"/>
      <c r="H19" s="133" t="s">
        <v>118</v>
      </c>
      <c r="I19" s="254"/>
      <c r="J19" s="254"/>
      <c r="K19" s="254"/>
      <c r="L19" s="254"/>
      <c r="M19" s="254"/>
      <c r="N19" s="254"/>
      <c r="O19" s="254"/>
      <c r="P19" s="254"/>
      <c r="Q19" s="254"/>
      <c r="R19" s="254"/>
      <c r="S19" s="253" t="s">
        <v>119</v>
      </c>
      <c r="T19" s="253"/>
      <c r="U19" s="253"/>
      <c r="V19" s="253"/>
      <c r="W19" s="253"/>
      <c r="X19" s="253"/>
      <c r="Y19" s="253"/>
      <c r="Z19" s="253"/>
      <c r="AA19" s="253"/>
      <c r="AB19" s="253"/>
      <c r="AC19" s="253"/>
      <c r="AE19" s="83"/>
    </row>
    <row r="20" spans="1:31" ht="30" hidden="1" x14ac:dyDescent="0.25">
      <c r="A20" s="27"/>
      <c r="C20" s="14" t="s">
        <v>83</v>
      </c>
      <c r="D20" s="14" t="s">
        <v>83</v>
      </c>
      <c r="H20" s="3" t="s">
        <v>120</v>
      </c>
      <c r="I20" s="2" t="s">
        <v>121</v>
      </c>
      <c r="J20" s="3" t="s">
        <v>122</v>
      </c>
      <c r="K20" s="2">
        <v>1</v>
      </c>
      <c r="L20" s="2">
        <v>2</v>
      </c>
      <c r="M20" s="2">
        <v>3</v>
      </c>
      <c r="N20" s="2">
        <v>4</v>
      </c>
      <c r="O20" s="2">
        <v>5</v>
      </c>
      <c r="P20" s="2">
        <v>6</v>
      </c>
      <c r="Q20" s="2">
        <v>7</v>
      </c>
      <c r="R20" s="2">
        <v>8</v>
      </c>
      <c r="S20" s="3" t="s">
        <v>120</v>
      </c>
      <c r="T20" s="2" t="s">
        <v>121</v>
      </c>
      <c r="U20" s="3" t="s">
        <v>123</v>
      </c>
      <c r="V20" s="2">
        <v>1</v>
      </c>
      <c r="W20" s="2">
        <v>2</v>
      </c>
      <c r="X20" s="2">
        <v>3</v>
      </c>
      <c r="Y20" s="2">
        <v>4</v>
      </c>
      <c r="Z20" s="2">
        <v>5</v>
      </c>
      <c r="AA20" s="2">
        <v>6</v>
      </c>
      <c r="AB20" s="2">
        <v>7</v>
      </c>
      <c r="AC20" s="2">
        <v>8</v>
      </c>
      <c r="AE20" s="83"/>
    </row>
    <row r="21" spans="1:31" hidden="1" x14ac:dyDescent="0.25">
      <c r="A21" s="27"/>
      <c r="C21" s="4" t="s">
        <v>124</v>
      </c>
      <c r="D21" s="4" t="s">
        <v>124</v>
      </c>
      <c r="H21" s="5" t="s">
        <v>125</v>
      </c>
      <c r="I21" s="6" t="s">
        <v>126</v>
      </c>
      <c r="J21" s="6" t="s">
        <v>166</v>
      </c>
      <c r="K21" s="22">
        <f>(0.4*$J$8)+1.38</f>
        <v>1.38</v>
      </c>
      <c r="L21" s="22">
        <f>(0.4*$J$9)+1.38</f>
        <v>1.38</v>
      </c>
      <c r="M21" s="22">
        <f>(0.4*$J$10)+1.38</f>
        <v>1.38</v>
      </c>
      <c r="N21" s="22">
        <f>(0.4*$J$11)+1.38</f>
        <v>1.38</v>
      </c>
      <c r="O21" s="22">
        <f>(0.4*$J$12)+1.38</f>
        <v>1.38</v>
      </c>
      <c r="P21" s="22">
        <f>(0.4*$J$13)+1.38</f>
        <v>1.38</v>
      </c>
      <c r="Q21" s="22">
        <f>(0.4*$J$14)+1.38</f>
        <v>1.38</v>
      </c>
      <c r="R21" s="22">
        <f>(0.4*$J$15)+1.38</f>
        <v>1.38</v>
      </c>
      <c r="S21" s="5" t="s">
        <v>125</v>
      </c>
      <c r="T21" s="6" t="s">
        <v>126</v>
      </c>
      <c r="U21" s="6" t="s">
        <v>167</v>
      </c>
      <c r="V21" s="23">
        <f>(0.25*$J$8)+1.25</f>
        <v>1.25</v>
      </c>
      <c r="W21" s="23">
        <f>(0.25*$J$9)+1.25</f>
        <v>1.25</v>
      </c>
      <c r="X21" s="23">
        <f>(0.25*$J$10)+1.25</f>
        <v>1.25</v>
      </c>
      <c r="Y21" s="23">
        <f>(0.25*$J$11)+1.25</f>
        <v>1.25</v>
      </c>
      <c r="Z21" s="23">
        <f>(0.25*$J$12)+1.25</f>
        <v>1.25</v>
      </c>
      <c r="AA21" s="23">
        <f>(0.25*$J$13)+1.25</f>
        <v>1.25</v>
      </c>
      <c r="AB21" s="23">
        <f>(0.25*$J$14)+1.25</f>
        <v>1.25</v>
      </c>
      <c r="AC21" s="23">
        <f>(0.25*$J$15)+1.25</f>
        <v>1.25</v>
      </c>
      <c r="AE21" s="83"/>
    </row>
    <row r="22" spans="1:31" hidden="1" x14ac:dyDescent="0.25">
      <c r="A22" s="27"/>
      <c r="C22" s="4" t="s">
        <v>129</v>
      </c>
      <c r="D22" s="4" t="s">
        <v>130</v>
      </c>
      <c r="H22" s="5" t="s">
        <v>125</v>
      </c>
      <c r="I22" s="6" t="s">
        <v>131</v>
      </c>
      <c r="J22" s="6" t="s">
        <v>166</v>
      </c>
      <c r="K22" s="22">
        <f>(0.4*$J$8)+1.38</f>
        <v>1.38</v>
      </c>
      <c r="L22" s="22">
        <f>(0.4*$J$9)+1.38</f>
        <v>1.38</v>
      </c>
      <c r="M22" s="22">
        <f>(0.4*$J$10)+1.38</f>
        <v>1.38</v>
      </c>
      <c r="N22" s="22">
        <f>(0.4*$J$11)+1.38</f>
        <v>1.38</v>
      </c>
      <c r="O22" s="22">
        <f>(0.4*$J$12)+1.38</f>
        <v>1.38</v>
      </c>
      <c r="P22" s="22">
        <f>(0.4*$J$13)+1.38</f>
        <v>1.38</v>
      </c>
      <c r="Q22" s="22">
        <f>(0.4*$J$14)+1.38</f>
        <v>1.38</v>
      </c>
      <c r="R22" s="22">
        <f>(0.4*$J$15)+1.38</f>
        <v>1.38</v>
      </c>
      <c r="S22" s="5" t="s">
        <v>125</v>
      </c>
      <c r="T22" s="6" t="s">
        <v>131</v>
      </c>
      <c r="U22" s="6" t="s">
        <v>168</v>
      </c>
      <c r="V22" s="23">
        <f>(0.4*$J$8)-1</f>
        <v>-1</v>
      </c>
      <c r="W22" s="23">
        <f>(0.4*$J$9)-1</f>
        <v>-1</v>
      </c>
      <c r="X22" s="23">
        <f>(0.4*$J$10)-1</f>
        <v>-1</v>
      </c>
      <c r="Y22" s="23">
        <f>(0.4*$J$11)-1</f>
        <v>-1</v>
      </c>
      <c r="Z22" s="23">
        <f>(0.4*$J$12)-1</f>
        <v>-1</v>
      </c>
      <c r="AA22" s="23">
        <f>(0.4*$J$13)-1</f>
        <v>-1</v>
      </c>
      <c r="AB22" s="23">
        <f>(0.4*$J$14)-1</f>
        <v>-1</v>
      </c>
      <c r="AC22" s="23">
        <f>(0.4*$J$15)-1</f>
        <v>-1</v>
      </c>
      <c r="AE22" s="83"/>
    </row>
    <row r="23" spans="1:31" hidden="1" x14ac:dyDescent="0.25">
      <c r="A23" s="27"/>
      <c r="H23" s="5" t="s">
        <v>125</v>
      </c>
      <c r="I23" s="6" t="s">
        <v>133</v>
      </c>
      <c r="J23" s="6" t="s">
        <v>166</v>
      </c>
      <c r="K23" s="22">
        <f>(0.4*$J$8)+1.38</f>
        <v>1.38</v>
      </c>
      <c r="L23" s="22">
        <f>(0.4*$J$9)+1.38</f>
        <v>1.38</v>
      </c>
      <c r="M23" s="22">
        <f>(0.4*$J$10)+1.38</f>
        <v>1.38</v>
      </c>
      <c r="N23" s="22">
        <f>(0.4*$J$11)+1.38</f>
        <v>1.38</v>
      </c>
      <c r="O23" s="22">
        <f>(0.4*$J$12)+1.38</f>
        <v>1.38</v>
      </c>
      <c r="P23" s="22">
        <f>(0.4*$J$13)+1.38</f>
        <v>1.38</v>
      </c>
      <c r="Q23" s="22">
        <f>(0.4*$J$14)+1.38</f>
        <v>1.38</v>
      </c>
      <c r="R23" s="22">
        <f>(0.4*$J$15)+1.38</f>
        <v>1.38</v>
      </c>
      <c r="S23" s="5" t="s">
        <v>125</v>
      </c>
      <c r="T23" s="6" t="s">
        <v>133</v>
      </c>
      <c r="U23" s="6" t="s">
        <v>169</v>
      </c>
      <c r="V23" s="23">
        <f>(0.163*$J$8)+6.125</f>
        <v>6.125</v>
      </c>
      <c r="W23" s="23">
        <f>(0.163*$J$9)+6.125</f>
        <v>6.125</v>
      </c>
      <c r="X23" s="23">
        <f>(0.163*$J$10)+6.125</f>
        <v>6.125</v>
      </c>
      <c r="Y23" s="23">
        <f>(0.163*$J$11)+6.125</f>
        <v>6.125</v>
      </c>
      <c r="Z23" s="23">
        <f>(0.163*$J$12)+6.125</f>
        <v>6.125</v>
      </c>
      <c r="AA23" s="23">
        <f>(0.163*$J$13)+6.125</f>
        <v>6.125</v>
      </c>
      <c r="AB23" s="23">
        <f>(0.163*$J$14)+6.125</f>
        <v>6.125</v>
      </c>
      <c r="AC23" s="23">
        <f>(0.163*$J$15)+6.125</f>
        <v>6.125</v>
      </c>
      <c r="AE23" s="83"/>
    </row>
    <row r="24" spans="1:31" hidden="1" x14ac:dyDescent="0.25">
      <c r="A24" s="27"/>
      <c r="C24" s="7" t="s">
        <v>135</v>
      </c>
      <c r="H24" s="5" t="s">
        <v>125</v>
      </c>
      <c r="I24" s="6" t="s">
        <v>136</v>
      </c>
      <c r="J24" s="6" t="s">
        <v>166</v>
      </c>
      <c r="K24" s="22">
        <f>(0.4*$J$8)+1.38</f>
        <v>1.38</v>
      </c>
      <c r="L24" s="22">
        <f>(0.4*$J$9)+1.38</f>
        <v>1.38</v>
      </c>
      <c r="M24" s="22">
        <f>(0.4*$J$10)+1.38</f>
        <v>1.38</v>
      </c>
      <c r="N24" s="22">
        <f>(0.4*$J$11)+1.38</f>
        <v>1.38</v>
      </c>
      <c r="O24" s="22">
        <f>(0.4*$J$12)+1.38</f>
        <v>1.38</v>
      </c>
      <c r="P24" s="22">
        <f>(0.4*$J$13)+1.38</f>
        <v>1.38</v>
      </c>
      <c r="Q24" s="22">
        <f>(0.4*$J$14)+1.38</f>
        <v>1.38</v>
      </c>
      <c r="R24" s="22">
        <f>(0.4*$J$15)+1.38</f>
        <v>1.38</v>
      </c>
      <c r="S24" s="5" t="s">
        <v>125</v>
      </c>
      <c r="T24" s="6" t="s">
        <v>136</v>
      </c>
      <c r="U24" s="6" t="s">
        <v>170</v>
      </c>
      <c r="V24" s="23">
        <f>(0.158*$J$8)+6.333</f>
        <v>6.3330000000000002</v>
      </c>
      <c r="W24" s="23">
        <f>(0.158*$J$9)+6.333</f>
        <v>6.3330000000000002</v>
      </c>
      <c r="X24" s="23">
        <f>(0.158*$J$10)+6.333</f>
        <v>6.3330000000000002</v>
      </c>
      <c r="Y24" s="23">
        <f>(0.158*$J$11)+6.333</f>
        <v>6.3330000000000002</v>
      </c>
      <c r="Z24" s="23">
        <f>(0.158*$J$12)+6.333</f>
        <v>6.3330000000000002</v>
      </c>
      <c r="AA24" s="23">
        <f>(0.158*$J$13)+6.333</f>
        <v>6.3330000000000002</v>
      </c>
      <c r="AB24" s="23">
        <f>(0.158*$J$14)+6.333</f>
        <v>6.3330000000000002</v>
      </c>
      <c r="AC24" s="23">
        <f>(0.158*$J$15)+6.333</f>
        <v>6.3330000000000002</v>
      </c>
      <c r="AE24" s="83"/>
    </row>
    <row r="25" spans="1:31" hidden="1" x14ac:dyDescent="0.25">
      <c r="A25" s="27"/>
      <c r="C25" s="8">
        <v>365</v>
      </c>
      <c r="H25" s="5" t="s">
        <v>138</v>
      </c>
      <c r="I25" s="6" t="s">
        <v>126</v>
      </c>
      <c r="J25" s="6" t="s">
        <v>171</v>
      </c>
      <c r="K25" s="22">
        <f>(0.75*$J$8)+4.1</f>
        <v>4.0999999999999996</v>
      </c>
      <c r="L25" s="22">
        <f>(0.75*$J$9)+4.1</f>
        <v>4.0999999999999996</v>
      </c>
      <c r="M25" s="22">
        <f>(0.75*$J$10)+4.1</f>
        <v>4.0999999999999996</v>
      </c>
      <c r="N25" s="22">
        <f>(0.75*$J$11)+4.1</f>
        <v>4.0999999999999996</v>
      </c>
      <c r="O25" s="22">
        <f>(0.75*$J$12)+4.1</f>
        <v>4.0999999999999996</v>
      </c>
      <c r="P25" s="22">
        <f>(0.75*$J$13)+4.1</f>
        <v>4.0999999999999996</v>
      </c>
      <c r="Q25" s="22">
        <f>(0.75*$J$14)+4.1</f>
        <v>4.0999999999999996</v>
      </c>
      <c r="R25" s="22">
        <f>(0.75*$J$15)+4.1</f>
        <v>4.0999999999999996</v>
      </c>
      <c r="S25" s="5" t="s">
        <v>138</v>
      </c>
      <c r="T25" s="6" t="s">
        <v>126</v>
      </c>
      <c r="U25" s="6" t="s">
        <v>172</v>
      </c>
      <c r="V25" s="23">
        <f>(0.607*$J$8)+0.893</f>
        <v>0.89300000000000002</v>
      </c>
      <c r="W25" s="23">
        <f>(0.607*$J$9)+0.893</f>
        <v>0.89300000000000002</v>
      </c>
      <c r="X25" s="23">
        <f>(0.607*$J$10)+0.893</f>
        <v>0.89300000000000002</v>
      </c>
      <c r="Y25" s="23">
        <f>(0.607*$J$11)+0.893</f>
        <v>0.89300000000000002</v>
      </c>
      <c r="Z25" s="23">
        <f>(0.607*$J$12)+0.893</f>
        <v>0.89300000000000002</v>
      </c>
      <c r="AA25" s="23">
        <f>(0.607*$J$13)+0.893</f>
        <v>0.89300000000000002</v>
      </c>
      <c r="AB25" s="23">
        <f>(0.607*$J$14)+0.893</f>
        <v>0.89300000000000002</v>
      </c>
      <c r="AC25" s="23">
        <f>(0.607*$J$15)+0.893</f>
        <v>0.89300000000000002</v>
      </c>
      <c r="AE25" s="83"/>
    </row>
    <row r="26" spans="1:31" hidden="1" x14ac:dyDescent="0.25">
      <c r="A26" s="27"/>
      <c r="H26" s="5" t="s">
        <v>138</v>
      </c>
      <c r="I26" s="6" t="s">
        <v>131</v>
      </c>
      <c r="J26" s="6" t="s">
        <v>171</v>
      </c>
      <c r="K26" s="22">
        <f>(0.75*$J$8)+4.1</f>
        <v>4.0999999999999996</v>
      </c>
      <c r="L26" s="22">
        <f>(0.75*$J$9)+4.1</f>
        <v>4.0999999999999996</v>
      </c>
      <c r="M26" s="22">
        <f>(0.75*$J$10)+4.1</f>
        <v>4.0999999999999996</v>
      </c>
      <c r="N26" s="22">
        <f>(0.75*$J$11)+4.1</f>
        <v>4.0999999999999996</v>
      </c>
      <c r="O26" s="22">
        <f>(0.75*$J$12)+4.1</f>
        <v>4.0999999999999996</v>
      </c>
      <c r="P26" s="22">
        <f>(0.75*$J$13)+4.1</f>
        <v>4.0999999999999996</v>
      </c>
      <c r="Q26" s="22">
        <f>(0.75*$J$14)+4.1</f>
        <v>4.0999999999999996</v>
      </c>
      <c r="R26" s="22">
        <f>(0.75*$J$15)+4.1</f>
        <v>4.0999999999999996</v>
      </c>
      <c r="S26" s="5" t="s">
        <v>138</v>
      </c>
      <c r="T26" s="6" t="s">
        <v>131</v>
      </c>
      <c r="U26" s="6" t="s">
        <v>173</v>
      </c>
      <c r="V26" s="23">
        <f>(0.733*$J$8)-1</f>
        <v>-1</v>
      </c>
      <c r="W26" s="23">
        <f>(0.733*$J$9)-1</f>
        <v>-1</v>
      </c>
      <c r="X26" s="23">
        <f>(0.733*$J$10)-1</f>
        <v>-1</v>
      </c>
      <c r="Y26" s="23">
        <f>(0.733*$J$11)-1</f>
        <v>-1</v>
      </c>
      <c r="Z26" s="23">
        <f>(0.733*$J$12)-1</f>
        <v>-1</v>
      </c>
      <c r="AA26" s="23">
        <f>(0.733*$J$13)-1</f>
        <v>-1</v>
      </c>
      <c r="AB26" s="23">
        <f>(0.733*$J$14)-1</f>
        <v>-1</v>
      </c>
      <c r="AC26" s="23">
        <f>(0.733*$J$15)-1</f>
        <v>-1</v>
      </c>
      <c r="AE26" s="83"/>
    </row>
    <row r="27" spans="1:31" hidden="1" x14ac:dyDescent="0.25">
      <c r="A27" s="27"/>
      <c r="C27" s="13" t="s">
        <v>174</v>
      </c>
      <c r="H27" s="5" t="s">
        <v>138</v>
      </c>
      <c r="I27" s="6" t="s">
        <v>133</v>
      </c>
      <c r="J27" s="6" t="s">
        <v>171</v>
      </c>
      <c r="K27" s="22">
        <f>(0.75*$J$8)+4.1</f>
        <v>4.0999999999999996</v>
      </c>
      <c r="L27" s="22">
        <f>(0.75*$J$9)+4.1</f>
        <v>4.0999999999999996</v>
      </c>
      <c r="M27" s="22">
        <f>(0.75*$J$10)+4.1</f>
        <v>4.0999999999999996</v>
      </c>
      <c r="N27" s="22">
        <f>(0.75*$J$11)+4.1</f>
        <v>4.0999999999999996</v>
      </c>
      <c r="O27" s="22">
        <f>(0.75*$J$12)+4.1</f>
        <v>4.0999999999999996</v>
      </c>
      <c r="P27" s="22">
        <f>(0.75*$J$13)+4.1</f>
        <v>4.0999999999999996</v>
      </c>
      <c r="Q27" s="22">
        <f>(0.75*$J$14)+4.1</f>
        <v>4.0999999999999996</v>
      </c>
      <c r="R27" s="22">
        <f>(0.75*$J$15)+4.1</f>
        <v>4.0999999999999996</v>
      </c>
      <c r="S27" s="5" t="s">
        <v>138</v>
      </c>
      <c r="T27" s="6" t="s">
        <v>133</v>
      </c>
      <c r="U27" s="6" t="s">
        <v>175</v>
      </c>
      <c r="V27" s="23">
        <f>(0.25*$J$8)+13.5</f>
        <v>13.5</v>
      </c>
      <c r="W27" s="23">
        <f>(0.25*$J$9)+13.5</f>
        <v>13.5</v>
      </c>
      <c r="X27" s="23">
        <f>(0.25*$J$10)+13.5</f>
        <v>13.5</v>
      </c>
      <c r="Y27" s="23">
        <f>(0.25*$J$11)+13.5</f>
        <v>13.5</v>
      </c>
      <c r="Z27" s="23">
        <f>(0.25*$J$12)+13.5</f>
        <v>13.5</v>
      </c>
      <c r="AA27" s="23">
        <f>(0.25*$J$13)+13.5</f>
        <v>13.5</v>
      </c>
      <c r="AB27" s="23">
        <f>(0.25*$J$14)+13.5</f>
        <v>13.5</v>
      </c>
      <c r="AC27" s="23">
        <f>(0.25*$J$15)+13.5</f>
        <v>13.5</v>
      </c>
      <c r="AE27" s="83"/>
    </row>
    <row r="28" spans="1:31" hidden="1" x14ac:dyDescent="0.25">
      <c r="A28" s="27"/>
      <c r="C28" s="78">
        <f>50*'Project Summary'!M12</f>
        <v>25</v>
      </c>
      <c r="D28" s="13" t="s">
        <v>176</v>
      </c>
      <c r="E28" s="247"/>
      <c r="F28" s="247"/>
      <c r="H28" s="5" t="s">
        <v>138</v>
      </c>
      <c r="I28" s="6" t="s">
        <v>136</v>
      </c>
      <c r="J28" s="6" t="s">
        <v>171</v>
      </c>
      <c r="K28" s="22">
        <f>(0.75*$J$8)+4.1</f>
        <v>4.0999999999999996</v>
      </c>
      <c r="L28" s="22">
        <f>(0.75*$J$9)+4.1</f>
        <v>4.0999999999999996</v>
      </c>
      <c r="M28" s="22">
        <f>(0.75*$J$10)+4.1</f>
        <v>4.0999999999999996</v>
      </c>
      <c r="N28" s="22">
        <f>(0.75*$J$11)+4.1</f>
        <v>4.0999999999999996</v>
      </c>
      <c r="O28" s="22">
        <f>(0.75*$J$12)+4.1</f>
        <v>4.0999999999999996</v>
      </c>
      <c r="P28" s="22">
        <f>(0.75*$J$13)+4.1</f>
        <v>4.0999999999999996</v>
      </c>
      <c r="Q28" s="22">
        <f>(0.75*$J$14)+4.1</f>
        <v>4.0999999999999996</v>
      </c>
      <c r="R28" s="22">
        <f>(0.75*$J$15)+4.1</f>
        <v>4.0999999999999996</v>
      </c>
      <c r="S28" s="5" t="s">
        <v>138</v>
      </c>
      <c r="T28" s="6" t="s">
        <v>136</v>
      </c>
      <c r="U28" s="6" t="s">
        <v>177</v>
      </c>
      <c r="V28" s="23">
        <f>(0.45*$J$8)+3.5</f>
        <v>3.5</v>
      </c>
      <c r="W28" s="23">
        <f>(0.45*$J$9)+3.5</f>
        <v>3.5</v>
      </c>
      <c r="X28" s="23">
        <f>(0.45*$J$10)+3.5</f>
        <v>3.5</v>
      </c>
      <c r="Y28" s="23">
        <f>(0.45*$J$11)+3.5</f>
        <v>3.5</v>
      </c>
      <c r="Z28" s="23">
        <f>(0.45*$J$12)+3.5</f>
        <v>3.5</v>
      </c>
      <c r="AA28" s="23">
        <f>(0.45*$J$13)+3.5</f>
        <v>3.5</v>
      </c>
      <c r="AB28" s="23">
        <f>(0.45*$J$14)+3.5</f>
        <v>3.5</v>
      </c>
      <c r="AC28" s="23">
        <f>(0.45*$J$15)+3.5</f>
        <v>3.5</v>
      </c>
      <c r="AE28" s="83"/>
    </row>
    <row r="29" spans="1:31" hidden="1" x14ac:dyDescent="0.25">
      <c r="A29" s="27"/>
      <c r="AE29" s="83"/>
    </row>
    <row r="30" spans="1:31" hidden="1" x14ac:dyDescent="0.25">
      <c r="A30" s="27"/>
      <c r="C30" s="20" t="s">
        <v>146</v>
      </c>
      <c r="H30" s="133" t="s">
        <v>147</v>
      </c>
      <c r="I30" s="134">
        <v>42887</v>
      </c>
      <c r="J30" s="254"/>
      <c r="K30" s="254"/>
      <c r="L30" s="254"/>
      <c r="M30" s="254"/>
      <c r="N30" s="254"/>
      <c r="O30" s="254"/>
      <c r="P30" s="254"/>
      <c r="Q30" s="254"/>
      <c r="R30" s="255"/>
      <c r="S30" s="253" t="s">
        <v>119</v>
      </c>
      <c r="T30" s="253"/>
      <c r="U30" s="253"/>
      <c r="V30" s="253"/>
      <c r="W30" s="253"/>
      <c r="X30" s="253"/>
      <c r="Y30" s="253"/>
      <c r="Z30" s="253"/>
      <c r="AA30" s="253"/>
      <c r="AB30" s="253"/>
      <c r="AC30" s="253"/>
      <c r="AE30" s="83"/>
    </row>
    <row r="31" spans="1:31" ht="30" hidden="1" x14ac:dyDescent="0.25">
      <c r="A31" s="27"/>
      <c r="C31" s="6">
        <v>12</v>
      </c>
      <c r="H31" s="3" t="s">
        <v>120</v>
      </c>
      <c r="I31" s="2" t="s">
        <v>121</v>
      </c>
      <c r="J31" s="3" t="s">
        <v>122</v>
      </c>
      <c r="K31" s="2">
        <v>1</v>
      </c>
      <c r="L31" s="2">
        <v>2</v>
      </c>
      <c r="M31" s="2">
        <v>3</v>
      </c>
      <c r="N31" s="2">
        <v>4</v>
      </c>
      <c r="O31" s="2">
        <v>5</v>
      </c>
      <c r="P31" s="2">
        <v>6</v>
      </c>
      <c r="Q31" s="2">
        <v>7</v>
      </c>
      <c r="R31" s="2">
        <v>8</v>
      </c>
      <c r="S31" s="3" t="s">
        <v>120</v>
      </c>
      <c r="T31" s="2" t="s">
        <v>121</v>
      </c>
      <c r="U31" s="3" t="s">
        <v>123</v>
      </c>
      <c r="V31" s="2">
        <v>1</v>
      </c>
      <c r="W31" s="2">
        <v>2</v>
      </c>
      <c r="X31" s="2">
        <v>3</v>
      </c>
      <c r="Y31" s="2">
        <v>4</v>
      </c>
      <c r="Z31" s="2">
        <v>5</v>
      </c>
      <c r="AA31" s="2">
        <v>6</v>
      </c>
      <c r="AB31" s="2">
        <v>7</v>
      </c>
      <c r="AC31" s="2">
        <v>8</v>
      </c>
      <c r="AE31" s="83"/>
    </row>
    <row r="32" spans="1:31" hidden="1" x14ac:dyDescent="0.25">
      <c r="A32" s="27"/>
      <c r="H32" s="5" t="s">
        <v>125</v>
      </c>
      <c r="I32" s="6" t="s">
        <v>126</v>
      </c>
      <c r="J32" s="6" t="s">
        <v>178</v>
      </c>
      <c r="K32" s="22">
        <f>(0.22*$J$8)+1.38</f>
        <v>1.38</v>
      </c>
      <c r="L32" s="22">
        <f>(0.22*$J$9)+1.38</f>
        <v>1.38</v>
      </c>
      <c r="M32" s="22">
        <f>(0.22*$J$10)+1.38</f>
        <v>1.38</v>
      </c>
      <c r="N32" s="22">
        <f>(0.22*$J$11)+1.38</f>
        <v>1.38</v>
      </c>
      <c r="O32" s="22">
        <f>(0.22*$J$12)+1.38</f>
        <v>1.38</v>
      </c>
      <c r="P32" s="22">
        <f>(0.22*$J$13)+1.38</f>
        <v>1.38</v>
      </c>
      <c r="Q32" s="22">
        <f>(0.22*$J$14)+1.38</f>
        <v>1.38</v>
      </c>
      <c r="R32" s="22">
        <f>(0.22*$J$15)+1.38</f>
        <v>1.38</v>
      </c>
      <c r="S32" s="5" t="s">
        <v>125</v>
      </c>
      <c r="T32" s="6" t="s">
        <v>126</v>
      </c>
      <c r="U32" s="6" t="s">
        <v>179</v>
      </c>
      <c r="V32" s="23">
        <f>0.21*J8+0.9</f>
        <v>0.9</v>
      </c>
      <c r="W32" s="23">
        <f>0.21*J9+0.9</f>
        <v>0.9</v>
      </c>
      <c r="X32" s="23">
        <f>0.21*J10+0.9</f>
        <v>0.9</v>
      </c>
      <c r="Y32" s="23">
        <f>0.21*J11+0.9</f>
        <v>0.9</v>
      </c>
      <c r="Z32" s="23">
        <f>0.21*J12+0.9</f>
        <v>0.9</v>
      </c>
      <c r="AA32" s="23">
        <f>0.21*J13+0.9</f>
        <v>0.9</v>
      </c>
      <c r="AB32" s="23">
        <f>0.21*J14+0.9</f>
        <v>0.9</v>
      </c>
      <c r="AC32" s="23">
        <f>0.21*J15+0.9</f>
        <v>0.9</v>
      </c>
      <c r="AE32" s="83"/>
    </row>
    <row r="33" spans="1:31" hidden="1" x14ac:dyDescent="0.25">
      <c r="A33" s="27"/>
      <c r="C33" s="223" t="s">
        <v>150</v>
      </c>
      <c r="H33" s="5" t="s">
        <v>125</v>
      </c>
      <c r="I33" s="6" t="s">
        <v>131</v>
      </c>
      <c r="J33" s="6" t="s">
        <v>178</v>
      </c>
      <c r="K33" s="22">
        <f>(0.22*$J$8)+1.38</f>
        <v>1.38</v>
      </c>
      <c r="L33" s="22">
        <f>(0.22*$J$9)+1.38</f>
        <v>1.38</v>
      </c>
      <c r="M33" s="22">
        <f>(0.22*$J$10)+1.38</f>
        <v>1.38</v>
      </c>
      <c r="N33" s="22">
        <f>(0.22*$J$11)+1.38</f>
        <v>1.38</v>
      </c>
      <c r="O33" s="22">
        <f>(0.22*$J$12)+1.38</f>
        <v>1.38</v>
      </c>
      <c r="P33" s="22">
        <f>(0.22*$J$13)+1.38</f>
        <v>1.38</v>
      </c>
      <c r="Q33" s="22">
        <f>(0.22*$J$14)+1.38</f>
        <v>1.38</v>
      </c>
      <c r="R33" s="22">
        <f>(0.22*$J$15)+1.38</f>
        <v>1.38</v>
      </c>
      <c r="S33" s="5" t="s">
        <v>125</v>
      </c>
      <c r="T33" s="6" t="s">
        <v>131</v>
      </c>
      <c r="U33" s="6" t="s">
        <v>180</v>
      </c>
      <c r="V33" s="23">
        <f>0.12*J8+2.248</f>
        <v>2.2480000000000002</v>
      </c>
      <c r="W33" s="23">
        <f>0.12*J9+2.248</f>
        <v>2.2480000000000002</v>
      </c>
      <c r="X33" s="23">
        <f>0.12*J10+2.248</f>
        <v>2.2480000000000002</v>
      </c>
      <c r="Y33" s="23">
        <f>0.12*J11+2.248</f>
        <v>2.2480000000000002</v>
      </c>
      <c r="Z33" s="23">
        <f>0.12*J12+2.248</f>
        <v>2.2480000000000002</v>
      </c>
      <c r="AA33" s="23">
        <f>0.12*J13+2.248</f>
        <v>2.2480000000000002</v>
      </c>
      <c r="AB33" s="23">
        <f>0.12*J14+2.248</f>
        <v>2.2480000000000002</v>
      </c>
      <c r="AC33" s="23">
        <f>0.12*J15+2.248</f>
        <v>2.2480000000000002</v>
      </c>
      <c r="AE33" s="83"/>
    </row>
    <row r="34" spans="1:31" hidden="1" x14ac:dyDescent="0.25">
      <c r="A34" s="27"/>
      <c r="C34" s="22" t="str">
        <f>IF('Project Summary'!$C$12="", "PY9-PY12", IF('Project Summary'!$C$12&lt;=I30, "PY8", "PY9-PY12"))</f>
        <v>PY9-PY12</v>
      </c>
      <c r="H34" s="5" t="s">
        <v>125</v>
      </c>
      <c r="I34" s="6" t="s">
        <v>133</v>
      </c>
      <c r="J34" s="6" t="s">
        <v>178</v>
      </c>
      <c r="K34" s="22">
        <f>(0.22*$J$8)+1.38</f>
        <v>1.38</v>
      </c>
      <c r="L34" s="22">
        <f>(0.22*$J$9)+1.38</f>
        <v>1.38</v>
      </c>
      <c r="M34" s="22">
        <f>(0.22*$J$10)+1.38</f>
        <v>1.38</v>
      </c>
      <c r="N34" s="22">
        <f>(0.22*$J$11)+1.38</f>
        <v>1.38</v>
      </c>
      <c r="O34" s="22">
        <f>(0.22*$J$12)+1.38</f>
        <v>1.38</v>
      </c>
      <c r="P34" s="22">
        <f>(0.22*$J$13)+1.38</f>
        <v>1.38</v>
      </c>
      <c r="Q34" s="22">
        <f>(0.22*$J$14)+1.38</f>
        <v>1.38</v>
      </c>
      <c r="R34" s="22">
        <f>(0.22*$J$15)+1.38</f>
        <v>1.38</v>
      </c>
      <c r="S34" s="5" t="s">
        <v>125</v>
      </c>
      <c r="T34" s="6" t="s">
        <v>133</v>
      </c>
      <c r="U34" s="6" t="s">
        <v>181</v>
      </c>
      <c r="V34" s="23">
        <f>0.285*J8-2.703</f>
        <v>-2.7029999999999998</v>
      </c>
      <c r="W34" s="23">
        <f>0.285*J9-2.703</f>
        <v>-2.7029999999999998</v>
      </c>
      <c r="X34" s="23">
        <f>0.285*J10-2.703</f>
        <v>-2.7029999999999998</v>
      </c>
      <c r="Y34" s="23">
        <f>0.285*J11-2.703</f>
        <v>-2.7029999999999998</v>
      </c>
      <c r="Z34" s="23">
        <f>0.285*J12-2.703</f>
        <v>-2.7029999999999998</v>
      </c>
      <c r="AA34" s="23">
        <f>0.285*J13-2.703</f>
        <v>-2.7029999999999998</v>
      </c>
      <c r="AB34" s="23">
        <f>0.285*J14-2.703</f>
        <v>-2.7029999999999998</v>
      </c>
      <c r="AC34" s="23">
        <f>0.285*J15-2.703</f>
        <v>-2.7029999999999998</v>
      </c>
      <c r="AE34" s="83"/>
    </row>
    <row r="35" spans="1:31" hidden="1" x14ac:dyDescent="0.25">
      <c r="A35" s="27"/>
      <c r="H35" s="5" t="s">
        <v>125</v>
      </c>
      <c r="I35" s="6" t="s">
        <v>136</v>
      </c>
      <c r="J35" s="6" t="s">
        <v>178</v>
      </c>
      <c r="K35" s="22">
        <f>(0.22*$J$8)+1.38</f>
        <v>1.38</v>
      </c>
      <c r="L35" s="22">
        <f>(0.22*$J$9)+1.38</f>
        <v>1.38</v>
      </c>
      <c r="M35" s="22">
        <f>(0.22*$J$10)+1.38</f>
        <v>1.38</v>
      </c>
      <c r="N35" s="22">
        <f>(0.22*$J$11)+1.38</f>
        <v>1.38</v>
      </c>
      <c r="O35" s="22">
        <f>(0.22*$J$12)+1.38</f>
        <v>1.38</v>
      </c>
      <c r="P35" s="22">
        <f>(0.22*$J$13)+1.38</f>
        <v>1.38</v>
      </c>
      <c r="Q35" s="22">
        <f>(0.22*$J$14)+1.38</f>
        <v>1.38</v>
      </c>
      <c r="R35" s="22">
        <f>(0.22*$J$15)+1.38</f>
        <v>1.38</v>
      </c>
      <c r="S35" s="5" t="s">
        <v>125</v>
      </c>
      <c r="T35" s="6" t="s">
        <v>136</v>
      </c>
      <c r="U35" s="6" t="s">
        <v>182</v>
      </c>
      <c r="V35" s="23">
        <f>0.142*J8+4.445</f>
        <v>4.4450000000000003</v>
      </c>
      <c r="W35" s="23">
        <f>0.142*J9+4.445</f>
        <v>4.4450000000000003</v>
      </c>
      <c r="X35" s="23">
        <f>0.142*J10+4.445</f>
        <v>4.4450000000000003</v>
      </c>
      <c r="Y35" s="23">
        <f>0.142*J11+4.445</f>
        <v>4.4450000000000003</v>
      </c>
      <c r="Z35" s="23">
        <f>0.142*J12+4.445</f>
        <v>4.4450000000000003</v>
      </c>
      <c r="AA35" s="23">
        <f>0.142*J13+4.445</f>
        <v>4.4450000000000003</v>
      </c>
      <c r="AB35" s="23">
        <f>0.142*J14+4.445</f>
        <v>4.4450000000000003</v>
      </c>
      <c r="AC35" s="23">
        <f>0.142*J15+4.445</f>
        <v>4.4450000000000003</v>
      </c>
      <c r="AE35" s="83"/>
    </row>
    <row r="36" spans="1:31" hidden="1" x14ac:dyDescent="0.25">
      <c r="A36" s="27"/>
      <c r="H36" s="5" t="s">
        <v>138</v>
      </c>
      <c r="I36" s="6" t="s">
        <v>126</v>
      </c>
      <c r="J36" s="6" t="s">
        <v>183</v>
      </c>
      <c r="K36" s="22">
        <f>(0.29*$J$8)+2.95</f>
        <v>2.95</v>
      </c>
      <c r="L36" s="22">
        <f>(0.29*$J$9)+2.95</f>
        <v>2.95</v>
      </c>
      <c r="M36" s="22">
        <f>(0.29*$J$10)+2.95</f>
        <v>2.95</v>
      </c>
      <c r="N36" s="22">
        <f>(0.29*$J$11)+2.95</f>
        <v>2.95</v>
      </c>
      <c r="O36" s="22">
        <f>(0.29*$J$12)+2.95</f>
        <v>2.95</v>
      </c>
      <c r="P36" s="22">
        <f>(0.29*$J$13)+2.95</f>
        <v>2.95</v>
      </c>
      <c r="Q36" s="22">
        <f>(0.29*$J$14)+2.95</f>
        <v>2.95</v>
      </c>
      <c r="R36" s="22">
        <f>(0.29*$J$15)+2.95</f>
        <v>2.95</v>
      </c>
      <c r="S36" s="5" t="s">
        <v>138</v>
      </c>
      <c r="T36" s="6" t="s">
        <v>126</v>
      </c>
      <c r="U36" s="6" t="s">
        <v>184</v>
      </c>
      <c r="V36" s="23">
        <f>0.232*$J$8+2.36</f>
        <v>2.36</v>
      </c>
      <c r="W36" s="23">
        <f>0.232*$J$9+2.36</f>
        <v>2.36</v>
      </c>
      <c r="X36" s="23">
        <f>0.232*$J$10+2.36</f>
        <v>2.36</v>
      </c>
      <c r="Y36" s="23">
        <f>0.232*$J$11+2.36</f>
        <v>2.36</v>
      </c>
      <c r="Z36" s="23">
        <f>0.232*$J$12+2.36</f>
        <v>2.36</v>
      </c>
      <c r="AA36" s="23">
        <f>0.232*$J$13+2.36</f>
        <v>2.36</v>
      </c>
      <c r="AB36" s="23">
        <f>0.232*$J$14+2.36</f>
        <v>2.36</v>
      </c>
      <c r="AC36" s="23">
        <f>0.232*$J$15+2.36</f>
        <v>2.36</v>
      </c>
      <c r="AE36" s="83"/>
    </row>
    <row r="37" spans="1:31" hidden="1" x14ac:dyDescent="0.25">
      <c r="A37" s="27"/>
      <c r="H37" s="5" t="s">
        <v>138</v>
      </c>
      <c r="I37" s="6" t="s">
        <v>131</v>
      </c>
      <c r="J37" s="6" t="s">
        <v>183</v>
      </c>
      <c r="K37" s="22">
        <f>(0.29*$J$8)+2.95</f>
        <v>2.95</v>
      </c>
      <c r="L37" s="22">
        <f>(0.29*$J$9)+2.95</f>
        <v>2.95</v>
      </c>
      <c r="M37" s="22">
        <f>(0.29*$J$10)+2.95</f>
        <v>2.95</v>
      </c>
      <c r="N37" s="22">
        <f>(0.29*$J$11)+2.95</f>
        <v>2.95</v>
      </c>
      <c r="O37" s="22">
        <f>(0.29*$J$12)+2.95</f>
        <v>2.95</v>
      </c>
      <c r="P37" s="22">
        <f>(0.29*$J$13)+2.95</f>
        <v>2.95</v>
      </c>
      <c r="Q37" s="22">
        <f>(0.29*$J$14)+2.95</f>
        <v>2.95</v>
      </c>
      <c r="R37" s="22">
        <f>(0.29*$J$15)+2.95</f>
        <v>2.95</v>
      </c>
      <c r="S37" s="5" t="s">
        <v>138</v>
      </c>
      <c r="T37" s="6" t="s">
        <v>131</v>
      </c>
      <c r="U37" s="6" t="s">
        <v>184</v>
      </c>
      <c r="V37" s="23">
        <f>0.232*$J$8+2.36</f>
        <v>2.36</v>
      </c>
      <c r="W37" s="23">
        <f>0.232*$J$9+2.36</f>
        <v>2.36</v>
      </c>
      <c r="X37" s="23">
        <f>0.232*$J$10+2.36</f>
        <v>2.36</v>
      </c>
      <c r="Y37" s="23">
        <f>0.232*$J$11+2.36</f>
        <v>2.36</v>
      </c>
      <c r="Z37" s="23">
        <f>0.232*$J$12+2.36</f>
        <v>2.36</v>
      </c>
      <c r="AA37" s="23">
        <f>0.232*$J$13+2.36</f>
        <v>2.36</v>
      </c>
      <c r="AB37" s="23">
        <f>0.232*$J$14+2.36</f>
        <v>2.36</v>
      </c>
      <c r="AC37" s="23">
        <f>0.232*$J$15+2.36</f>
        <v>2.36</v>
      </c>
      <c r="AE37" s="83"/>
    </row>
    <row r="38" spans="1:31" hidden="1" x14ac:dyDescent="0.25">
      <c r="A38" s="27"/>
      <c r="H38" s="5" t="s">
        <v>138</v>
      </c>
      <c r="I38" s="6" t="s">
        <v>133</v>
      </c>
      <c r="J38" s="6" t="s">
        <v>183</v>
      </c>
      <c r="K38" s="22">
        <f>(0.29*$J$8)+2.95</f>
        <v>2.95</v>
      </c>
      <c r="L38" s="22">
        <f>(0.29*$J$9)+2.95</f>
        <v>2.95</v>
      </c>
      <c r="M38" s="22">
        <f>(0.29*$J$10)+2.95</f>
        <v>2.95</v>
      </c>
      <c r="N38" s="22">
        <f>(0.29*$J$11)+2.95</f>
        <v>2.95</v>
      </c>
      <c r="O38" s="22">
        <f>(0.29*$J$12)+2.95</f>
        <v>2.95</v>
      </c>
      <c r="P38" s="22">
        <f>(0.29*$J$13)+2.95</f>
        <v>2.95</v>
      </c>
      <c r="Q38" s="22">
        <f>(0.29*$J$14)+2.95</f>
        <v>2.95</v>
      </c>
      <c r="R38" s="22">
        <f>(0.29*$J$15)+2.95</f>
        <v>2.95</v>
      </c>
      <c r="S38" s="5" t="s">
        <v>138</v>
      </c>
      <c r="T38" s="6" t="s">
        <v>133</v>
      </c>
      <c r="U38" s="6" t="s">
        <v>184</v>
      </c>
      <c r="V38" s="23">
        <f>0.232*$J$8+2.36</f>
        <v>2.36</v>
      </c>
      <c r="W38" s="23">
        <f>0.232*$J$9+2.36</f>
        <v>2.36</v>
      </c>
      <c r="X38" s="23">
        <f>0.232*$J$10+2.36</f>
        <v>2.36</v>
      </c>
      <c r="Y38" s="23">
        <f>0.232*$J$11+2.36</f>
        <v>2.36</v>
      </c>
      <c r="Z38" s="23">
        <f>0.232*$J$12+2.36</f>
        <v>2.36</v>
      </c>
      <c r="AA38" s="23">
        <f>0.232*$J$13+2.36</f>
        <v>2.36</v>
      </c>
      <c r="AB38" s="23">
        <f>0.232*$J$14+2.36</f>
        <v>2.36</v>
      </c>
      <c r="AC38" s="23">
        <f>0.232*$J$15+2.36</f>
        <v>2.36</v>
      </c>
      <c r="AE38" s="83"/>
    </row>
    <row r="39" spans="1:31" hidden="1" x14ac:dyDescent="0.25">
      <c r="A39" s="27"/>
      <c r="H39" s="5" t="s">
        <v>138</v>
      </c>
      <c r="I39" s="6" t="s">
        <v>136</v>
      </c>
      <c r="J39" s="6" t="s">
        <v>183</v>
      </c>
      <c r="K39" s="22">
        <f>(0.29*$J$8)+2.95</f>
        <v>2.95</v>
      </c>
      <c r="L39" s="22">
        <f>(0.29*$J$9)+2.95</f>
        <v>2.95</v>
      </c>
      <c r="M39" s="22">
        <f>(0.29*$J$10)+2.95</f>
        <v>2.95</v>
      </c>
      <c r="N39" s="22">
        <f>(0.29*$J$11)+2.95</f>
        <v>2.95</v>
      </c>
      <c r="O39" s="22">
        <f>(0.29*$J$12)+2.95</f>
        <v>2.95</v>
      </c>
      <c r="P39" s="22">
        <f>(0.29*$J$13)+2.95</f>
        <v>2.95</v>
      </c>
      <c r="Q39" s="22">
        <f>(0.29*$J$14)+2.95</f>
        <v>2.95</v>
      </c>
      <c r="R39" s="22">
        <f>(0.29*$J$15)+2.95</f>
        <v>2.95</v>
      </c>
      <c r="S39" s="5" t="s">
        <v>138</v>
      </c>
      <c r="T39" s="6" t="s">
        <v>136</v>
      </c>
      <c r="U39" s="6" t="s">
        <v>184</v>
      </c>
      <c r="V39" s="23">
        <f>0.232*$J$8+2.36</f>
        <v>2.36</v>
      </c>
      <c r="W39" s="23">
        <f>0.232*$J$9+2.36</f>
        <v>2.36</v>
      </c>
      <c r="X39" s="23">
        <f>0.232*$J$10+2.36</f>
        <v>2.36</v>
      </c>
      <c r="Y39" s="23">
        <f>0.232*$J$11+2.36</f>
        <v>2.36</v>
      </c>
      <c r="Z39" s="23">
        <f>0.232*$J$12+2.36</f>
        <v>2.36</v>
      </c>
      <c r="AA39" s="23">
        <f>0.232*$J$13+2.36</f>
        <v>2.36</v>
      </c>
      <c r="AB39" s="23">
        <f>0.232*$J$14+2.36</f>
        <v>2.36</v>
      </c>
      <c r="AC39" s="23">
        <f>0.232*$J$15+2.36</f>
        <v>2.36</v>
      </c>
      <c r="AE39" s="83"/>
    </row>
    <row r="40" spans="1:31" hidden="1" x14ac:dyDescent="0.25">
      <c r="A40" s="27"/>
      <c r="H40" s="219"/>
      <c r="I40" s="33"/>
      <c r="J40" s="33"/>
      <c r="K40" s="35"/>
      <c r="L40" s="35"/>
      <c r="M40" s="35"/>
      <c r="N40" s="35"/>
      <c r="O40" s="35"/>
      <c r="P40" s="35"/>
      <c r="Q40" s="35"/>
      <c r="R40" s="35"/>
      <c r="S40" s="219"/>
      <c r="T40" s="33"/>
      <c r="U40" s="33"/>
      <c r="V40" s="126"/>
      <c r="W40" s="126"/>
      <c r="X40" s="126"/>
      <c r="Y40" s="126"/>
      <c r="Z40" s="126"/>
      <c r="AA40" s="126"/>
      <c r="AB40" s="126"/>
      <c r="AC40" s="126"/>
      <c r="AE40" s="83"/>
    </row>
    <row r="41" spans="1:31" hidden="1" x14ac:dyDescent="0.25">
      <c r="A41" s="27"/>
      <c r="H41" s="133" t="s">
        <v>159</v>
      </c>
      <c r="I41" s="134">
        <v>44348</v>
      </c>
      <c r="J41" s="254"/>
      <c r="K41" s="254"/>
      <c r="L41" s="254"/>
      <c r="M41" s="254"/>
      <c r="N41" s="254"/>
      <c r="O41" s="254"/>
      <c r="P41" s="254"/>
      <c r="Q41" s="254"/>
      <c r="R41" s="255"/>
      <c r="S41" s="253" t="s">
        <v>119</v>
      </c>
      <c r="T41" s="253"/>
      <c r="U41" s="253"/>
      <c r="V41" s="253"/>
      <c r="W41" s="253"/>
      <c r="X41" s="253"/>
      <c r="Y41" s="253"/>
      <c r="Z41" s="253"/>
      <c r="AA41" s="253"/>
      <c r="AB41" s="253"/>
      <c r="AC41" s="253"/>
      <c r="AE41" s="83"/>
    </row>
    <row r="42" spans="1:31" ht="30" hidden="1" x14ac:dyDescent="0.25">
      <c r="A42" s="27"/>
      <c r="H42" s="3" t="s">
        <v>120</v>
      </c>
      <c r="I42" s="2" t="s">
        <v>121</v>
      </c>
      <c r="J42" s="3" t="s">
        <v>122</v>
      </c>
      <c r="K42" s="2">
        <v>1</v>
      </c>
      <c r="L42" s="2">
        <v>2</v>
      </c>
      <c r="M42" s="2">
        <v>3</v>
      </c>
      <c r="N42" s="2">
        <v>4</v>
      </c>
      <c r="O42" s="2">
        <v>5</v>
      </c>
      <c r="P42" s="2">
        <v>6</v>
      </c>
      <c r="Q42" s="2">
        <v>7</v>
      </c>
      <c r="R42" s="2">
        <v>8</v>
      </c>
      <c r="S42" s="3" t="s">
        <v>120</v>
      </c>
      <c r="T42" s="2" t="s">
        <v>121</v>
      </c>
      <c r="U42" s="3" t="s">
        <v>123</v>
      </c>
      <c r="V42" s="2">
        <v>1</v>
      </c>
      <c r="W42" s="2">
        <v>2</v>
      </c>
      <c r="X42" s="2">
        <v>3</v>
      </c>
      <c r="Y42" s="2">
        <v>4</v>
      </c>
      <c r="Z42" s="2">
        <v>5</v>
      </c>
      <c r="AA42" s="2">
        <v>6</v>
      </c>
      <c r="AB42" s="2">
        <v>7</v>
      </c>
      <c r="AC42" s="2">
        <v>8</v>
      </c>
      <c r="AE42" s="83"/>
    </row>
    <row r="43" spans="1:31" hidden="1" x14ac:dyDescent="0.25">
      <c r="A43" s="27"/>
      <c r="H43" s="5" t="s">
        <v>125</v>
      </c>
      <c r="I43" s="6" t="s">
        <v>126</v>
      </c>
      <c r="J43" s="6" t="s">
        <v>178</v>
      </c>
      <c r="K43" s="22">
        <f>(0.22*$J$8)+1.38</f>
        <v>1.38</v>
      </c>
      <c r="L43" s="22">
        <f>(0.22*$J$9)+1.38</f>
        <v>1.38</v>
      </c>
      <c r="M43" s="22">
        <f>(0.22*$J$10)+1.38</f>
        <v>1.38</v>
      </c>
      <c r="N43" s="22">
        <f>(0.22*$J$11)+1.38</f>
        <v>1.38</v>
      </c>
      <c r="O43" s="22">
        <f>(0.22*$J$12)+1.38</f>
        <v>1.38</v>
      </c>
      <c r="P43" s="22">
        <f>(0.22*$J$13)+1.38</f>
        <v>1.38</v>
      </c>
      <c r="Q43" s="22">
        <f>(0.22*$J$14)+1.38</f>
        <v>1.38</v>
      </c>
      <c r="R43" s="22">
        <f>(0.22*$J$15)+1.38</f>
        <v>1.38</v>
      </c>
      <c r="S43" s="5" t="s">
        <v>125</v>
      </c>
      <c r="T43" s="6" t="s">
        <v>126</v>
      </c>
      <c r="U43" s="6" t="s">
        <v>179</v>
      </c>
      <c r="V43" s="23">
        <f>0.21*J8+0.9</f>
        <v>0.9</v>
      </c>
      <c r="W43" s="23">
        <f>0.21*J9+0.9</f>
        <v>0.9</v>
      </c>
      <c r="X43" s="23">
        <f>0.21*J10+0.9</f>
        <v>0.9</v>
      </c>
      <c r="Y43" s="23">
        <f>0.21*J11+0.9</f>
        <v>0.9</v>
      </c>
      <c r="Z43" s="23">
        <f>0.21*J12+0.9</f>
        <v>0.9</v>
      </c>
      <c r="AA43" s="23">
        <f>0.21*J13+0.9</f>
        <v>0.9</v>
      </c>
      <c r="AB43" s="23">
        <f>0.21*J14+0.9</f>
        <v>0.9</v>
      </c>
      <c r="AC43" s="23">
        <f>0.21*J15+0.9</f>
        <v>0.9</v>
      </c>
      <c r="AE43" s="83"/>
    </row>
    <row r="44" spans="1:31" hidden="1" x14ac:dyDescent="0.25">
      <c r="A44" s="27"/>
      <c r="H44" s="5" t="s">
        <v>125</v>
      </c>
      <c r="I44" s="6" t="s">
        <v>131</v>
      </c>
      <c r="J44" s="6" t="s">
        <v>178</v>
      </c>
      <c r="K44" s="22">
        <f>(0.22*$J$8)+1.38</f>
        <v>1.38</v>
      </c>
      <c r="L44" s="22">
        <f>(0.22*$J$9)+1.38</f>
        <v>1.38</v>
      </c>
      <c r="M44" s="22">
        <f>(0.22*$J$10)+1.38</f>
        <v>1.38</v>
      </c>
      <c r="N44" s="22">
        <f>(0.22*$J$11)+1.38</f>
        <v>1.38</v>
      </c>
      <c r="O44" s="22">
        <f>(0.22*$J$12)+1.38</f>
        <v>1.38</v>
      </c>
      <c r="P44" s="22">
        <f>(0.22*$J$13)+1.38</f>
        <v>1.38</v>
      </c>
      <c r="Q44" s="22">
        <f>(0.22*$J$14)+1.38</f>
        <v>1.38</v>
      </c>
      <c r="R44" s="22">
        <f>(0.22*$J$15)+1.38</f>
        <v>1.38</v>
      </c>
      <c r="S44" s="5" t="s">
        <v>125</v>
      </c>
      <c r="T44" s="6" t="s">
        <v>131</v>
      </c>
      <c r="U44" s="6" t="s">
        <v>180</v>
      </c>
      <c r="V44" s="23">
        <f>0.12*J8+2.248</f>
        <v>2.2480000000000002</v>
      </c>
      <c r="W44" s="23">
        <f>0.12*J9+2.248</f>
        <v>2.2480000000000002</v>
      </c>
      <c r="X44" s="23">
        <f>0.12*J10+2.248</f>
        <v>2.2480000000000002</v>
      </c>
      <c r="Y44" s="23">
        <f>0.12*J11+2.248</f>
        <v>2.2480000000000002</v>
      </c>
      <c r="Z44" s="23">
        <f>0.12*J12+2.248</f>
        <v>2.2480000000000002</v>
      </c>
      <c r="AA44" s="23">
        <f>0.12*J13+2.248</f>
        <v>2.2480000000000002</v>
      </c>
      <c r="AB44" s="23">
        <f>0.12*J14+2.248</f>
        <v>2.2480000000000002</v>
      </c>
      <c r="AC44" s="23">
        <f>0.12*J15+2.248</f>
        <v>2.2480000000000002</v>
      </c>
      <c r="AE44" s="83"/>
    </row>
    <row r="45" spans="1:31" hidden="1" x14ac:dyDescent="0.25">
      <c r="A45" s="27"/>
      <c r="H45" s="5" t="s">
        <v>125</v>
      </c>
      <c r="I45" s="6" t="s">
        <v>133</v>
      </c>
      <c r="J45" s="6" t="s">
        <v>178</v>
      </c>
      <c r="K45" s="22">
        <f>(0.22*$J$8)+1.38</f>
        <v>1.38</v>
      </c>
      <c r="L45" s="22">
        <f>(0.22*$J$9)+1.38</f>
        <v>1.38</v>
      </c>
      <c r="M45" s="22">
        <f>(0.22*$J$10)+1.38</f>
        <v>1.38</v>
      </c>
      <c r="N45" s="22">
        <f>(0.22*$J$11)+1.38</f>
        <v>1.38</v>
      </c>
      <c r="O45" s="22">
        <f>(0.22*$J$12)+1.38</f>
        <v>1.38</v>
      </c>
      <c r="P45" s="22">
        <f>(0.22*$J$13)+1.38</f>
        <v>1.38</v>
      </c>
      <c r="Q45" s="22">
        <f>(0.22*$J$14)+1.38</f>
        <v>1.38</v>
      </c>
      <c r="R45" s="22">
        <f>(0.22*$J$15)+1.38</f>
        <v>1.38</v>
      </c>
      <c r="S45" s="5" t="s">
        <v>125</v>
      </c>
      <c r="T45" s="6" t="s">
        <v>133</v>
      </c>
      <c r="U45" s="6" t="s">
        <v>181</v>
      </c>
      <c r="V45" s="23">
        <f>0.285*J8-2.703</f>
        <v>-2.7029999999999998</v>
      </c>
      <c r="W45" s="23">
        <f>0.285*J9-2.703</f>
        <v>-2.7029999999999998</v>
      </c>
      <c r="X45" s="23">
        <f>0.285*J10-2.703</f>
        <v>-2.7029999999999998</v>
      </c>
      <c r="Y45" s="23">
        <f>0.285*J11-2.703</f>
        <v>-2.7029999999999998</v>
      </c>
      <c r="Z45" s="23">
        <f>0.285*J12-2.703</f>
        <v>-2.7029999999999998</v>
      </c>
      <c r="AA45" s="23">
        <f>0.285*J13-2.703</f>
        <v>-2.7029999999999998</v>
      </c>
      <c r="AB45" s="23">
        <f>0.285*J14-2.703</f>
        <v>-2.7029999999999998</v>
      </c>
      <c r="AC45" s="23">
        <f>0.285*J15-2.703</f>
        <v>-2.7029999999999998</v>
      </c>
      <c r="AE45" s="83"/>
    </row>
    <row r="46" spans="1:31" hidden="1" x14ac:dyDescent="0.25">
      <c r="A46" s="27"/>
      <c r="H46" s="5" t="s">
        <v>125</v>
      </c>
      <c r="I46" s="6" t="s">
        <v>136</v>
      </c>
      <c r="J46" s="6" t="s">
        <v>178</v>
      </c>
      <c r="K46" s="22">
        <f>(0.22*$J$8)+1.38</f>
        <v>1.38</v>
      </c>
      <c r="L46" s="22">
        <f>(0.22*$J$9)+1.38</f>
        <v>1.38</v>
      </c>
      <c r="M46" s="22">
        <f>(0.22*$J$10)+1.38</f>
        <v>1.38</v>
      </c>
      <c r="N46" s="22">
        <f>(0.22*$J$11)+1.38</f>
        <v>1.38</v>
      </c>
      <c r="O46" s="22">
        <f>(0.22*$J$12)+1.38</f>
        <v>1.38</v>
      </c>
      <c r="P46" s="22">
        <f>(0.22*$J$13)+1.38</f>
        <v>1.38</v>
      </c>
      <c r="Q46" s="22">
        <f>(0.22*$J$14)+1.38</f>
        <v>1.38</v>
      </c>
      <c r="R46" s="22">
        <f>(0.22*$J$15)+1.38</f>
        <v>1.38</v>
      </c>
      <c r="S46" s="5" t="s">
        <v>125</v>
      </c>
      <c r="T46" s="6" t="s">
        <v>136</v>
      </c>
      <c r="U46" s="6" t="s">
        <v>182</v>
      </c>
      <c r="V46" s="23">
        <f>0.142*J8+4.445</f>
        <v>4.4450000000000003</v>
      </c>
      <c r="W46" s="23">
        <f>0.142*J9+4.445</f>
        <v>4.4450000000000003</v>
      </c>
      <c r="X46" s="23">
        <f>0.142*J10+4.445</f>
        <v>4.4450000000000003</v>
      </c>
      <c r="Y46" s="23">
        <f>0.142*J11+4.445</f>
        <v>4.4450000000000003</v>
      </c>
      <c r="Z46" s="23">
        <f>0.142*J12+4.445</f>
        <v>4.4450000000000003</v>
      </c>
      <c r="AA46" s="23">
        <f>0.142*J13+4.445</f>
        <v>4.4450000000000003</v>
      </c>
      <c r="AB46" s="23">
        <f>0.142*J14+4.445</f>
        <v>4.4450000000000003</v>
      </c>
      <c r="AC46" s="23">
        <f>0.142*J15+4.445</f>
        <v>4.4450000000000003</v>
      </c>
      <c r="AE46" s="83"/>
    </row>
    <row r="47" spans="1:31" hidden="1" x14ac:dyDescent="0.25">
      <c r="A47" s="27"/>
      <c r="H47" s="5" t="s">
        <v>138</v>
      </c>
      <c r="I47" s="6" t="s">
        <v>126</v>
      </c>
      <c r="J47" s="6" t="s">
        <v>183</v>
      </c>
      <c r="K47" s="22">
        <f>(0.29*$J$8)+2.95</f>
        <v>2.95</v>
      </c>
      <c r="L47" s="22">
        <f>(0.29*$J$9)+2.95</f>
        <v>2.95</v>
      </c>
      <c r="M47" s="22">
        <f>(0.29*$J$10)+2.95</f>
        <v>2.95</v>
      </c>
      <c r="N47" s="22">
        <f>(0.29*$J$11)+2.95</f>
        <v>2.95</v>
      </c>
      <c r="O47" s="22">
        <f>(0.29*$J$12)+2.95</f>
        <v>2.95</v>
      </c>
      <c r="P47" s="22">
        <f>(0.29*$J$13)+2.95</f>
        <v>2.95</v>
      </c>
      <c r="Q47" s="22">
        <f>(0.29*$J$14)+2.95</f>
        <v>2.95</v>
      </c>
      <c r="R47" s="22">
        <f>(0.29*$J$15)+2.95</f>
        <v>2.95</v>
      </c>
      <c r="S47" s="5" t="s">
        <v>138</v>
      </c>
      <c r="T47" s="6" t="s">
        <v>126</v>
      </c>
      <c r="U47" s="6" t="s">
        <v>184</v>
      </c>
      <c r="V47" s="23">
        <f>0.232*$J$8+2.36</f>
        <v>2.36</v>
      </c>
      <c r="W47" s="23">
        <f>0.232*$J$9+2.36</f>
        <v>2.36</v>
      </c>
      <c r="X47" s="23">
        <f>0.232*$J$10+2.36</f>
        <v>2.36</v>
      </c>
      <c r="Y47" s="23">
        <f>0.232*$J$11+2.36</f>
        <v>2.36</v>
      </c>
      <c r="Z47" s="23">
        <f>0.232*$J$12+2.36</f>
        <v>2.36</v>
      </c>
      <c r="AA47" s="23">
        <f>0.232*$J$13+2.36</f>
        <v>2.36</v>
      </c>
      <c r="AB47" s="23">
        <f>0.232*$J$14+2.36</f>
        <v>2.36</v>
      </c>
      <c r="AC47" s="23">
        <f>0.232*$J$15+2.36</f>
        <v>2.36</v>
      </c>
      <c r="AE47" s="83"/>
    </row>
    <row r="48" spans="1:31" hidden="1" x14ac:dyDescent="0.25">
      <c r="A48" s="27"/>
      <c r="H48" s="5" t="s">
        <v>138</v>
      </c>
      <c r="I48" s="6" t="s">
        <v>131</v>
      </c>
      <c r="J48" s="6" t="s">
        <v>183</v>
      </c>
      <c r="K48" s="22">
        <f>(0.29*$J$8)+2.95</f>
        <v>2.95</v>
      </c>
      <c r="L48" s="22">
        <f>(0.29*$J$9)+2.95</f>
        <v>2.95</v>
      </c>
      <c r="M48" s="22">
        <f>(0.29*$J$10)+2.95</f>
        <v>2.95</v>
      </c>
      <c r="N48" s="22">
        <f>(0.29*$J$11)+2.95</f>
        <v>2.95</v>
      </c>
      <c r="O48" s="22">
        <f>(0.29*$J$12)+2.95</f>
        <v>2.95</v>
      </c>
      <c r="P48" s="22">
        <f>(0.29*$J$13)+2.95</f>
        <v>2.95</v>
      </c>
      <c r="Q48" s="22">
        <f>(0.29*$J$14)+2.95</f>
        <v>2.95</v>
      </c>
      <c r="R48" s="22">
        <f>(0.29*$J$15)+2.95</f>
        <v>2.95</v>
      </c>
      <c r="S48" s="5" t="s">
        <v>138</v>
      </c>
      <c r="T48" s="6" t="s">
        <v>131</v>
      </c>
      <c r="U48" s="6" t="s">
        <v>184</v>
      </c>
      <c r="V48" s="23">
        <f>0.232*$J$8+2.36</f>
        <v>2.36</v>
      </c>
      <c r="W48" s="23">
        <f>0.232*$J$9+2.36</f>
        <v>2.36</v>
      </c>
      <c r="X48" s="23">
        <f>0.232*$J$10+2.36</f>
        <v>2.36</v>
      </c>
      <c r="Y48" s="23">
        <f>0.232*$J$11+2.36</f>
        <v>2.36</v>
      </c>
      <c r="Z48" s="23">
        <f>0.232*$J$12+2.36</f>
        <v>2.36</v>
      </c>
      <c r="AA48" s="23">
        <f>0.232*$J$13+2.36</f>
        <v>2.36</v>
      </c>
      <c r="AB48" s="23">
        <f>0.232*$J$14+2.36</f>
        <v>2.36</v>
      </c>
      <c r="AC48" s="23">
        <f>0.232*$J$15+2.36</f>
        <v>2.36</v>
      </c>
      <c r="AE48" s="83"/>
    </row>
    <row r="49" spans="1:31" hidden="1" x14ac:dyDescent="0.25">
      <c r="A49" s="27"/>
      <c r="H49" s="5" t="s">
        <v>138</v>
      </c>
      <c r="I49" s="6" t="s">
        <v>133</v>
      </c>
      <c r="J49" s="6" t="s">
        <v>183</v>
      </c>
      <c r="K49" s="22">
        <f>(0.29*$J$8)+2.95</f>
        <v>2.95</v>
      </c>
      <c r="L49" s="22">
        <f>(0.29*$J$9)+2.95</f>
        <v>2.95</v>
      </c>
      <c r="M49" s="22">
        <f>(0.29*$J$10)+2.95</f>
        <v>2.95</v>
      </c>
      <c r="N49" s="22">
        <f>(0.29*$J$11)+2.95</f>
        <v>2.95</v>
      </c>
      <c r="O49" s="22">
        <f>(0.29*$J$12)+2.95</f>
        <v>2.95</v>
      </c>
      <c r="P49" s="22">
        <f>(0.29*$J$13)+2.95</f>
        <v>2.95</v>
      </c>
      <c r="Q49" s="22">
        <f>(0.29*$J$14)+2.95</f>
        <v>2.95</v>
      </c>
      <c r="R49" s="22">
        <f>(0.29*$J$15)+2.95</f>
        <v>2.95</v>
      </c>
      <c r="S49" s="5" t="s">
        <v>138</v>
      </c>
      <c r="T49" s="6" t="s">
        <v>133</v>
      </c>
      <c r="U49" s="6" t="s">
        <v>184</v>
      </c>
      <c r="V49" s="23">
        <f>0.232*$J$8+2.36</f>
        <v>2.36</v>
      </c>
      <c r="W49" s="23">
        <f>0.232*$J$9+2.36</f>
        <v>2.36</v>
      </c>
      <c r="X49" s="23">
        <f>0.232*$J$10+2.36</f>
        <v>2.36</v>
      </c>
      <c r="Y49" s="23">
        <f>0.232*$J$11+2.36</f>
        <v>2.36</v>
      </c>
      <c r="Z49" s="23">
        <f>0.232*$J$12+2.36</f>
        <v>2.36</v>
      </c>
      <c r="AA49" s="23">
        <f>0.232*$J$13+2.36</f>
        <v>2.36</v>
      </c>
      <c r="AB49" s="23">
        <f>0.232*$J$14+2.36</f>
        <v>2.36</v>
      </c>
      <c r="AC49" s="23">
        <f>0.232*$J$15+2.36</f>
        <v>2.36</v>
      </c>
      <c r="AE49" s="83"/>
    </row>
    <row r="50" spans="1:31" hidden="1" x14ac:dyDescent="0.25">
      <c r="A50" s="27"/>
      <c r="H50" s="5" t="s">
        <v>138</v>
      </c>
      <c r="I50" s="6" t="s">
        <v>136</v>
      </c>
      <c r="J50" s="6" t="s">
        <v>183</v>
      </c>
      <c r="K50" s="22">
        <f>(0.29*$J$8)+2.95</f>
        <v>2.95</v>
      </c>
      <c r="L50" s="22">
        <f>(0.29*$J$9)+2.95</f>
        <v>2.95</v>
      </c>
      <c r="M50" s="22">
        <f>(0.29*$J$10)+2.95</f>
        <v>2.95</v>
      </c>
      <c r="N50" s="22">
        <f>(0.29*$J$11)+2.95</f>
        <v>2.95</v>
      </c>
      <c r="O50" s="22">
        <f>(0.29*$J$12)+2.95</f>
        <v>2.95</v>
      </c>
      <c r="P50" s="22">
        <f>(0.29*$J$13)+2.95</f>
        <v>2.95</v>
      </c>
      <c r="Q50" s="22">
        <f>(0.29*$J$14)+2.95</f>
        <v>2.95</v>
      </c>
      <c r="R50" s="22">
        <f>(0.29*$J$15)+2.95</f>
        <v>2.95</v>
      </c>
      <c r="S50" s="5" t="s">
        <v>138</v>
      </c>
      <c r="T50" s="6" t="s">
        <v>136</v>
      </c>
      <c r="U50" s="6" t="s">
        <v>184</v>
      </c>
      <c r="V50" s="23">
        <f>0.232*$J$8+2.36</f>
        <v>2.36</v>
      </c>
      <c r="W50" s="23">
        <f>0.232*$J$9+2.36</f>
        <v>2.36</v>
      </c>
      <c r="X50" s="23">
        <f>0.232*$J$10+2.36</f>
        <v>2.36</v>
      </c>
      <c r="Y50" s="23">
        <f>0.232*$J$11+2.36</f>
        <v>2.36</v>
      </c>
      <c r="Z50" s="23">
        <f>0.232*$J$12+2.36</f>
        <v>2.36</v>
      </c>
      <c r="AA50" s="23">
        <f>0.232*$J$13+2.36</f>
        <v>2.36</v>
      </c>
      <c r="AB50" s="23">
        <f>0.232*$J$14+2.36</f>
        <v>2.36</v>
      </c>
      <c r="AC50" s="23">
        <f>0.232*$J$15+2.36</f>
        <v>2.36</v>
      </c>
      <c r="AE50" s="83"/>
    </row>
    <row r="51" spans="1:31" hidden="1" x14ac:dyDescent="0.25">
      <c r="A51" s="27"/>
      <c r="H51" s="219"/>
      <c r="I51" s="33"/>
      <c r="J51" s="33"/>
      <c r="K51" s="35"/>
      <c r="L51" s="35"/>
      <c r="M51" s="35"/>
      <c r="N51" s="35"/>
      <c r="O51" s="35"/>
      <c r="P51" s="35"/>
      <c r="Q51" s="35"/>
      <c r="R51" s="35"/>
      <c r="S51" s="35"/>
      <c r="T51" s="219"/>
      <c r="U51" s="33"/>
      <c r="V51" s="33"/>
      <c r="W51" s="126"/>
      <c r="X51" s="126"/>
      <c r="Y51" s="126"/>
      <c r="Z51" s="126"/>
      <c r="AA51" s="126"/>
      <c r="AB51" s="126"/>
      <c r="AC51" s="126"/>
      <c r="AD51" s="126"/>
      <c r="AE51" s="83"/>
    </row>
    <row r="52" spans="1:31" hidden="1" x14ac:dyDescent="0.25">
      <c r="A52" s="27"/>
      <c r="H52" s="219"/>
      <c r="I52" s="33"/>
      <c r="J52" s="33"/>
      <c r="K52" s="35"/>
      <c r="L52" s="35"/>
      <c r="M52" s="35"/>
      <c r="N52" s="35"/>
      <c r="O52" s="35"/>
      <c r="P52" s="35"/>
      <c r="Q52" s="35"/>
      <c r="R52" s="35"/>
      <c r="S52" s="35"/>
      <c r="T52" s="219"/>
      <c r="U52" s="33"/>
      <c r="V52" s="33"/>
      <c r="W52" s="126"/>
      <c r="X52" s="126"/>
      <c r="Y52" s="126"/>
      <c r="Z52" s="126"/>
      <c r="AA52" s="126"/>
      <c r="AB52" s="126"/>
      <c r="AC52" s="126"/>
      <c r="AD52" s="126"/>
      <c r="AE52" s="83"/>
    </row>
    <row r="53" spans="1:31" hidden="1" x14ac:dyDescent="0.25">
      <c r="A53" s="27"/>
      <c r="H53" s="219"/>
      <c r="I53" s="33"/>
      <c r="J53" s="33"/>
      <c r="K53" s="35"/>
      <c r="L53" s="35"/>
      <c r="M53" s="35"/>
      <c r="N53" s="35"/>
      <c r="O53" s="35"/>
      <c r="P53" s="35"/>
      <c r="Q53" s="35"/>
      <c r="R53" s="35"/>
      <c r="S53" s="35"/>
      <c r="T53" s="219"/>
      <c r="U53" s="33"/>
      <c r="V53" s="33"/>
      <c r="W53" s="126"/>
      <c r="X53" s="126"/>
      <c r="Y53" s="126"/>
      <c r="Z53" s="126"/>
      <c r="AA53" s="126"/>
      <c r="AB53" s="126"/>
      <c r="AC53" s="126"/>
      <c r="AD53" s="126"/>
      <c r="AE53" s="83"/>
    </row>
    <row r="54" spans="1:31" hidden="1" x14ac:dyDescent="0.25">
      <c r="A54" s="27"/>
      <c r="AE54" s="83"/>
    </row>
    <row r="55" spans="1:31"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row>
    <row r="56" spans="1:31"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row>
    <row r="57" spans="1:31" s="82" customFormat="1" x14ac:dyDescent="0.25"/>
    <row r="58" spans="1:31" s="82" customFormat="1" x14ac:dyDescent="0.25"/>
    <row r="59" spans="1:31" s="82" customFormat="1" x14ac:dyDescent="0.25"/>
    <row r="60" spans="1:31" s="82" customFormat="1" x14ac:dyDescent="0.25"/>
    <row r="61" spans="1:31" s="82" customFormat="1" x14ac:dyDescent="0.25"/>
    <row r="62" spans="1:31" s="82" customFormat="1" x14ac:dyDescent="0.25"/>
    <row r="63" spans="1:31" s="82" customFormat="1" x14ac:dyDescent="0.25"/>
    <row r="64" spans="1:31"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sheetData>
  <sheetProtection algorithmName="SHA-512" hashValue="eIEs0mKe2XpDOq8JYdvfYinRDzvPMsxQE5+GqdiHQc2njrZxZsW+QTgvYfm9f6qn6fLkCv52qeBPAbbzY7gJKQ==" saltValue="ZT8zNQqywG4Zs/M5Mk7Nlw==" spinCount="100000" sheet="1" selectLockedCells="1"/>
  <mergeCells count="4">
    <mergeCell ref="B3:C3"/>
    <mergeCell ref="B2:S2"/>
    <mergeCell ref="C18:AD18"/>
    <mergeCell ref="D3:J4"/>
  </mergeCells>
  <dataValidations disablePrompts="1" count="2">
    <dataValidation type="list" allowBlank="1" showInputMessage="1" showErrorMessage="1" sqref="D8:D15" xr:uid="{00000000-0002-0000-0300-000000000000}">
      <formula1>$C$21:$C$22</formula1>
    </dataValidation>
    <dataValidation type="list" allowBlank="1" showInputMessage="1" showErrorMessage="1" sqref="I8:I15" xr:uid="{00000000-0002-0000-0300-000001000000}">
      <formula1>$H$24:$H$25</formula1>
    </dataValidation>
  </dataValidations>
  <hyperlinks>
    <hyperlink ref="B3" location="'Calculator Index'!A1" display="Return to Index" xr:uid="{00000000-0004-0000-0300-000000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H1429"/>
  <sheetViews>
    <sheetView zoomScale="90" zoomScaleNormal="90" workbookViewId="0">
      <selection activeCell="K11" sqref="K11"/>
    </sheetView>
  </sheetViews>
  <sheetFormatPr defaultRowHeight="15" x14ac:dyDescent="0.25"/>
  <cols>
    <col min="1" max="1" width="3.7109375" customWidth="1"/>
    <col min="2" max="2" width="5.28515625" customWidth="1"/>
    <col min="3" max="3" width="23.85546875" bestFit="1" customWidth="1"/>
    <col min="4" max="4" width="22.7109375" customWidth="1"/>
    <col min="5" max="5" width="20.28515625" customWidth="1"/>
    <col min="6" max="8" width="20.42578125" customWidth="1"/>
    <col min="9" max="9" width="40.7109375" customWidth="1"/>
    <col min="10" max="10" width="27.5703125" customWidth="1"/>
    <col min="11" max="11" width="17.42578125" customWidth="1"/>
    <col min="12" max="12" width="19.140625" customWidth="1"/>
    <col min="13" max="13" width="14" customWidth="1"/>
    <col min="14" max="14" width="15.5703125" hidden="1" customWidth="1"/>
    <col min="15" max="15" width="14.28515625" hidden="1" customWidth="1"/>
    <col min="16" max="16" width="14" hidden="1" customWidth="1"/>
    <col min="17" max="17" width="11.140625" hidden="1" customWidth="1"/>
    <col min="18" max="18" width="10.7109375" hidden="1" customWidth="1"/>
    <col min="19" max="19" width="16.5703125" hidden="1" customWidth="1"/>
    <col min="20" max="26" width="23.42578125" hidden="1" customWidth="1"/>
    <col min="27" max="27" width="14.140625" hidden="1" customWidth="1"/>
    <col min="28" max="34" width="23.42578125" hidden="1" customWidth="1"/>
    <col min="35" max="36" width="14.140625" hidden="1" customWidth="1"/>
    <col min="37" max="38" width="16.42578125" hidden="1" customWidth="1"/>
    <col min="39" max="40" width="16.42578125" customWidth="1"/>
    <col min="41" max="41" width="14.28515625" customWidth="1"/>
    <col min="42" max="42" width="14.5703125" hidden="1" customWidth="1"/>
    <col min="43" max="43" width="16.28515625" hidden="1" customWidth="1"/>
    <col min="44" max="44" width="14.140625" hidden="1" customWidth="1"/>
    <col min="45" max="45" width="6.85546875" customWidth="1"/>
    <col min="46" max="164" width="9.140625" style="82"/>
  </cols>
  <sheetData>
    <row r="1" spans="1:45" ht="19.5" customHeight="1" x14ac:dyDescent="0.25">
      <c r="A1" s="38"/>
      <c r="B1" s="38"/>
      <c r="C1" s="38"/>
      <c r="D1" s="38"/>
      <c r="E1" s="38"/>
      <c r="F1" s="38"/>
      <c r="G1" s="38"/>
      <c r="H1" s="38"/>
      <c r="I1" s="38"/>
      <c r="J1" s="38"/>
      <c r="K1" s="38"/>
      <c r="L1" s="38"/>
      <c r="M1" s="38"/>
      <c r="N1" s="27"/>
      <c r="O1" s="27"/>
      <c r="P1" s="27"/>
      <c r="Q1" s="27"/>
      <c r="R1" s="27"/>
      <c r="S1" s="27"/>
      <c r="T1" s="27"/>
      <c r="U1" s="27"/>
      <c r="V1" s="27"/>
      <c r="W1" s="27"/>
      <c r="X1" s="27"/>
      <c r="Y1" s="27"/>
      <c r="Z1" s="27"/>
      <c r="AA1" s="27"/>
      <c r="AB1" s="27"/>
      <c r="AC1" s="27"/>
      <c r="AD1" s="27"/>
      <c r="AE1" s="27"/>
      <c r="AF1" s="27"/>
      <c r="AG1" s="27"/>
      <c r="AH1" s="27"/>
      <c r="AI1" s="27"/>
      <c r="AJ1" s="27"/>
      <c r="AK1" s="27"/>
      <c r="AL1" s="27"/>
      <c r="AM1" s="38"/>
      <c r="AN1" s="38"/>
      <c r="AO1" s="38"/>
      <c r="AP1" s="137" t="s">
        <v>185</v>
      </c>
      <c r="AQ1" s="137"/>
      <c r="AR1" s="137" t="s">
        <v>186</v>
      </c>
      <c r="AS1" s="83"/>
    </row>
    <row r="2" spans="1:45" ht="27" customHeight="1" x14ac:dyDescent="0.25">
      <c r="A2" s="38"/>
      <c r="B2" s="519" t="s">
        <v>187</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137"/>
      <c r="AQ2" s="137"/>
      <c r="AR2" s="27"/>
      <c r="AS2" s="83"/>
    </row>
    <row r="3" spans="1:45" ht="22.5" customHeight="1" x14ac:dyDescent="0.25">
      <c r="A3" s="38"/>
      <c r="B3" s="505" t="s">
        <v>79</v>
      </c>
      <c r="C3" s="506"/>
      <c r="D3" s="521" t="s">
        <v>188</v>
      </c>
      <c r="E3" s="522"/>
      <c r="F3" s="522"/>
      <c r="G3" s="522"/>
      <c r="H3" s="522"/>
      <c r="I3" s="523"/>
      <c r="J3" s="38"/>
      <c r="K3" s="38"/>
      <c r="L3" s="38"/>
      <c r="M3" s="38"/>
      <c r="N3" s="27"/>
      <c r="O3" s="27"/>
      <c r="P3" s="27"/>
      <c r="Q3" s="27"/>
      <c r="R3" s="27"/>
      <c r="S3" s="27"/>
      <c r="T3" s="27"/>
      <c r="U3" s="27"/>
      <c r="V3" s="27"/>
      <c r="W3" s="27"/>
      <c r="X3" s="27"/>
      <c r="Y3" s="27"/>
      <c r="Z3" s="27"/>
      <c r="AA3" s="27"/>
      <c r="AB3" s="27"/>
      <c r="AC3" s="27"/>
      <c r="AD3" s="27"/>
      <c r="AE3" s="27"/>
      <c r="AF3" s="27"/>
      <c r="AG3" s="27"/>
      <c r="AH3" s="27"/>
      <c r="AI3" s="27"/>
      <c r="AJ3" s="27"/>
      <c r="AK3" s="27"/>
      <c r="AL3" s="27"/>
      <c r="AM3" s="38"/>
      <c r="AN3" s="38"/>
      <c r="AO3" s="38"/>
      <c r="AP3" s="27"/>
      <c r="AQ3" s="27"/>
      <c r="AR3" s="27"/>
      <c r="AS3" s="83"/>
    </row>
    <row r="4" spans="1:45" x14ac:dyDescent="0.25">
      <c r="A4" s="38"/>
      <c r="B4" s="38"/>
      <c r="C4" s="38"/>
      <c r="D4" s="524"/>
      <c r="E4" s="525"/>
      <c r="F4" s="525"/>
      <c r="G4" s="525"/>
      <c r="H4" s="525"/>
      <c r="I4" s="526"/>
      <c r="J4" s="38"/>
      <c r="K4" s="38"/>
      <c r="L4" s="38"/>
      <c r="M4" s="38"/>
      <c r="N4" s="27"/>
      <c r="O4" s="27"/>
      <c r="P4" s="27"/>
      <c r="Q4" s="27"/>
      <c r="R4" s="27"/>
      <c r="S4" s="27"/>
      <c r="T4" s="27"/>
      <c r="U4" s="27"/>
      <c r="V4" s="27"/>
      <c r="W4" s="27"/>
      <c r="X4" s="27"/>
      <c r="Y4" s="27"/>
      <c r="Z4" s="27"/>
      <c r="AA4" s="27"/>
      <c r="AB4" s="27"/>
      <c r="AC4" s="27"/>
      <c r="AD4" s="27"/>
      <c r="AE4" s="27"/>
      <c r="AF4" s="27"/>
      <c r="AG4" s="27"/>
      <c r="AH4" s="27"/>
      <c r="AI4" s="27"/>
      <c r="AJ4" s="27"/>
      <c r="AK4" s="27"/>
      <c r="AL4" s="27"/>
      <c r="AM4" s="38"/>
      <c r="AN4" s="38"/>
      <c r="AO4" s="38"/>
      <c r="AP4" s="27"/>
      <c r="AQ4" s="27"/>
      <c r="AR4" s="27"/>
      <c r="AS4" s="83"/>
    </row>
    <row r="5" spans="1:45" x14ac:dyDescent="0.25">
      <c r="A5" s="38"/>
      <c r="B5" s="38"/>
      <c r="C5" s="38"/>
      <c r="D5" s="38"/>
      <c r="E5" s="38"/>
      <c r="F5" s="38"/>
      <c r="G5" s="38"/>
      <c r="H5" s="38"/>
      <c r="I5" s="38"/>
      <c r="J5" s="38"/>
      <c r="K5" s="38"/>
      <c r="L5" s="38"/>
      <c r="M5" s="38"/>
      <c r="N5" s="517" t="s">
        <v>189</v>
      </c>
      <c r="O5" s="517"/>
      <c r="P5" s="517"/>
      <c r="Q5" s="517"/>
      <c r="R5" s="517"/>
      <c r="S5" s="27"/>
      <c r="T5" s="27"/>
      <c r="U5" s="518" t="s">
        <v>190</v>
      </c>
      <c r="V5" s="518"/>
      <c r="W5" s="518" t="s">
        <v>190</v>
      </c>
      <c r="X5" s="518"/>
      <c r="Y5" s="518" t="s">
        <v>191</v>
      </c>
      <c r="Z5" s="518"/>
      <c r="AA5" s="518"/>
      <c r="AB5" s="518" t="s">
        <v>192</v>
      </c>
      <c r="AC5" s="518"/>
      <c r="AD5" s="518" t="s">
        <v>192</v>
      </c>
      <c r="AE5" s="518"/>
      <c r="AF5" s="518" t="s">
        <v>193</v>
      </c>
      <c r="AG5" s="518"/>
      <c r="AH5" s="518"/>
      <c r="AI5" s="518"/>
      <c r="AJ5" s="27"/>
      <c r="AK5" s="27"/>
      <c r="AL5" s="27"/>
      <c r="AM5" s="38"/>
      <c r="AN5" s="38"/>
      <c r="AO5" s="38"/>
      <c r="AP5" s="27"/>
      <c r="AQ5" s="27"/>
      <c r="AR5" s="27"/>
      <c r="AS5" s="83"/>
    </row>
    <row r="6" spans="1:45" ht="48" x14ac:dyDescent="0.25">
      <c r="A6" s="38"/>
      <c r="B6" s="153" t="s">
        <v>194</v>
      </c>
      <c r="C6" s="153" t="s">
        <v>82</v>
      </c>
      <c r="D6" s="153" t="s">
        <v>83</v>
      </c>
      <c r="E6" s="153" t="s">
        <v>86</v>
      </c>
      <c r="F6" s="153" t="s">
        <v>87</v>
      </c>
      <c r="G6" s="153" t="s">
        <v>195</v>
      </c>
      <c r="H6" s="153" t="s">
        <v>196</v>
      </c>
      <c r="I6" s="153" t="s">
        <v>197</v>
      </c>
      <c r="J6" s="153" t="s">
        <v>198</v>
      </c>
      <c r="K6" s="153" t="s">
        <v>199</v>
      </c>
      <c r="L6" s="153" t="s">
        <v>200</v>
      </c>
      <c r="M6" s="153" t="s">
        <v>51</v>
      </c>
      <c r="N6" s="153" t="s">
        <v>201</v>
      </c>
      <c r="O6" s="153" t="s">
        <v>202</v>
      </c>
      <c r="P6" s="153" t="s">
        <v>203</v>
      </c>
      <c r="Q6" s="153" t="s">
        <v>204</v>
      </c>
      <c r="R6" s="153" t="s">
        <v>205</v>
      </c>
      <c r="S6" s="153" t="s">
        <v>93</v>
      </c>
      <c r="T6" s="153" t="s">
        <v>206</v>
      </c>
      <c r="U6" s="153" t="s">
        <v>207</v>
      </c>
      <c r="V6" s="153" t="s">
        <v>208</v>
      </c>
      <c r="W6" s="153" t="s">
        <v>209</v>
      </c>
      <c r="X6" s="153" t="s">
        <v>210</v>
      </c>
      <c r="Y6" s="153" t="s">
        <v>211</v>
      </c>
      <c r="Z6" s="153" t="s">
        <v>212</v>
      </c>
      <c r="AA6" s="153" t="s">
        <v>213</v>
      </c>
      <c r="AB6" s="153" t="s">
        <v>207</v>
      </c>
      <c r="AC6" s="153" t="s">
        <v>208</v>
      </c>
      <c r="AD6" s="153" t="s">
        <v>209</v>
      </c>
      <c r="AE6" s="153" t="s">
        <v>210</v>
      </c>
      <c r="AF6" s="153" t="s">
        <v>211</v>
      </c>
      <c r="AG6" s="153" t="s">
        <v>212</v>
      </c>
      <c r="AH6" s="153" t="s">
        <v>214</v>
      </c>
      <c r="AI6" s="153" t="s">
        <v>213</v>
      </c>
      <c r="AJ6" s="153" t="s">
        <v>204</v>
      </c>
      <c r="AK6" s="153" t="s">
        <v>205</v>
      </c>
      <c r="AL6" s="153" t="s">
        <v>215</v>
      </c>
      <c r="AM6" s="153" t="s">
        <v>52</v>
      </c>
      <c r="AN6" s="154" t="s">
        <v>216</v>
      </c>
      <c r="AO6" s="153" t="s">
        <v>54</v>
      </c>
      <c r="AP6" s="154" t="s">
        <v>97</v>
      </c>
      <c r="AQ6" s="256" t="s">
        <v>217</v>
      </c>
      <c r="AR6" s="256" t="s">
        <v>71</v>
      </c>
      <c r="AS6" s="83"/>
    </row>
    <row r="7" spans="1:45" ht="23.25" hidden="1" customHeight="1" x14ac:dyDescent="0.25">
      <c r="A7" s="38"/>
      <c r="B7" s="245" t="s">
        <v>100</v>
      </c>
      <c r="C7" s="245"/>
      <c r="D7" s="245" t="s">
        <v>102</v>
      </c>
      <c r="E7" s="245" t="s">
        <v>104</v>
      </c>
      <c r="F7" s="245" t="s">
        <v>105</v>
      </c>
      <c r="G7" s="245" t="s">
        <v>218</v>
      </c>
      <c r="H7" s="245" t="s">
        <v>103</v>
      </c>
      <c r="I7" s="245" t="s">
        <v>219</v>
      </c>
      <c r="J7" s="245" t="s">
        <v>220</v>
      </c>
      <c r="K7" s="245" t="s">
        <v>221</v>
      </c>
      <c r="L7" s="245"/>
      <c r="M7" s="245" t="s">
        <v>51</v>
      </c>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t="s">
        <v>108</v>
      </c>
      <c r="AM7" s="245" t="s">
        <v>109</v>
      </c>
      <c r="AN7" s="250" t="s">
        <v>110</v>
      </c>
      <c r="AO7" s="245" t="s">
        <v>111</v>
      </c>
      <c r="AP7" s="252" t="s">
        <v>112</v>
      </c>
      <c r="AQ7" s="252" t="s">
        <v>114</v>
      </c>
      <c r="AR7" s="252" t="s">
        <v>113</v>
      </c>
      <c r="AS7" s="83"/>
    </row>
    <row r="8" spans="1:45" x14ac:dyDescent="0.25">
      <c r="A8" s="38"/>
      <c r="B8" s="220">
        <v>1</v>
      </c>
      <c r="C8" s="220" t="s">
        <v>222</v>
      </c>
      <c r="D8" s="40"/>
      <c r="E8" s="40"/>
      <c r="F8" s="40"/>
      <c r="G8" s="40"/>
      <c r="H8" s="40"/>
      <c r="I8" s="41"/>
      <c r="J8" s="41"/>
      <c r="K8" s="41"/>
      <c r="L8" s="84"/>
      <c r="M8" s="41"/>
      <c r="N8" s="18" t="str">
        <f t="shared" ref="N8:N15" si="0">IF(AND(I8=$J$21, K8&lt;450), $K$21, IF(AND(I8=$J$21, K8&gt;=450), $K$22, IF(AND(I8=$J$23, K8&lt;1000), $K$23, IF(AND(I8=$J$23, K8&gt;=1000), $K$24, IF(AND(I8=$J$25, K8&lt;934), $K$25, IF(AND(I8=$J$26, K8&gt;=934), $K$26, O8))))))</f>
        <v>≥ 175</v>
      </c>
      <c r="O8" s="18" t="str">
        <f t="shared" ref="O8:O15" si="1">IF(AND(I8=$J$27, K8&lt;175), $K$27, $K$28)</f>
        <v>≥ 175</v>
      </c>
      <c r="P8" s="18" t="str">
        <f t="shared" ref="P8:P15" si="2">IF(AND(I8=$J$33, K8&lt;=1600), $K$33, IF(AND(I8=$J$34, K8&lt;=1600), $K$34, IF(AND(I8=$J$35, K8&gt;1600), $K$35, IF(AND(I8=$J$36, K8&lt;=1600), $K$36, IF(AND(I8=$J$37, K8&gt;1600), $K$37, IF(AND(I8=$J$38, OR(K8&lt;=450, K8&lt;=50)), $K$38, "N/A"))))))</f>
        <v>N/A</v>
      </c>
      <c r="Q8" s="100" t="str">
        <f t="array" ref="Q8">IF(OR(I8="",K8=""),"",INDEX($J$21:$T$28,MATCH(1,($J$21:$J$28=I8)*($K$21:$K$28=N8), 0), 4))</f>
        <v/>
      </c>
      <c r="R8" s="100" t="str">
        <f t="array" ref="R8">IF(OR(I8="",K8=""),"",INDEX($J$33:$T$38,MATCH(1,($J$33:$J$38=I8)*($K$33:$K$38=P8), 0), 4))</f>
        <v/>
      </c>
      <c r="S8" s="18">
        <f>$C$48</f>
        <v>0.93700000000000006</v>
      </c>
      <c r="T8" s="18" t="str">
        <f t="shared" ref="T8:T15" si="3">IF(OR(I8="", M8=""), "", (IF(K8&gt;1000, $E$31, IF(K8&lt;=500, $E$29, $E$30))))</f>
        <v/>
      </c>
      <c r="U8" s="6" t="str">
        <f t="shared" ref="U8:U15" si="4">IF(AND(I8=$J$43, K8&lt;300), $K$43, IF(AND(I8=$J$43, K8&gt;=300, K8&lt;800),$K$44, IF(AND(I8=$J$43,K8&gt;=800, K8&lt;1500), $K$45, IF(AND(I8=$J$43, K8&gt;=1500, K8&lt;4000), $K$46, IF(AND(I8=$J$47, K8&gt;=50, K8&lt;1000), $K$47, IF(AND(I8=$J$47, K8&gt;=1000, K8&lt;4000), $K$48, IF(AND(I8=$J$49, K8&lt;942), $K$49, IF(AND(I8=$J$49, K8&gt;=942, K8&lt;4000), $K$50, IF(AND(I8=$J$51, K8&lt;110), $K$51, IF(AND(I8=$J$51, K8&gt;=110, K8&lt;200), $K$52, IF(AND(I8=$J$51, K8&gt;=200, K8&lt;4000), $K$53, "CUSTOM")))))))))))</f>
        <v>CUSTOM</v>
      </c>
      <c r="V8" s="22" t="str">
        <f t="array" ref="V8">IFERROR(IF(OR(I8="",K8=""),"",INDEX($J$43:$T$53,MATCH(1,($J$43:$J$53=I8)*($K$43:$K$53=U8), 0), 4)), "CUSTOM")</f>
        <v/>
      </c>
      <c r="W8" s="6" t="str">
        <f t="shared" ref="W8:W15" si="5">IF(AND(I8=$J$58, K8&lt;310), $K$58, IF(AND(I8=$J$58, K8&gt;=310, K8&lt;820), $K$59, IF(AND(I8=$J$58, K8&gt;=820, K8&lt;4000), $K$60, IF(AND(I8=$J$61, K8&lt;800), $K$61, IF(AND(I8=$J$61, K8&gt;=800, K8&lt;4000), $K$62, IF(AND(I8=$J$63, K8&lt;800), $K$63, IF(AND(I8=$J$63, K8&gt;=800, K8&lt;4000), $K$64, IF(AND(I8=$J$65, K8&lt;200), $K$65, IF(AND(I8=$J$65, K8&gt;=200, K8&lt;700), $K$66, IF(AND(I8=$J$65, K8&gt;=700, K8&lt;4000), $K$67, "CUSTOM"))))))))))</f>
        <v>CUSTOM</v>
      </c>
      <c r="X8" s="22" t="str">
        <f t="array" ref="X8">IFERROR(IF(OR(I8="",K8=""),"",INDEX($J$58:$T$67,MATCH(1,($J$58:$J$67=I8)*($K$58:$K$67=W8), 0), 4)), "CUSTOM")</f>
        <v/>
      </c>
      <c r="Y8" s="5" t="str">
        <f t="shared" ref="Y8:Y15" si="6">IF(AND(I8=$J$72, K8&gt;=200, K8&lt;=1000), $K$72, IF(AND(I8=$J$73, K8&gt;=400, K8&lt;=1600), $K$73, IF(AND(I8=$J$75, K8&gt;=1600, K8&lt;=4000), $K$75, IF(AND(I8=$J$77, K8&gt;=50, K8&lt;=450), $K$77, "CUSTOM"))))</f>
        <v>CUSTOM</v>
      </c>
      <c r="Z8" s="53" t="str">
        <f t="array" ref="Z8">IFERROR(IF(OR(I8="",K8=""),"",INDEX($J$72:$T$77,MATCH(1,($J$72:$J$77=I8)*($K$72:$K$77=Y8), 0), 4)), "CUSTOM")</f>
        <v/>
      </c>
      <c r="AA8" s="53" t="str">
        <f>IFERROR(VLOOKUP(I8, $J$82:$T$85, 4, FALSE), "CUSTOM")</f>
        <v>CUSTOM</v>
      </c>
      <c r="AB8" s="6" t="str">
        <f>IF(AND(I8=$J$90, K8&lt;300), $K$90, IF(AND(I8=$J$90, K8&gt;=300, K8&lt;800),$K$91, IF(AND(I8=$J$90,K8&gt;=800, K8&lt;1500), $K$92, IF(AND(I8=$J$90, K8&gt;=1500, K8&lt;4000), $K$93, IF(AND(I8=$J$94, K8&gt;=50, K8&lt;1000), $K$94, IF(AND(I8=$J$94, K8&gt;=1000, K8&lt;4000), $K$95, IF(AND(I8=$J$96, K8&lt;942), $K$96, IF(AND(I8=$J$96, K8&gt;=942, K8&lt;4000), $K$97, IF(AND(I8=$J$98, K8&lt;110), $K$98, IF(AND(I8=$J$98, K8&gt;=110, K8&lt;200), $K$99, IF(AND(I8=$J$98,K8&gt;=200, K8&lt;4000), $K$100, "CUSTOM")))))))))))</f>
        <v>CUSTOM</v>
      </c>
      <c r="AC8" s="22" t="str">
        <f t="array" ref="AC8">IFERROR(IF(OR(I8="",K8=""),"",INDEX($J$90:$T$100,MATCH(1,($J$90:$J$100=I8)*($K$90:$K$100=AB8), 0), 4)), "CUSTOM")</f>
        <v/>
      </c>
      <c r="AD8" s="6" t="str">
        <f>IF(AND(I8=$J$105, K8&lt;310), $K$105, IF(AND(I8=$J$105, K8&gt;=310, K8&lt;820), $K$106, IF(AND(I8=$J$105, K8&gt;=820, K8&lt;4000), $K$107, IF(AND(I8=$J$108, K8&lt;800), $K$108, IF(AND(I8=$J$108, K8&gt;=800, K8&lt;4000), $K$109, IF(AND(I8=$J$110, K8&lt;800), $K$110, IF(AND(I8=$J$110, K8&gt;=800, K8&lt;4000), $K$111, IF(AND(I8=$J$112, K8&lt;200), $K$112, IF(AND(I8=$J$112, K8&gt;=200, K8&lt;700), $K$113, IF(AND(I8=$J$112, K8&gt;=700, K8&lt;4000), $K$114, "CUSTOM"))))))))))</f>
        <v>CUSTOM</v>
      </c>
      <c r="AE8" s="22" t="str">
        <f t="array" ref="AE8">IFERROR(IF(OR(I8="",K8=""),"",INDEX($J$105:$T$114,MATCH(1,($J$104:$J$105=I8)*($K$104:$K$105=AD8), 0), 4)), "CUSTOM")</f>
        <v/>
      </c>
      <c r="AF8" s="5" t="str">
        <f>IF(AND(I8=$J$119, K8&lt;300), $K$119, IF(AND(I8=$J$119, K8&gt;=300, K8&lt;800),$K$120, IF(AND(I8=$J$119,K8&gt;=800, K8&lt;1500), $K$121, IF(AND(I8=$J$119, K8&gt;=1500, K8&lt;4000), $K$122, IF(AND(I8=$J$123, K8&gt;=50, K8&lt;988), $K$123, IF(AND(I8=$J$123, K8&gt;=988, K8&lt;4000), $K$124, IF(AND(I8=$J$125, K8&lt;988), $K$125, IF(AND(I8=$J$125, K8&gt;=988, K8&lt;4000), $K$126, IF(AND(I8=$J$127, K8&lt;110), $K$127, IF(AND(I8=$J$127, K8&gt;=110, K8&lt;200), $K$128, IF(AND(I8=$J$127,K8&gt;=200, K8&lt;4000), $K$129, "CUSTOM")))))))))))</f>
        <v>CUSTOM</v>
      </c>
      <c r="AG8" s="53" t="str">
        <f t="array" ref="AG8">IFERROR(IF(OR(I8="",K8=""),"",INDEX($J$119:$T$129,MATCH(1,($J$119:$J$129=I8)*($K$119:$K$129=AF8), 0), 4)), "CUSTOM")</f>
        <v/>
      </c>
      <c r="AH8" s="53" t="str">
        <f>IF(AND(I8=$J$134, K8&lt;310), $K$134, IF(AND(I8=$J$134, K8&gt;=310, K8&lt;820), $K$135, IF(AND(I8=$J$134, K8&gt;=820, K8&lt;4000), $K$136, IF(AND(I8=$J$137, K8&lt;800), $K$137, IF(AND(I8=$J$137, K8&gt;=800, K8&lt;4000), $K$138, IF(AND(I8=$J$139, K8&lt;800), $K$139, IF(AND(I8=$J$139, K8&gt;=800, K8&lt;4000), $K$140, IF(AND(I8=$J$141, K8&lt;200), $K$141, IF(AND(I8=$J$141, K8&gt;=200, K8&lt;700), $K$142, IF(AND(I8=$J$141, K8&gt;=700, K8&lt;4000), $K$143, "CUSTOM"))))))))))</f>
        <v>CUSTOM</v>
      </c>
      <c r="AI8" s="53" t="str">
        <f t="array" ref="AI8">IFERROR(IF(OR(I8="",K8=""),"",INDEX($J$134:$T$143,MATCH(1,($J$134:$J$143=I8)*($K$134:$K$143=AH8), 0), 4)), "CUSTOM")</f>
        <v/>
      </c>
      <c r="AJ8" s="53">
        <f>IF(AND($C$21="PY10-PY12",J8="Batch Type"),V8,IF(AND($C$21="PY10-PY12",J8="Continuous Type"),X8,IF(AND($C$21="PY13-PY16",J8="Batch Type"),AC8,IF(AND($C$21="PY13-PY16",J8="Continuous Type"),AE8, ))))</f>
        <v>0</v>
      </c>
      <c r="AK8" s="53" t="str">
        <f xml:space="preserve"> IF(AND($C$21="PY10-PY12", J8="Batch Type"), Z8, IF(AND($C$21="PY10-PY12", J8="Continuous Type"), AA8, IF(AND($C$21="PY13-PY16", J8="Batch Type"), AG8, IF(AND($C$21="PY13-PY16", J8="Continuous Type"), AI8,Q8))))</f>
        <v/>
      </c>
      <c r="AL8" s="53" t="str">
        <f t="shared" ref="AL8:AL15" si="7">IFERROR(IF(OR(I8="",M8=""),"",ROUND((AN8/(8760*$C$45)),6)), "DNQ")</f>
        <v/>
      </c>
      <c r="AM8" s="405" t="str">
        <f t="shared" ref="AM8:AM15" si="8">IFERROR(IF(OR(I8="",M8=""),"",ROUND((AN8/(8760*$C$45))*S8,6)), "DNQ")</f>
        <v/>
      </c>
      <c r="AN8" s="418" t="str">
        <f t="shared" ref="AN8:AN15" si="9">IFERROR(IF(OR(I8="", M8=""), "",ROUND( ((AJ8-AK8)/100)*K8*365*$C$45*M8,4)), "DNQ")</f>
        <v/>
      </c>
      <c r="AO8" s="138" t="str">
        <f t="shared" ref="AO8:AO15" si="10">IF(OR(I8="", M8=""), "", IF(AN8&lt;0, "DNQ", (IF(K8&gt;1000, $D$31, IF(K8&lt;=500, $D$29, $D$30)))*M8))</f>
        <v/>
      </c>
      <c r="AP8">
        <f t="shared" ref="AP8:AP15" si="11">H8</f>
        <v>0</v>
      </c>
      <c r="AQ8" t="str">
        <f t="shared" ref="AQ8:AQ15" si="12">IF(AN8&gt;0,"Yes","No")</f>
        <v>Yes</v>
      </c>
      <c r="AR8" t="s">
        <v>223</v>
      </c>
      <c r="AS8" s="83"/>
    </row>
    <row r="9" spans="1:45" x14ac:dyDescent="0.25">
      <c r="A9" s="38"/>
      <c r="B9" s="220">
        <v>2</v>
      </c>
      <c r="C9" s="220" t="s">
        <v>222</v>
      </c>
      <c r="D9" s="40"/>
      <c r="E9" s="40"/>
      <c r="F9" s="40"/>
      <c r="G9" s="40"/>
      <c r="H9" s="40"/>
      <c r="I9" s="41"/>
      <c r="J9" s="41"/>
      <c r="K9" s="41"/>
      <c r="L9" s="84"/>
      <c r="M9" s="41"/>
      <c r="N9" s="18" t="str">
        <f t="shared" si="0"/>
        <v>≥ 175</v>
      </c>
      <c r="O9" s="18" t="str">
        <f t="shared" si="1"/>
        <v>≥ 175</v>
      </c>
      <c r="P9" s="18" t="str">
        <f t="shared" si="2"/>
        <v>N/A</v>
      </c>
      <c r="Q9" s="100" t="str">
        <f t="array" ref="Q9">IF(OR(I9="",K9=""),"",INDEX($J$21:$T$28,MATCH(1,($J$21:$J$28=I9)*($K$21:$K$28=N9), 0), 5))</f>
        <v/>
      </c>
      <c r="R9" s="100" t="str">
        <f t="array" ref="R9">IF(OR(I9="",K9=""),"",INDEX($J$33:$T$38,MATCH(1,($J$33:$J$38=I9)*($K$33:$K$38=P9), 0), 5))</f>
        <v/>
      </c>
      <c r="S9" s="18">
        <f t="shared" ref="S9:S15" si="13">$C$48</f>
        <v>0.93700000000000006</v>
      </c>
      <c r="T9" s="18" t="str">
        <f t="shared" si="3"/>
        <v/>
      </c>
      <c r="U9" s="6" t="str">
        <f t="shared" si="4"/>
        <v>CUSTOM</v>
      </c>
      <c r="V9" s="22" t="str">
        <f t="array" ref="V9">IFERROR(IF(OR(I9="",K9=""),"",INDEX($J$43:$T$53,MATCH(1,($J$43:$J$53=I9)*($K$43:$K$53=U9), 0), 5)), "CUSTOM")</f>
        <v/>
      </c>
      <c r="W9" s="6" t="str">
        <f t="shared" si="5"/>
        <v>CUSTOM</v>
      </c>
      <c r="X9" s="22" t="str">
        <f t="array" ref="X9">IFERROR(IF(OR(I9="",K9=""),"",INDEX($J$58:$T$67,MATCH(1,($J$58:$J$67=I9)*($K$58:$K$67=W9), 0), 5)), "CUSTOM")</f>
        <v/>
      </c>
      <c r="Y9" s="5" t="str">
        <f t="shared" si="6"/>
        <v>CUSTOM</v>
      </c>
      <c r="Z9" s="53" t="str">
        <f t="array" ref="Z9">IFERROR(IF(OR(I9="",K9=""),"",INDEX($J$72:$T$77,MATCH(1,($J$72:$J$77=I9)*($K$72:$K$77=Y9), 0), 4)), "CUSTOM")</f>
        <v/>
      </c>
      <c r="AA9" s="53" t="str">
        <f>IFERROR(VLOOKUP(I9, $J$82:$T$85, 5, FALSE), "CUSTOM")</f>
        <v>CUSTOM</v>
      </c>
      <c r="AB9" s="6" t="str">
        <f t="shared" ref="AB9:AB15" si="14">IF(AND(I9=$J$90, K9&lt;300), $K$90, IF(AND(I9=$J$90, K9&gt;=300, K9&lt;800),$K$91, IF(AND(I9=$J$90,K9&gt;=800, K9&lt;1500), $K$92, IF(AND(I9=$J$90, K9&gt;=1500, K9&lt;4000), $K$93, IF(AND(I9=$J$94, K9&gt;=50, K9&lt;1000), $K$94, IF(AND(I9=$J$94, K9&gt;=1000, K9&lt;4000), $K$95, IF(AND(I9=$J$96, K9&lt;942), $K$96, IF(AND(I9=$J$96, K9&gt;=942, K9&lt;4000), $K$97, IF(AND(I9=$J$98, K9&lt;110), $K$98, IF(AND(I9=$J$98, K9&gt;=110, K9&lt;200), $K$99, IF(AND(I9=$J$98,K9&gt;=200, K9&lt;4000), $K$100, "CUSTOM")))))))))))</f>
        <v>CUSTOM</v>
      </c>
      <c r="AC9" s="22" t="str">
        <f t="array" ref="AC9">IFERROR(IF(OR(I9="",K9=""),"",INDEX($J$90:$T$100,MATCH(1,($J$90:$J$100=I9)*($K$90:$K$100=AB9), 0), 4)), "CUSTOM")</f>
        <v/>
      </c>
      <c r="AD9" s="6" t="str">
        <f t="shared" ref="AD9:AD15" si="15">IF(AND(I9=$J$105, K9&lt;310), $K$105, IF(AND(I9=$J$105, K9&gt;=310, K9&lt;820), $K$106, IF(AND(I9=$J$105, K9&gt;=820, K9&lt;4000), $K$107, IF(AND(I9=$J$108, K9&lt;800), $K$108, IF(AND(I9=$J$108, K9&gt;=800, K9&lt;4000), $K$109, IF(AND(I9=$J$110, K9&lt;800), $K$110, IF(AND(I9=$J$110, K9&gt;=800, K9&lt;4000), $K$111, IF(AND(I9=$J$112, K9&lt;200), $K$112, IF(AND(I9=$J$112, K9&gt;=200, K9&lt;700), $K$113, IF(AND(I9=$J$112, K9&gt;=700, K9&lt;4000), $K$114, "CUSTOM"))))))))))</f>
        <v>CUSTOM</v>
      </c>
      <c r="AE9" s="22" t="str">
        <f t="array" ref="AE9">IFERROR(IF(OR(I9="",K9=""),"",INDEX($J$105:$T$114,MATCH(1,($J$104:$J$105=I9)*($K$104:$K$105=AD9), 0), 4)), "CUSTOM")</f>
        <v/>
      </c>
      <c r="AF9" s="5" t="str">
        <f t="shared" ref="AF9:AF15" si="16">IF(AND(I9=$J$119, K9&lt;300), $K$119, IF(AND(I9=$J$119, K9&gt;=300, K9&lt;800),$K$120, IF(AND(I9=$J$119,K9&gt;=800, K9&lt;1500), $K$121, IF(AND(I9=$J$119, K9&gt;=1500, K9&lt;4000), $K$122, IF(AND(I9=$J$123, K9&gt;=50, K9&lt;988), $K$123, IF(AND(I9=$J$123, K9&gt;=988, K9&lt;4000), $K$124, IF(AND(I9=$J$125, K9&lt;988), $K$125, IF(AND(I9=$J$125, K9&gt;=988, K9&lt;4000), $K$126, IF(AND(I9=$J$127, K9&lt;110), $K$127, IF(AND(I9=$J$127, K9&gt;=110, K9&lt;200), $K$128, IF(AND(I9=$J$127,K9&gt;=200, K9&lt;4000), $K$129, "CUSTOM")))))))))))</f>
        <v>CUSTOM</v>
      </c>
      <c r="AG9" s="53" t="str">
        <f t="array" ref="AG9">IFERROR(IF(OR(I9="",K9=""),"",INDEX($J$119:$T$129,MATCH(1,($J$119:$J$129=I9)*($K$119:$K$129=AF9), 0), 4)), "CUSTOM")</f>
        <v/>
      </c>
      <c r="AH9" s="53"/>
      <c r="AI9" s="53" t="str">
        <f t="array" ref="AI9">IFERROR(IF(OR(I9="",K9=""),"",INDEX($J$134:$T$143,MATCH(1,($J$134:$J$143=I9)*($K$134:$K$143=AH9), 0), 4)), "CUSTOM")</f>
        <v/>
      </c>
      <c r="AJ9" s="53">
        <f t="shared" ref="AJ9:AJ15" si="17">IF(AND($C$21="PY10-PY12",J9="Batch Type"),V9,IF(AND($C$21="PY10-PY12",J9="Continuous Type"),X9,IF(AND($C$21="PY13-PY16",J9="Batch Type"),AC9,IF(AND($C$21="PY13-PY16",J9="Continuous Type"),AE9, ))))</f>
        <v>0</v>
      </c>
      <c r="AK9" s="53" t="str">
        <f t="shared" ref="AK9:AK15" si="18" xml:space="preserve"> IF(AND($C$21="PY10-PY12", J9="Batch Type"), Z9, IF(AND($C$21="PY10-PY12", J9="Continuous Type"), AA9, IF(AND($C$21="PY13-PY16", J9="Batch Type"), AG9, IF(AND($C$21="PY13-PY16", J9="Continuous Type"), AI9,Q9))))</f>
        <v/>
      </c>
      <c r="AL9" s="53" t="str">
        <f t="shared" si="7"/>
        <v/>
      </c>
      <c r="AM9" s="405" t="str">
        <f t="shared" si="8"/>
        <v/>
      </c>
      <c r="AN9" s="418" t="str">
        <f t="shared" si="9"/>
        <v/>
      </c>
      <c r="AO9" s="138" t="str">
        <f t="shared" si="10"/>
        <v/>
      </c>
      <c r="AP9">
        <f t="shared" si="11"/>
        <v>0</v>
      </c>
      <c r="AQ9" t="str">
        <f t="shared" si="12"/>
        <v>Yes</v>
      </c>
      <c r="AR9" t="s">
        <v>223</v>
      </c>
      <c r="AS9" s="83"/>
    </row>
    <row r="10" spans="1:45" x14ac:dyDescent="0.25">
      <c r="A10" s="38"/>
      <c r="B10" s="220">
        <v>3</v>
      </c>
      <c r="C10" s="220" t="s">
        <v>222</v>
      </c>
      <c r="D10" s="40"/>
      <c r="E10" s="40"/>
      <c r="F10" s="40"/>
      <c r="G10" s="40"/>
      <c r="H10" s="40"/>
      <c r="I10" s="41"/>
      <c r="J10" s="41"/>
      <c r="K10" s="41"/>
      <c r="L10" s="84"/>
      <c r="M10" s="41"/>
      <c r="N10" s="18" t="str">
        <f t="shared" si="0"/>
        <v>≥ 175</v>
      </c>
      <c r="O10" s="18" t="str">
        <f t="shared" si="1"/>
        <v>≥ 175</v>
      </c>
      <c r="P10" s="18" t="str">
        <f t="shared" si="2"/>
        <v>N/A</v>
      </c>
      <c r="Q10" s="100" t="str">
        <f t="array" ref="Q10">IF(OR(I10="",K10=""),"",INDEX($J$21:$T$28,MATCH(1,($J$21:$J$28=I10)*($K$21:$K$28=N10), 0), 6))</f>
        <v/>
      </c>
      <c r="R10" s="100" t="str">
        <f t="array" ref="R10">IF(OR(I10="",K10=""),"",INDEX($J$33:$T$38,MATCH(1,($J$33:$J$38=I10)*($K$33:$K$38=P10), 0), 6))</f>
        <v/>
      </c>
      <c r="S10" s="18">
        <f t="shared" si="13"/>
        <v>0.93700000000000006</v>
      </c>
      <c r="T10" s="18" t="str">
        <f t="shared" si="3"/>
        <v/>
      </c>
      <c r="U10" s="6" t="str">
        <f t="shared" si="4"/>
        <v>CUSTOM</v>
      </c>
      <c r="V10" s="22" t="str">
        <f t="array" ref="V10">IFERROR(IF(OR(I10="",K10=""),"",INDEX($J$43:$T$53,MATCH(1,($J$43:$J$53=I10)*($K$43:$K$53=U10), 0), 6)), "CUSTOM")</f>
        <v/>
      </c>
      <c r="W10" s="6" t="str">
        <f t="shared" si="5"/>
        <v>CUSTOM</v>
      </c>
      <c r="X10" s="22" t="str">
        <f t="array" ref="X10">IFERROR(IF(OR(I10="",K10=""),"",INDEX($J$58:$T$67,MATCH(1,($J$58:$J$67=I10)*($K$58:$K$67=W10), 0), 6)), "CUSTOM")</f>
        <v/>
      </c>
      <c r="Y10" s="5" t="str">
        <f t="shared" si="6"/>
        <v>CUSTOM</v>
      </c>
      <c r="Z10" s="53" t="str">
        <f t="array" ref="Z10">IFERROR(IF(OR(I10="",K10=""),"",INDEX($J$72:$T$77,MATCH(1,($J$72:$J$77=I10)*($K$72:$K$77=Y10), 0), 4)), "CUSTOM")</f>
        <v/>
      </c>
      <c r="AA10" s="53" t="str">
        <f>IFERROR(VLOOKUP(I10, $J$82:$T$85, 6, FALSE), "CUSTOM")</f>
        <v>CUSTOM</v>
      </c>
      <c r="AB10" s="6" t="str">
        <f t="shared" si="14"/>
        <v>CUSTOM</v>
      </c>
      <c r="AC10" s="22" t="str">
        <f t="array" ref="AC10">IFERROR(IF(OR(I10="",K10=""),"",INDEX($J$90:$T$100,MATCH(1,($J$90:$J$100=I10)*($K$90:$K$100=AB10), 0), 4)), "CUSTOM")</f>
        <v/>
      </c>
      <c r="AD10" s="6" t="str">
        <f t="shared" si="15"/>
        <v>CUSTOM</v>
      </c>
      <c r="AE10" s="22" t="str">
        <f t="array" ref="AE10">IFERROR(IF(OR(I10="",K10=""),"",INDEX($J$105:$T$114,MATCH(1,($J$104:$J$105=I10)*($K$104:$K$105=AD10), 0), 4)), "CUSTOM")</f>
        <v/>
      </c>
      <c r="AF10" s="5" t="str">
        <f t="shared" si="16"/>
        <v>CUSTOM</v>
      </c>
      <c r="AG10" s="53" t="str">
        <f t="array" ref="AG10">IFERROR(IF(OR(I10="",K10=""),"",INDEX($J$119:$T$129,MATCH(1,($J$119:$J$129=I10)*($K$119:$K$129=AF10), 0), 4)), "CUSTOM")</f>
        <v/>
      </c>
      <c r="AH10" s="53"/>
      <c r="AI10" s="53" t="str">
        <f t="array" ref="AI10">IFERROR(IF(OR(I10="",K10=""),"",INDEX($J$134:$T$143,MATCH(1,($J$134:$J$143=I10)*($K$134:$K$143=AH10), 0), 4)), "CUSTOM")</f>
        <v/>
      </c>
      <c r="AJ10" s="53">
        <f t="shared" si="17"/>
        <v>0</v>
      </c>
      <c r="AK10" s="53" t="str">
        <f t="shared" si="18"/>
        <v/>
      </c>
      <c r="AL10" s="53" t="str">
        <f t="shared" si="7"/>
        <v/>
      </c>
      <c r="AM10" s="405" t="str">
        <f t="shared" si="8"/>
        <v/>
      </c>
      <c r="AN10" s="418" t="str">
        <f t="shared" si="9"/>
        <v/>
      </c>
      <c r="AO10" s="138" t="str">
        <f t="shared" si="10"/>
        <v/>
      </c>
      <c r="AP10">
        <f t="shared" si="11"/>
        <v>0</v>
      </c>
      <c r="AQ10" t="str">
        <f t="shared" si="12"/>
        <v>Yes</v>
      </c>
      <c r="AR10" t="s">
        <v>223</v>
      </c>
      <c r="AS10" s="83"/>
    </row>
    <row r="11" spans="1:45" x14ac:dyDescent="0.25">
      <c r="A11" s="38"/>
      <c r="B11" s="220">
        <v>4</v>
      </c>
      <c r="C11" s="220" t="s">
        <v>222</v>
      </c>
      <c r="D11" s="40"/>
      <c r="E11" s="40"/>
      <c r="F11" s="40"/>
      <c r="G11" s="40"/>
      <c r="H11" s="40"/>
      <c r="I11" s="41"/>
      <c r="J11" s="41"/>
      <c r="K11" s="41"/>
      <c r="L11" s="84"/>
      <c r="M11" s="41"/>
      <c r="N11" s="18" t="str">
        <f t="shared" si="0"/>
        <v>≥ 175</v>
      </c>
      <c r="O11" s="18" t="str">
        <f t="shared" si="1"/>
        <v>≥ 175</v>
      </c>
      <c r="P11" s="18" t="str">
        <f t="shared" si="2"/>
        <v>N/A</v>
      </c>
      <c r="Q11" s="100" t="str">
        <f t="array" ref="Q11">IF(OR(I11="",K11=""),"",INDEX($J$21:$T$28,MATCH(1,($J$21:$J$28=I11)*($K$21:$K$28=N11), 0), 7))</f>
        <v/>
      </c>
      <c r="R11" s="100" t="str">
        <f t="array" ref="R11">IF(OR(I11="",K11=""),"",INDEX($J$33:$T$38,MATCH(1,($J$33:$J$38=I11)*($K$33:$K$38=P11), 0), 7))</f>
        <v/>
      </c>
      <c r="S11" s="18">
        <f t="shared" si="13"/>
        <v>0.93700000000000006</v>
      </c>
      <c r="T11" s="18" t="str">
        <f t="shared" si="3"/>
        <v/>
      </c>
      <c r="U11" s="6" t="str">
        <f t="shared" si="4"/>
        <v>CUSTOM</v>
      </c>
      <c r="V11" s="22" t="str">
        <f t="array" ref="V11">IFERROR(IF(OR(I11="",K11=""),"",INDEX($J$43:$T$53,MATCH(1,($J$43:$J$53=I11)*($K$43:$K$53=U11), 0), 7)), "CUSTOM")</f>
        <v/>
      </c>
      <c r="W11" s="6" t="str">
        <f t="shared" si="5"/>
        <v>CUSTOM</v>
      </c>
      <c r="X11" s="22" t="str">
        <f t="array" ref="X11">IFERROR(IF(OR(I11="",K11=""),"",INDEX($J$58:$T$67,MATCH(1,($J$58:$J$67=I11)*($K$58:$K$67=W11), 0), 7)), "CUSTOM")</f>
        <v/>
      </c>
      <c r="Y11" s="5" t="str">
        <f t="shared" si="6"/>
        <v>CUSTOM</v>
      </c>
      <c r="Z11" s="53" t="str">
        <f t="array" ref="Z11">IFERROR(IF(OR(I11="",K11=""),"",INDEX($J$72:$T$77,MATCH(1,($J$72:$J$77=I11)*($K$72:$K$77=Y11), 0), 4)), "CUSTOM")</f>
        <v/>
      </c>
      <c r="AA11" s="53" t="str">
        <f>IFERROR(VLOOKUP(I11, $J$82:$T$85, 7, FALSE), "CUSTOM")</f>
        <v>CUSTOM</v>
      </c>
      <c r="AB11" s="6" t="str">
        <f t="shared" si="14"/>
        <v>CUSTOM</v>
      </c>
      <c r="AC11" s="22" t="str">
        <f t="array" ref="AC11">IFERROR(IF(OR(I11="",K11=""),"",INDEX($J$90:$T$100,MATCH(1,($J$90:$J$100=I11)*($K$90:$K$100=AB11), 0), 4)), "CUSTOM")</f>
        <v/>
      </c>
      <c r="AD11" s="6" t="str">
        <f t="shared" si="15"/>
        <v>CUSTOM</v>
      </c>
      <c r="AE11" s="22" t="str">
        <f t="array" ref="AE11">IFERROR(IF(OR(I11="",K11=""),"",INDEX($J$105:$T$114,MATCH(1,($J$104:$J$105=I11)*($K$104:$K$105=AD11), 0), 4)), "CUSTOM")</f>
        <v/>
      </c>
      <c r="AF11" s="5" t="str">
        <f t="shared" si="16"/>
        <v>CUSTOM</v>
      </c>
      <c r="AG11" s="53" t="str">
        <f t="array" ref="AG11">IFERROR(IF(OR(I11="",K11=""),"",INDEX($J$119:$T$129,MATCH(1,($J$119:$J$129=I11)*($K$119:$K$129=AF11), 0), 4)), "CUSTOM")</f>
        <v/>
      </c>
      <c r="AH11" s="53"/>
      <c r="AI11" s="53" t="str">
        <f t="array" ref="AI11">IFERROR(IF(OR(I11="",K11=""),"",INDEX($J$134:$T$143,MATCH(1,($J$134:$J$143=I11)*($K$134:$K$143=AH11), 0), 4)), "CUSTOM")</f>
        <v/>
      </c>
      <c r="AJ11" s="53">
        <f t="shared" si="17"/>
        <v>0</v>
      </c>
      <c r="AK11" s="53" t="str">
        <f t="shared" si="18"/>
        <v/>
      </c>
      <c r="AL11" s="53" t="str">
        <f t="shared" si="7"/>
        <v/>
      </c>
      <c r="AM11" s="405" t="str">
        <f t="shared" si="8"/>
        <v/>
      </c>
      <c r="AN11" s="418" t="str">
        <f t="shared" si="9"/>
        <v/>
      </c>
      <c r="AO11" s="138" t="str">
        <f t="shared" si="10"/>
        <v/>
      </c>
      <c r="AP11">
        <f t="shared" si="11"/>
        <v>0</v>
      </c>
      <c r="AQ11" t="str">
        <f t="shared" si="12"/>
        <v>Yes</v>
      </c>
      <c r="AR11" t="s">
        <v>223</v>
      </c>
      <c r="AS11" s="83"/>
    </row>
    <row r="12" spans="1:45" x14ac:dyDescent="0.25">
      <c r="A12" s="38"/>
      <c r="B12" s="220">
        <v>5</v>
      </c>
      <c r="C12" s="220" t="s">
        <v>222</v>
      </c>
      <c r="D12" s="40"/>
      <c r="E12" s="40"/>
      <c r="F12" s="40"/>
      <c r="G12" s="40"/>
      <c r="H12" s="40"/>
      <c r="I12" s="41"/>
      <c r="J12" s="41"/>
      <c r="K12" s="41"/>
      <c r="L12" s="84"/>
      <c r="M12" s="41"/>
      <c r="N12" s="18" t="str">
        <f t="shared" si="0"/>
        <v>≥ 175</v>
      </c>
      <c r="O12" s="18" t="str">
        <f t="shared" si="1"/>
        <v>≥ 175</v>
      </c>
      <c r="P12" s="18" t="str">
        <f t="shared" si="2"/>
        <v>N/A</v>
      </c>
      <c r="Q12" s="100" t="str">
        <f t="array" ref="Q12">IF(OR(I12="",K12=""),"",INDEX($J$21:$T$28,MATCH(1,($J$21:$J$28=I12)*($K$21:$K$28=N12), 0), 8))</f>
        <v/>
      </c>
      <c r="R12" s="100" t="str">
        <f t="array" ref="R12">IF(OR(I12="",K12=""),"",INDEX($J$33:$T$38,MATCH(1,($J$33:$J$38=I12)*($K$33:$K$38=P12), 0), 8))</f>
        <v/>
      </c>
      <c r="S12" s="18">
        <f t="shared" si="13"/>
        <v>0.93700000000000006</v>
      </c>
      <c r="T12" s="18" t="str">
        <f t="shared" si="3"/>
        <v/>
      </c>
      <c r="U12" s="6" t="str">
        <f t="shared" si="4"/>
        <v>CUSTOM</v>
      </c>
      <c r="V12" s="22" t="str">
        <f t="array" ref="V12">IFERROR(IF(OR(I12="",K12=""),"",INDEX($J$43:$T$53,MATCH(1,($J$43:$J$53=I12)*($K$43:$K$53=U12), 0), 8)), "CUSTOM")</f>
        <v/>
      </c>
      <c r="W12" s="6" t="str">
        <f t="shared" si="5"/>
        <v>CUSTOM</v>
      </c>
      <c r="X12" s="22" t="str">
        <f t="array" ref="X12">IFERROR(IF(OR(I12="",K12=""),"",INDEX($J$58:$T$67,MATCH(1,($J$58:$J$67=I12)*($K$58:$K$67=W12), 0), 8)), "CUSTOM")</f>
        <v/>
      </c>
      <c r="Y12" s="5" t="str">
        <f t="shared" si="6"/>
        <v>CUSTOM</v>
      </c>
      <c r="Z12" s="53" t="str">
        <f t="array" ref="Z12">IFERROR(IF(OR(I12="",K12=""),"",INDEX($J$72:$T$77,MATCH(1,($J$72:$J$77=I12)*($K$72:$K$77=Y12), 0), 4)), "CUSTOM")</f>
        <v/>
      </c>
      <c r="AA12" s="53" t="str">
        <f>IFERROR(VLOOKUP(I12, $J$82:$T$85, 8, FALSE), "CUSTOM")</f>
        <v>CUSTOM</v>
      </c>
      <c r="AB12" s="6" t="str">
        <f t="shared" si="14"/>
        <v>CUSTOM</v>
      </c>
      <c r="AC12" s="22" t="str">
        <f t="array" ref="AC12">IFERROR(IF(OR(I12="",K12=""),"",INDEX($J$90:$T$100,MATCH(1,($J$90:$J$100=I12)*($K$90:$K$100=AB12), 0), 4)), "CUSTOM")</f>
        <v/>
      </c>
      <c r="AD12" s="6" t="str">
        <f t="shared" si="15"/>
        <v>CUSTOM</v>
      </c>
      <c r="AE12" s="22" t="str">
        <f t="array" ref="AE12">IFERROR(IF(OR(I12="",K12=""),"",INDEX($J$105:$T$114,MATCH(1,($J$104:$J$105=I12)*($K$104:$K$105=AD12), 0), 4)), "CUSTOM")</f>
        <v/>
      </c>
      <c r="AF12" s="5" t="str">
        <f t="shared" si="16"/>
        <v>CUSTOM</v>
      </c>
      <c r="AG12" s="53" t="str">
        <f t="array" ref="AG12">IFERROR(IF(OR(I12="",K12=""),"",INDEX($J$119:$T$129,MATCH(1,($J$119:$J$129=I12)*($K$119:$K$129=AF12), 0), 4)), "CUSTOM")</f>
        <v/>
      </c>
      <c r="AH12" s="53"/>
      <c r="AI12" s="53" t="str">
        <f t="array" ref="AI12">IFERROR(IF(OR(I12="",K12=""),"",INDEX($J$134:$T$143,MATCH(1,($J$134:$J$143=I12)*($K$134:$K$143=AH12), 0), 4)), "CUSTOM")</f>
        <v/>
      </c>
      <c r="AJ12" s="53">
        <f t="shared" si="17"/>
        <v>0</v>
      </c>
      <c r="AK12" s="53" t="str">
        <f t="shared" si="18"/>
        <v/>
      </c>
      <c r="AL12" s="53" t="str">
        <f t="shared" si="7"/>
        <v/>
      </c>
      <c r="AM12" s="405" t="str">
        <f t="shared" si="8"/>
        <v/>
      </c>
      <c r="AN12" s="418" t="str">
        <f t="shared" si="9"/>
        <v/>
      </c>
      <c r="AO12" s="138" t="str">
        <f t="shared" si="10"/>
        <v/>
      </c>
      <c r="AP12">
        <f t="shared" si="11"/>
        <v>0</v>
      </c>
      <c r="AQ12" t="str">
        <f t="shared" si="12"/>
        <v>Yes</v>
      </c>
      <c r="AR12" t="s">
        <v>223</v>
      </c>
      <c r="AS12" s="83"/>
    </row>
    <row r="13" spans="1:45" x14ac:dyDescent="0.25">
      <c r="A13" s="38"/>
      <c r="B13" s="220">
        <v>6</v>
      </c>
      <c r="C13" s="220" t="s">
        <v>222</v>
      </c>
      <c r="D13" s="40"/>
      <c r="E13" s="40"/>
      <c r="F13" s="40"/>
      <c r="G13" s="40"/>
      <c r="H13" s="40"/>
      <c r="I13" s="41"/>
      <c r="J13" s="41"/>
      <c r="K13" s="41"/>
      <c r="L13" s="84"/>
      <c r="M13" s="41"/>
      <c r="N13" s="18" t="str">
        <f t="shared" si="0"/>
        <v>≥ 175</v>
      </c>
      <c r="O13" s="18" t="str">
        <f t="shared" si="1"/>
        <v>≥ 175</v>
      </c>
      <c r="P13" s="18" t="str">
        <f t="shared" si="2"/>
        <v>N/A</v>
      </c>
      <c r="Q13" s="100" t="str">
        <f t="array" ref="Q13">IF(OR(I13="",K13=""),"",INDEX($J$21:$T$28,MATCH(1,($J$21:$J$28=I13)*($K$21:$K$28=N13), 0), 9))</f>
        <v/>
      </c>
      <c r="R13" s="100" t="str">
        <f t="array" ref="R13">IF(OR(I13="",K13=""),"",INDEX($J$33:$T$38,MATCH(1,($J$33:$J$38=I13)*($K$33:$K$38=P13), 0),9))</f>
        <v/>
      </c>
      <c r="S13" s="18">
        <f t="shared" si="13"/>
        <v>0.93700000000000006</v>
      </c>
      <c r="T13" s="18" t="str">
        <f t="shared" si="3"/>
        <v/>
      </c>
      <c r="U13" s="6" t="str">
        <f t="shared" si="4"/>
        <v>CUSTOM</v>
      </c>
      <c r="V13" s="22" t="str">
        <f t="array" ref="V13">IFERROR(IF(OR(I13="",K13=""),"",INDEX($J$43:$T$53,MATCH(1,($J$43:$J$53=I13)*($K$43:$K$53=U13), 0), 9)), "CUSTOM")</f>
        <v/>
      </c>
      <c r="W13" s="6" t="str">
        <f t="shared" si="5"/>
        <v>CUSTOM</v>
      </c>
      <c r="X13" s="22" t="str">
        <f t="array" ref="X13">IFERROR(IF(OR(I13="",K13=""),"",INDEX($J$58:$T$67,MATCH(1,($J$58:$J$67=I13)*($K$58:$K$67=W13), 0), 9)), "CUSTOM")</f>
        <v/>
      </c>
      <c r="Y13" s="5" t="str">
        <f t="shared" si="6"/>
        <v>CUSTOM</v>
      </c>
      <c r="Z13" s="53" t="str">
        <f t="array" ref="Z13">IFERROR(IF(OR(I13="",K13=""),"",INDEX($J$72:$T$77,MATCH(1,($J$72:$J$77=I13)*($K$72:$K$77=Y13), 0), 4)), "CUSTOM")</f>
        <v/>
      </c>
      <c r="AA13" s="53" t="str">
        <f>IFERROR(VLOOKUP(I13, $J$82:$T$85, 9, FALSE), "CUSTOM")</f>
        <v>CUSTOM</v>
      </c>
      <c r="AB13" s="6" t="str">
        <f t="shared" si="14"/>
        <v>CUSTOM</v>
      </c>
      <c r="AC13" s="22" t="str">
        <f t="array" ref="AC13">IFERROR(IF(OR(I13="",K13=""),"",INDEX($J$90:$T$100,MATCH(1,($J$90:$J$100=I13)*($K$90:$K$100=AB13), 0), 4)), "CUSTOM")</f>
        <v/>
      </c>
      <c r="AD13" s="6" t="str">
        <f t="shared" si="15"/>
        <v>CUSTOM</v>
      </c>
      <c r="AE13" s="22" t="str">
        <f t="array" ref="AE13">IFERROR(IF(OR(I13="",K13=""),"",INDEX($J$105:$T$114,MATCH(1,($J$104:$J$105=I13)*($K$104:$K$105=AD13), 0), 4)), "CUSTOM")</f>
        <v/>
      </c>
      <c r="AF13" s="5" t="str">
        <f t="shared" si="16"/>
        <v>CUSTOM</v>
      </c>
      <c r="AG13" s="53" t="str">
        <f t="array" ref="AG13">IFERROR(IF(OR(I13="",K13=""),"",INDEX($J$119:$T$129,MATCH(1,($J$119:$J$129=I13)*($K$119:$K$129=AF13), 0), 4)), "CUSTOM")</f>
        <v/>
      </c>
      <c r="AH13" s="53"/>
      <c r="AI13" s="53" t="str">
        <f t="array" ref="AI13">IFERROR(IF(OR(I13="",K13=""),"",INDEX($J$134:$T$143,MATCH(1,($J$134:$J$143=I13)*($K$134:$K$143=AH13), 0), 4)), "CUSTOM")</f>
        <v/>
      </c>
      <c r="AJ13" s="53">
        <f t="shared" si="17"/>
        <v>0</v>
      </c>
      <c r="AK13" s="53" t="str">
        <f t="shared" si="18"/>
        <v/>
      </c>
      <c r="AL13" s="53" t="str">
        <f t="shared" si="7"/>
        <v/>
      </c>
      <c r="AM13" s="405" t="str">
        <f t="shared" si="8"/>
        <v/>
      </c>
      <c r="AN13" s="418" t="str">
        <f t="shared" si="9"/>
        <v/>
      </c>
      <c r="AO13" s="138" t="str">
        <f t="shared" si="10"/>
        <v/>
      </c>
      <c r="AP13">
        <f t="shared" si="11"/>
        <v>0</v>
      </c>
      <c r="AQ13" t="str">
        <f t="shared" si="12"/>
        <v>Yes</v>
      </c>
      <c r="AR13" t="s">
        <v>223</v>
      </c>
      <c r="AS13" s="83"/>
    </row>
    <row r="14" spans="1:45" x14ac:dyDescent="0.25">
      <c r="A14" s="38"/>
      <c r="B14" s="220">
        <v>7</v>
      </c>
      <c r="C14" s="220" t="s">
        <v>222</v>
      </c>
      <c r="D14" s="40"/>
      <c r="E14" s="40"/>
      <c r="F14" s="40"/>
      <c r="G14" s="40"/>
      <c r="H14" s="40"/>
      <c r="I14" s="41"/>
      <c r="J14" s="41"/>
      <c r="K14" s="41"/>
      <c r="L14" s="84"/>
      <c r="M14" s="41"/>
      <c r="N14" s="18" t="str">
        <f t="shared" si="0"/>
        <v>≥ 175</v>
      </c>
      <c r="O14" s="18" t="str">
        <f t="shared" si="1"/>
        <v>≥ 175</v>
      </c>
      <c r="P14" s="18" t="str">
        <f t="shared" si="2"/>
        <v>N/A</v>
      </c>
      <c r="Q14" s="100" t="str">
        <f t="array" ref="Q14">IF(OR(I14="",K14=""),"",INDEX($J$21:$T$28,MATCH(1,($J$21:$J$28=I14)*($K$21:$K$28=N14), 0), 10))</f>
        <v/>
      </c>
      <c r="R14" s="100" t="str">
        <f t="array" ref="R14">IF(OR(I14="",K14=""),"",INDEX($J$33:$T$38,MATCH(1,($J$33:$J$38=I14)*($K$33:$K$38=P14), 0), 10))</f>
        <v/>
      </c>
      <c r="S14" s="18">
        <f t="shared" si="13"/>
        <v>0.93700000000000006</v>
      </c>
      <c r="T14" s="18" t="str">
        <f t="shared" si="3"/>
        <v/>
      </c>
      <c r="U14" s="6" t="str">
        <f t="shared" si="4"/>
        <v>CUSTOM</v>
      </c>
      <c r="V14" s="22" t="str">
        <f t="array" ref="V14">IFERROR(IF(OR(I14="",K14=""),"",INDEX($J$43:$T$53,MATCH(1,($J$43:$J$53=I14)*($K$43:$K$53=U14), 0), 10)), "CUSTOM")</f>
        <v/>
      </c>
      <c r="W14" s="6" t="str">
        <f t="shared" si="5"/>
        <v>CUSTOM</v>
      </c>
      <c r="X14" s="22" t="str">
        <f t="array" ref="X14">IFERROR(IF(OR(I14="",K14=""),"",INDEX($J$58:$T$67,MATCH(1,($J$58:$J$67=I14)*($K$58:$K$67=W14), 0), 10)), "CUSTOM")</f>
        <v/>
      </c>
      <c r="Y14" s="5" t="str">
        <f t="shared" si="6"/>
        <v>CUSTOM</v>
      </c>
      <c r="Z14" s="53" t="str">
        <f t="array" ref="Z14">IFERROR(IF(OR(I14="",K14=""),"",INDEX($J$72:$T$77,MATCH(1,($J$72:$J$77=I14)*($K$72:$K$77=Y14), 0), 4)), "CUSTOM")</f>
        <v/>
      </c>
      <c r="AA14" s="53" t="str">
        <f>IFERROR(VLOOKUP(I14, $J$82:$T$85, 10, FALSE), "CUSTOM")</f>
        <v>CUSTOM</v>
      </c>
      <c r="AB14" s="6" t="str">
        <f t="shared" si="14"/>
        <v>CUSTOM</v>
      </c>
      <c r="AC14" s="22" t="str">
        <f t="array" ref="AC14">IFERROR(IF(OR(I14="",K14=""),"",INDEX($J$90:$T$100,MATCH(1,($J$90:$J$100=I14)*($K$90:$K$100=AB14), 0), 4)), "CUSTOM")</f>
        <v/>
      </c>
      <c r="AD14" s="6" t="str">
        <f t="shared" si="15"/>
        <v>CUSTOM</v>
      </c>
      <c r="AE14" s="22" t="str">
        <f t="array" ref="AE14">IFERROR(IF(OR(I14="",K14=""),"",INDEX($J$105:$T$114,MATCH(1,($J$104:$J$105=I14)*($K$104:$K$105=AD14), 0), 4)), "CUSTOM")</f>
        <v/>
      </c>
      <c r="AF14" s="5" t="str">
        <f t="shared" si="16"/>
        <v>CUSTOM</v>
      </c>
      <c r="AG14" s="53" t="str">
        <f t="array" ref="AG14">IFERROR(IF(OR(I14="",K14=""),"",INDEX($J$119:$T$129,MATCH(1,($J$119:$J$129=I14)*($K$119:$K$129=AF14), 0), 4)), "CUSTOM")</f>
        <v/>
      </c>
      <c r="AH14" s="53"/>
      <c r="AI14" s="53" t="str">
        <f t="array" ref="AI14">IFERROR(IF(OR(I14="",K14=""),"",INDEX($J$134:$T$143,MATCH(1,($J$134:$J$143=I14)*($K$134:$K$143=AH14), 0), 4)), "CUSTOM")</f>
        <v/>
      </c>
      <c r="AJ14" s="53">
        <f t="shared" si="17"/>
        <v>0</v>
      </c>
      <c r="AK14" s="53" t="str">
        <f t="shared" si="18"/>
        <v/>
      </c>
      <c r="AL14" s="53" t="str">
        <f t="shared" si="7"/>
        <v/>
      </c>
      <c r="AM14" s="405" t="str">
        <f t="shared" si="8"/>
        <v/>
      </c>
      <c r="AN14" s="418" t="str">
        <f t="shared" si="9"/>
        <v/>
      </c>
      <c r="AO14" s="138" t="str">
        <f t="shared" si="10"/>
        <v/>
      </c>
      <c r="AP14">
        <f t="shared" si="11"/>
        <v>0</v>
      </c>
      <c r="AQ14" t="str">
        <f t="shared" si="12"/>
        <v>Yes</v>
      </c>
      <c r="AR14" t="s">
        <v>223</v>
      </c>
      <c r="AS14" s="83"/>
    </row>
    <row r="15" spans="1:45" x14ac:dyDescent="0.25">
      <c r="A15" s="38"/>
      <c r="B15" s="220">
        <v>8</v>
      </c>
      <c r="C15" s="220" t="s">
        <v>222</v>
      </c>
      <c r="D15" s="40"/>
      <c r="E15" s="40"/>
      <c r="F15" s="40"/>
      <c r="G15" s="40"/>
      <c r="H15" s="40"/>
      <c r="I15" s="41"/>
      <c r="J15" s="41"/>
      <c r="K15" s="41"/>
      <c r="L15" s="84"/>
      <c r="M15" s="41"/>
      <c r="N15" s="18" t="str">
        <f t="shared" si="0"/>
        <v>≥ 175</v>
      </c>
      <c r="O15" s="18" t="str">
        <f t="shared" si="1"/>
        <v>≥ 175</v>
      </c>
      <c r="P15" s="18" t="str">
        <f t="shared" si="2"/>
        <v>N/A</v>
      </c>
      <c r="Q15" s="100" t="str">
        <f t="array" ref="Q15">IF(OR(I15="",K15=""),"",INDEX($J$21:$T$28,MATCH(1,($J$21:$J$28=I15)*($K$21:$K$28=N15), 0), 11))</f>
        <v/>
      </c>
      <c r="R15" s="100" t="str">
        <f t="array" ref="R15">IF(OR(I15="",K15=""),"",INDEX($J$33:$T$38,MATCH(1,($J$33:$J$38=I15)*($K$33:$K$38=P15), 0), 11))</f>
        <v/>
      </c>
      <c r="S15" s="18">
        <f t="shared" si="13"/>
        <v>0.93700000000000006</v>
      </c>
      <c r="T15" s="18" t="str">
        <f t="shared" si="3"/>
        <v/>
      </c>
      <c r="U15" s="6" t="str">
        <f t="shared" si="4"/>
        <v>CUSTOM</v>
      </c>
      <c r="V15" s="22" t="str">
        <f t="array" ref="V15">IFERROR(IF(OR(I15="",K15=""),"",INDEX($J$43:$T$53,MATCH(1,($J$43:$J$53=I15)*($K$43:$K$53=U15), 0), 11)), "CUSTOM")</f>
        <v/>
      </c>
      <c r="W15" s="6" t="str">
        <f t="shared" si="5"/>
        <v>CUSTOM</v>
      </c>
      <c r="X15" s="22" t="str">
        <f t="array" ref="X15">IFERROR(IF(OR(I15="",K15=""),"",INDEX($J$58:$T$67,MATCH(1,($J$58:$J$67=I15)*($K$58:$K$67=W15), 0), 11)), "CUSTOM")</f>
        <v/>
      </c>
      <c r="Y15" s="5" t="str">
        <f t="shared" si="6"/>
        <v>CUSTOM</v>
      </c>
      <c r="Z15" s="53" t="str">
        <f t="array" ref="Z15">IFERROR(IF(OR(I15="",K15=""),"",INDEX($J$72:$T$77,MATCH(1,($J$72:$J$77=I15)*($K$72:$K$77=Y15), 0), 4)), "CUSTOM")</f>
        <v/>
      </c>
      <c r="AA15" s="53" t="str">
        <f>IFERROR(VLOOKUP(I15, $J$82:$T$85, 11, FALSE), "CUSTOM")</f>
        <v>CUSTOM</v>
      </c>
      <c r="AB15" s="6" t="str">
        <f t="shared" si="14"/>
        <v>CUSTOM</v>
      </c>
      <c r="AC15" s="22" t="str">
        <f t="array" ref="AC15">IFERROR(IF(OR(I15="",K15=""),"",INDEX($J$90:$T$100,MATCH(1,($J$90:$J$100=I15)*($K$90:$K$100=AB15), 0), 4)), "CUSTOM")</f>
        <v/>
      </c>
      <c r="AD15" s="6" t="str">
        <f t="shared" si="15"/>
        <v>CUSTOM</v>
      </c>
      <c r="AE15" s="22" t="str">
        <f t="array" ref="AE15">IFERROR(IF(OR(I15="",K15=""),"",INDEX($J$105:$T$114,MATCH(1,($J$104:$J$105=I15)*($K$104:$K$105=AD15), 0), 4)), "CUSTOM")</f>
        <v/>
      </c>
      <c r="AF15" s="5" t="str">
        <f t="shared" si="16"/>
        <v>CUSTOM</v>
      </c>
      <c r="AG15" s="53" t="str">
        <f t="array" ref="AG15">IFERROR(IF(OR(I15="",K15=""),"",INDEX($J$119:$T$129,MATCH(1,($J$119:$J$129=I15)*($K$119:$K$129=AF15), 0), 4)), "CUSTOM")</f>
        <v/>
      </c>
      <c r="AH15" s="53"/>
      <c r="AI15" s="53" t="str">
        <f t="array" ref="AI15">IFERROR(IF(OR(I15="",K15=""),"",INDEX($J$134:$T$143,MATCH(1,($J$134:$J$143=I15)*($K$134:$K$143=AH15), 0), 4)), "CUSTOM")</f>
        <v/>
      </c>
      <c r="AJ15" s="53">
        <f t="shared" si="17"/>
        <v>0</v>
      </c>
      <c r="AK15" s="53" t="str">
        <f t="shared" si="18"/>
        <v/>
      </c>
      <c r="AL15" s="53" t="str">
        <f t="shared" si="7"/>
        <v/>
      </c>
      <c r="AM15" s="405" t="str">
        <f t="shared" si="8"/>
        <v/>
      </c>
      <c r="AN15" s="418" t="str">
        <f t="shared" si="9"/>
        <v/>
      </c>
      <c r="AO15" s="138" t="str">
        <f t="shared" si="10"/>
        <v/>
      </c>
      <c r="AP15">
        <f t="shared" si="11"/>
        <v>0</v>
      </c>
      <c r="AQ15" t="str">
        <f t="shared" si="12"/>
        <v>Yes</v>
      </c>
      <c r="AR15" t="s">
        <v>223</v>
      </c>
      <c r="AS15" s="83"/>
    </row>
    <row r="16" spans="1:45" hidden="1" x14ac:dyDescent="0.25">
      <c r="A16" s="27"/>
      <c r="M16">
        <f>SUM(M8:M15)</f>
        <v>0</v>
      </c>
      <c r="N16">
        <f t="shared" ref="N16:AO16" si="19">SUM(N8:N15)</f>
        <v>0</v>
      </c>
      <c r="O16">
        <f t="shared" si="19"/>
        <v>0</v>
      </c>
      <c r="P16">
        <f t="shared" si="19"/>
        <v>0</v>
      </c>
      <c r="Q16">
        <f t="shared" si="19"/>
        <v>0</v>
      </c>
      <c r="R16">
        <f t="shared" si="19"/>
        <v>0</v>
      </c>
      <c r="S16">
        <f t="shared" si="19"/>
        <v>7.4960000000000013</v>
      </c>
      <c r="T16">
        <f t="shared" si="19"/>
        <v>0</v>
      </c>
      <c r="U16">
        <f t="shared" si="19"/>
        <v>0</v>
      </c>
      <c r="V16">
        <f t="shared" si="19"/>
        <v>0</v>
      </c>
      <c r="W16">
        <f t="shared" si="19"/>
        <v>0</v>
      </c>
      <c r="X16">
        <f t="shared" si="19"/>
        <v>0</v>
      </c>
      <c r="Y16">
        <f t="shared" si="19"/>
        <v>0</v>
      </c>
      <c r="Z16">
        <f t="shared" si="19"/>
        <v>0</v>
      </c>
      <c r="AA16">
        <f t="shared" si="19"/>
        <v>0</v>
      </c>
      <c r="AB16">
        <f t="shared" si="19"/>
        <v>0</v>
      </c>
      <c r="AC16">
        <f t="shared" si="19"/>
        <v>0</v>
      </c>
      <c r="AD16">
        <f t="shared" si="19"/>
        <v>0</v>
      </c>
      <c r="AE16">
        <f t="shared" si="19"/>
        <v>0</v>
      </c>
      <c r="AF16">
        <f t="shared" si="19"/>
        <v>0</v>
      </c>
      <c r="AG16">
        <f t="shared" si="19"/>
        <v>0</v>
      </c>
      <c r="AH16">
        <f t="shared" si="19"/>
        <v>0</v>
      </c>
      <c r="AI16">
        <f t="shared" si="19"/>
        <v>0</v>
      </c>
      <c r="AJ16">
        <f t="shared" si="19"/>
        <v>0</v>
      </c>
      <c r="AK16">
        <f t="shared" si="19"/>
        <v>0</v>
      </c>
      <c r="AL16">
        <f t="shared" si="19"/>
        <v>0</v>
      </c>
      <c r="AM16">
        <f t="shared" si="19"/>
        <v>0</v>
      </c>
      <c r="AN16">
        <f t="shared" si="19"/>
        <v>0</v>
      </c>
      <c r="AO16">
        <f t="shared" si="19"/>
        <v>0</v>
      </c>
      <c r="AS16" s="83"/>
    </row>
    <row r="17" spans="1:45" hidden="1" x14ac:dyDescent="0.25">
      <c r="A17" s="27"/>
      <c r="AS17" s="83"/>
    </row>
    <row r="18" spans="1:45" hidden="1" x14ac:dyDescent="0.25">
      <c r="A18" s="27"/>
      <c r="J18" s="139" t="s">
        <v>224</v>
      </c>
      <c r="AS18" s="83"/>
    </row>
    <row r="19" spans="1:45" hidden="1" x14ac:dyDescent="0.25">
      <c r="A19" s="27"/>
      <c r="J19" s="516" t="s">
        <v>225</v>
      </c>
      <c r="K19" s="516"/>
      <c r="L19" s="516"/>
      <c r="M19" s="516"/>
      <c r="N19" s="516"/>
      <c r="O19" s="516"/>
      <c r="P19" s="516"/>
      <c r="Q19" s="516"/>
      <c r="R19" s="516"/>
      <c r="S19" s="516"/>
      <c r="T19" s="516"/>
      <c r="AS19" s="83"/>
    </row>
    <row r="20" spans="1:45" ht="37.5" hidden="1" customHeight="1" x14ac:dyDescent="0.25">
      <c r="A20" s="27"/>
      <c r="C20" s="223" t="s">
        <v>150</v>
      </c>
      <c r="J20" s="3" t="s">
        <v>226</v>
      </c>
      <c r="K20" s="2" t="s">
        <v>227</v>
      </c>
      <c r="L20" s="2" t="s">
        <v>228</v>
      </c>
      <c r="M20" s="221" t="s">
        <v>229</v>
      </c>
      <c r="N20" s="221" t="s">
        <v>230</v>
      </c>
      <c r="O20" s="221" t="s">
        <v>231</v>
      </c>
      <c r="P20" s="221" t="s">
        <v>232</v>
      </c>
      <c r="Q20" s="221" t="s">
        <v>233</v>
      </c>
      <c r="R20" s="221" t="s">
        <v>234</v>
      </c>
      <c r="S20" s="221" t="s">
        <v>235</v>
      </c>
      <c r="T20" s="221" t="s">
        <v>236</v>
      </c>
      <c r="AS20" s="83"/>
    </row>
    <row r="21" spans="1:45" hidden="1" x14ac:dyDescent="0.25">
      <c r="A21" s="27"/>
      <c r="C21" s="22" t="str">
        <f>IF('Project Summary'!$C$12="", "PY13-PY16", IF('Project Summary'!$C$12&lt;K87, "PY10-PY12", "PY13-PY16"))</f>
        <v>PY13-PY16</v>
      </c>
      <c r="J21" s="120" t="s">
        <v>237</v>
      </c>
      <c r="K21" s="6" t="s">
        <v>238</v>
      </c>
      <c r="L21" s="6" t="s">
        <v>239</v>
      </c>
      <c r="M21" s="22">
        <f>10.26-(0.0086*$K$8)</f>
        <v>10.26</v>
      </c>
      <c r="N21" s="22">
        <f>10.26-(0.0086*$K$9)</f>
        <v>10.26</v>
      </c>
      <c r="O21" s="22">
        <f>10.26-(0.0086*$K$10)</f>
        <v>10.26</v>
      </c>
      <c r="P21" s="22">
        <f>10.26-(0.0086*$K$11)</f>
        <v>10.26</v>
      </c>
      <c r="Q21" s="22">
        <f>10.26-(0.0086*$K$12)</f>
        <v>10.26</v>
      </c>
      <c r="R21" s="22">
        <f>10.26-(0.0086*$K$13)</f>
        <v>10.26</v>
      </c>
      <c r="S21" s="22">
        <f>10.26-(0.0086*$K$14)</f>
        <v>10.26</v>
      </c>
      <c r="T21" s="22">
        <f>10.26-(0.0086*$K$15)</f>
        <v>10.26</v>
      </c>
      <c r="AS21" s="83"/>
    </row>
    <row r="22" spans="1:45" hidden="1" x14ac:dyDescent="0.25">
      <c r="A22" s="27"/>
      <c r="J22" s="120" t="s">
        <v>237</v>
      </c>
      <c r="K22" s="6" t="s">
        <v>240</v>
      </c>
      <c r="L22" s="6" t="s">
        <v>241</v>
      </c>
      <c r="M22" s="22">
        <f>6.89-(0.0011*K8)</f>
        <v>6.89</v>
      </c>
      <c r="N22" s="22">
        <f>6.89-(0.0011*K9)</f>
        <v>6.89</v>
      </c>
      <c r="O22" s="22">
        <f>6.89-(0.0011*K10)</f>
        <v>6.89</v>
      </c>
      <c r="P22" s="22">
        <f>6.89-(0.0011*K11)</f>
        <v>6.89</v>
      </c>
      <c r="Q22" s="22">
        <f>6.89-(0.0011*K12)</f>
        <v>6.89</v>
      </c>
      <c r="R22" s="22">
        <f>6.89-(0.0011*K13)</f>
        <v>6.89</v>
      </c>
      <c r="S22" s="22">
        <f>6.89-(0.0011*M14)</f>
        <v>6.89</v>
      </c>
      <c r="T22" s="22">
        <f>6.89-(0.0011*K15)</f>
        <v>6.89</v>
      </c>
      <c r="AS22" s="83"/>
    </row>
    <row r="23" spans="1:45" hidden="1" x14ac:dyDescent="0.25">
      <c r="A23" s="27"/>
      <c r="C23" s="19" t="s">
        <v>237</v>
      </c>
      <c r="J23" s="120" t="s">
        <v>242</v>
      </c>
      <c r="K23" s="6" t="s">
        <v>243</v>
      </c>
      <c r="L23" s="6" t="s">
        <v>244</v>
      </c>
      <c r="M23" s="22">
        <f>8.85-(0.0038*$K$8)</f>
        <v>8.85</v>
      </c>
      <c r="N23" s="22">
        <f>8.85-(0.0038*$K$9)</f>
        <v>8.85</v>
      </c>
      <c r="O23" s="22">
        <f>8.85-(0.0038*$K$10)</f>
        <v>8.85</v>
      </c>
      <c r="P23" s="22">
        <f>8.85-(0.0038*$K$11)</f>
        <v>8.85</v>
      </c>
      <c r="Q23" s="22">
        <f>8.85-(0.0038*$K$12)</f>
        <v>8.85</v>
      </c>
      <c r="R23" s="22">
        <f>8.85-(0.0038*$K$13)</f>
        <v>8.85</v>
      </c>
      <c r="S23" s="22">
        <f>8.85-(0.0038*$K$14)</f>
        <v>8.85</v>
      </c>
      <c r="T23" s="22">
        <f>8.85-(0.0038*$K$15)</f>
        <v>8.85</v>
      </c>
      <c r="AS23" s="83"/>
    </row>
    <row r="24" spans="1:45" hidden="1" x14ac:dyDescent="0.25">
      <c r="A24" s="27"/>
      <c r="C24" s="19" t="s">
        <v>242</v>
      </c>
      <c r="J24" s="120" t="s">
        <v>242</v>
      </c>
      <c r="K24" s="6" t="s">
        <v>245</v>
      </c>
      <c r="L24" s="6">
        <v>5.0999999999999996</v>
      </c>
      <c r="M24" s="22">
        <v>5.0999999999999996</v>
      </c>
      <c r="N24" s="22">
        <v>5.0999999999999996</v>
      </c>
      <c r="O24" s="22">
        <v>5.0999999999999996</v>
      </c>
      <c r="P24" s="22">
        <v>5.0999999999999996</v>
      </c>
      <c r="Q24" s="22">
        <v>5.0999999999999996</v>
      </c>
      <c r="R24" s="22">
        <v>5.0999999999999996</v>
      </c>
      <c r="S24" s="22">
        <v>5.0999999999999996</v>
      </c>
      <c r="T24" s="22">
        <v>5.0999999999999996</v>
      </c>
      <c r="AS24" s="83"/>
    </row>
    <row r="25" spans="1:45" hidden="1" x14ac:dyDescent="0.25">
      <c r="A25" s="27"/>
      <c r="C25" s="19" t="s">
        <v>246</v>
      </c>
      <c r="J25" s="120" t="s">
        <v>246</v>
      </c>
      <c r="K25" s="6" t="s">
        <v>247</v>
      </c>
      <c r="L25" s="6" t="s">
        <v>244</v>
      </c>
      <c r="M25" s="22">
        <f>8.85-(0.0038*$K$8)</f>
        <v>8.85</v>
      </c>
      <c r="N25" s="22">
        <f>8.85-(0.0038*$K$9)</f>
        <v>8.85</v>
      </c>
      <c r="O25" s="22">
        <f>8.85-(0.0038*$K$10)</f>
        <v>8.85</v>
      </c>
      <c r="P25" s="22">
        <f>8.85-(0.0038*$K$11)</f>
        <v>8.85</v>
      </c>
      <c r="Q25" s="22">
        <f>8.85-(0.0038*$K$12)</f>
        <v>8.85</v>
      </c>
      <c r="R25" s="22">
        <f>8.85-(0.0038*$K$13)</f>
        <v>8.85</v>
      </c>
      <c r="S25" s="22">
        <f>8.85-(0.0038*$K$14)</f>
        <v>8.85</v>
      </c>
      <c r="T25" s="22">
        <f>8.85-(0.0038*$K$15)</f>
        <v>8.85</v>
      </c>
      <c r="AS25" s="83"/>
    </row>
    <row r="26" spans="1:45" hidden="1" x14ac:dyDescent="0.25">
      <c r="A26" s="27"/>
      <c r="C26" s="19" t="s">
        <v>248</v>
      </c>
      <c r="J26" s="120" t="s">
        <v>246</v>
      </c>
      <c r="K26" s="6" t="s">
        <v>249</v>
      </c>
      <c r="L26" s="6">
        <v>5.3</v>
      </c>
      <c r="M26" s="22">
        <v>5.3</v>
      </c>
      <c r="N26" s="22">
        <v>5.3</v>
      </c>
      <c r="O26" s="22">
        <v>5.3</v>
      </c>
      <c r="P26" s="22">
        <v>5.3</v>
      </c>
      <c r="Q26" s="22">
        <v>5.3</v>
      </c>
      <c r="R26" s="22">
        <v>5.3</v>
      </c>
      <c r="S26" s="22">
        <v>5.3</v>
      </c>
      <c r="T26" s="22">
        <v>5.3</v>
      </c>
      <c r="AS26" s="83"/>
    </row>
    <row r="27" spans="1:45" hidden="1" x14ac:dyDescent="0.25">
      <c r="A27" s="27"/>
      <c r="J27" s="120" t="s">
        <v>248</v>
      </c>
      <c r="K27" s="6" t="s">
        <v>250</v>
      </c>
      <c r="L27" s="6" t="s">
        <v>251</v>
      </c>
      <c r="M27" s="22">
        <f>18-(0.0469*$K$8)</f>
        <v>18</v>
      </c>
      <c r="N27" s="22">
        <f>18-(0.0469*$K$9)</f>
        <v>18</v>
      </c>
      <c r="O27" s="22">
        <f>18-(0.0469*$K$10)</f>
        <v>18</v>
      </c>
      <c r="P27" s="22">
        <f>18-(0.0469*$K$11)</f>
        <v>18</v>
      </c>
      <c r="Q27" s="22">
        <f>18-(0.0469*$K$12)</f>
        <v>18</v>
      </c>
      <c r="R27" s="22">
        <f>18-(0.0469*$K$13)</f>
        <v>18</v>
      </c>
      <c r="S27" s="22">
        <f>18-(0.0469*$K$14)</f>
        <v>18</v>
      </c>
      <c r="T27" s="22">
        <f>18-(0.0469*$K$15)</f>
        <v>18</v>
      </c>
      <c r="AS27" s="83"/>
    </row>
    <row r="28" spans="1:45" hidden="1" x14ac:dyDescent="0.25">
      <c r="A28" s="27"/>
      <c r="C28" s="140" t="s">
        <v>252</v>
      </c>
      <c r="D28" s="221" t="s">
        <v>253</v>
      </c>
      <c r="E28" s="221" t="s">
        <v>254</v>
      </c>
      <c r="J28" s="120" t="s">
        <v>248</v>
      </c>
      <c r="K28" s="6" t="s">
        <v>255</v>
      </c>
      <c r="L28" s="6">
        <v>9.8000000000000007</v>
      </c>
      <c r="M28" s="22">
        <v>9.8000000000000007</v>
      </c>
      <c r="N28" s="22">
        <v>9.8000000000000007</v>
      </c>
      <c r="O28" s="22">
        <v>9.8000000000000007</v>
      </c>
      <c r="P28" s="22">
        <v>9.8000000000000007</v>
      </c>
      <c r="Q28" s="22">
        <v>9.8000000000000007</v>
      </c>
      <c r="R28" s="22">
        <v>9.8000000000000007</v>
      </c>
      <c r="S28" s="22">
        <v>9.8000000000000007</v>
      </c>
      <c r="T28" s="22">
        <v>9.8000000000000007</v>
      </c>
      <c r="AS28" s="83"/>
    </row>
    <row r="29" spans="1:45" hidden="1" x14ac:dyDescent="0.25">
      <c r="A29" s="27"/>
      <c r="C29" s="4" t="s">
        <v>256</v>
      </c>
      <c r="D29" s="211">
        <f>75*'Project Summary'!M12</f>
        <v>37.5</v>
      </c>
      <c r="E29" s="4" t="s">
        <v>72</v>
      </c>
      <c r="AS29" s="83"/>
    </row>
    <row r="30" spans="1:45" hidden="1" x14ac:dyDescent="0.25">
      <c r="A30" s="27"/>
      <c r="C30" s="4" t="s">
        <v>257</v>
      </c>
      <c r="D30" s="211">
        <f>150*'Project Summary'!M12</f>
        <v>75</v>
      </c>
      <c r="E30" s="4" t="s">
        <v>74</v>
      </c>
      <c r="J30" s="139" t="s">
        <v>258</v>
      </c>
      <c r="AS30" s="83"/>
    </row>
    <row r="31" spans="1:45" hidden="1" x14ac:dyDescent="0.25">
      <c r="A31" s="27"/>
      <c r="C31" s="4" t="s">
        <v>259</v>
      </c>
      <c r="D31" s="211">
        <f>200*'Project Summary'!M12</f>
        <v>100</v>
      </c>
      <c r="E31" s="4" t="s">
        <v>73</v>
      </c>
      <c r="J31" s="516" t="s">
        <v>260</v>
      </c>
      <c r="K31" s="516"/>
      <c r="L31" s="516"/>
      <c r="M31" s="516"/>
      <c r="N31" s="516"/>
      <c r="O31" s="516"/>
      <c r="P31" s="516"/>
      <c r="Q31" s="516"/>
      <c r="R31" s="516"/>
      <c r="S31" s="516"/>
      <c r="T31" s="516"/>
      <c r="AS31" s="83"/>
    </row>
    <row r="32" spans="1:45" ht="30" hidden="1" x14ac:dyDescent="0.25">
      <c r="A32" s="27"/>
      <c r="J32" s="3" t="s">
        <v>226</v>
      </c>
      <c r="K32" s="2" t="s">
        <v>227</v>
      </c>
      <c r="L32" s="2" t="s">
        <v>261</v>
      </c>
      <c r="M32" s="221" t="s">
        <v>229</v>
      </c>
      <c r="N32" s="221" t="s">
        <v>230</v>
      </c>
      <c r="O32" s="221" t="s">
        <v>231</v>
      </c>
      <c r="P32" s="221" t="s">
        <v>232</v>
      </c>
      <c r="Q32" s="221" t="s">
        <v>233</v>
      </c>
      <c r="R32" s="221" t="s">
        <v>234</v>
      </c>
      <c r="S32" s="221" t="s">
        <v>235</v>
      </c>
      <c r="T32" s="221" t="s">
        <v>236</v>
      </c>
      <c r="AS32" s="83"/>
    </row>
    <row r="33" spans="1:45" ht="17.25" hidden="1" x14ac:dyDescent="0.25">
      <c r="A33" s="27"/>
      <c r="C33" s="14" t="s">
        <v>83</v>
      </c>
      <c r="J33" s="120" t="s">
        <v>237</v>
      </c>
      <c r="K33" s="6" t="s">
        <v>262</v>
      </c>
      <c r="L33" s="141" t="s">
        <v>263</v>
      </c>
      <c r="M33" s="22" t="e">
        <f>37.72*($K$8^-0.298)</f>
        <v>#DIV/0!</v>
      </c>
      <c r="N33" s="22" t="e">
        <f>37.72*($K$9^-0.298)</f>
        <v>#DIV/0!</v>
      </c>
      <c r="O33" s="22" t="e">
        <f>37.72*($K$10^-0.298)</f>
        <v>#DIV/0!</v>
      </c>
      <c r="P33" s="22" t="e">
        <f>37.72*($K$11^-0.298)</f>
        <v>#DIV/0!</v>
      </c>
      <c r="Q33" s="22" t="e">
        <f>37.72*($K$12^-0.298)</f>
        <v>#DIV/0!</v>
      </c>
      <c r="R33" s="22" t="e">
        <f>37.72*($K$13^-0.298)</f>
        <v>#DIV/0!</v>
      </c>
      <c r="S33" s="22" t="e">
        <f>37.72*($K$14^-0.298)</f>
        <v>#DIV/0!</v>
      </c>
      <c r="T33" s="22" t="e">
        <f>37.72*($K$15^-0.298)</f>
        <v>#DIV/0!</v>
      </c>
      <c r="AS33" s="83"/>
    </row>
    <row r="34" spans="1:45" ht="17.25" hidden="1" x14ac:dyDescent="0.25">
      <c r="A34" s="27"/>
      <c r="C34" s="19" t="s">
        <v>124</v>
      </c>
      <c r="J34" s="120" t="s">
        <v>242</v>
      </c>
      <c r="K34" s="6" t="s">
        <v>264</v>
      </c>
      <c r="L34" s="6" t="s">
        <v>265</v>
      </c>
      <c r="M34" s="22" t="e">
        <f>22.95*(K8^-0.258)+1</f>
        <v>#DIV/0!</v>
      </c>
      <c r="N34" s="22" t="e">
        <f>22.95*(K9^-0.258)+1</f>
        <v>#DIV/0!</v>
      </c>
      <c r="O34" s="22" t="e">
        <f>22.95*(K10^-0.258)+1</f>
        <v>#DIV/0!</v>
      </c>
      <c r="P34" s="22" t="e">
        <f>22.95*(K11^-0.258)+1</f>
        <v>#DIV/0!</v>
      </c>
      <c r="Q34" s="22" t="e">
        <f>22.95*(K12^-0.258)+1</f>
        <v>#DIV/0!</v>
      </c>
      <c r="R34" s="22" t="e">
        <f>22.95*(K13^-0.258)+1</f>
        <v>#DIV/0!</v>
      </c>
      <c r="S34" s="22" t="e">
        <f>22.95*(K14^-0.258)+1</f>
        <v>#DIV/0!</v>
      </c>
      <c r="T34" s="22" t="e">
        <f>22.95*(K15^-0.258)+1</f>
        <v>#DIV/0!</v>
      </c>
      <c r="AS34" s="83"/>
    </row>
    <row r="35" spans="1:45" hidden="1" x14ac:dyDescent="0.25">
      <c r="A35" s="27"/>
      <c r="C35" s="19" t="s">
        <v>130</v>
      </c>
      <c r="J35" s="120" t="s">
        <v>242</v>
      </c>
      <c r="K35" s="6" t="s">
        <v>266</v>
      </c>
      <c r="L35" s="6" t="s">
        <v>267</v>
      </c>
      <c r="M35" s="22">
        <f>-0.00011*$K$8+4.6</f>
        <v>4.5999999999999996</v>
      </c>
      <c r="N35" s="22">
        <f>-0.00011*$K$9+4.6</f>
        <v>4.5999999999999996</v>
      </c>
      <c r="O35" s="22">
        <f>-0.00011*$K$10+4.6</f>
        <v>4.5999999999999996</v>
      </c>
      <c r="P35" s="22">
        <f>-0.00011*$K$11+4.6</f>
        <v>4.5999999999999996</v>
      </c>
      <c r="Q35" s="22">
        <f>-0.00011*$K$12+4.6</f>
        <v>4.5999999999999996</v>
      </c>
      <c r="R35" s="22">
        <f>-0.00011*$K$13+4.6</f>
        <v>4.5999999999999996</v>
      </c>
      <c r="S35" s="22">
        <f>-0.00011*$K$14+4.6</f>
        <v>4.5999999999999996</v>
      </c>
      <c r="T35" s="22">
        <f>-0.00011*$K$15+4.6</f>
        <v>4.5999999999999996</v>
      </c>
      <c r="AS35" s="83"/>
    </row>
    <row r="36" spans="1:45" ht="17.25" hidden="1" x14ac:dyDescent="0.25">
      <c r="A36" s="27"/>
      <c r="J36" s="120" t="s">
        <v>246</v>
      </c>
      <c r="K36" s="6" t="s">
        <v>264</v>
      </c>
      <c r="L36" s="6" t="s">
        <v>265</v>
      </c>
      <c r="M36" s="22" t="e">
        <f>22.95*(K8^-0.258)+1</f>
        <v>#DIV/0!</v>
      </c>
      <c r="N36" s="22" t="e">
        <f>22.95*(K9^-0.258)+1</f>
        <v>#DIV/0!</v>
      </c>
      <c r="O36" s="22" t="e">
        <f>22.95*(K10^-0.258)+1</f>
        <v>#DIV/0!</v>
      </c>
      <c r="P36" s="22" t="e">
        <f>22.95*(K11^-0.258)+1</f>
        <v>#DIV/0!</v>
      </c>
      <c r="Q36" s="22" t="e">
        <f>22.95*(K12^-0.258)+1</f>
        <v>#DIV/0!</v>
      </c>
      <c r="R36" s="22" t="e">
        <f>22.95*(K13^-0.258)+1</f>
        <v>#DIV/0!</v>
      </c>
      <c r="S36" s="22" t="e">
        <f>22.95*(K14^-0.258)+1</f>
        <v>#DIV/0!</v>
      </c>
      <c r="T36" s="22" t="e">
        <f>22.95*(K15^-0.258)+1</f>
        <v>#DIV/0!</v>
      </c>
      <c r="AS36" s="83"/>
    </row>
    <row r="37" spans="1:45" hidden="1" x14ac:dyDescent="0.25">
      <c r="A37" s="27"/>
      <c r="C37" s="142" t="s">
        <v>268</v>
      </c>
      <c r="J37" s="120" t="s">
        <v>246</v>
      </c>
      <c r="K37" s="6" t="s">
        <v>266</v>
      </c>
      <c r="L37" s="6" t="s">
        <v>267</v>
      </c>
      <c r="M37" s="22">
        <f>-0.00011*$K$8+4.6</f>
        <v>4.5999999999999996</v>
      </c>
      <c r="N37" s="22">
        <f>-0.00011*$K$9+4.6</f>
        <v>4.5999999999999996</v>
      </c>
      <c r="O37" s="22">
        <f>-0.00011*$K$10+4.6</f>
        <v>4.5999999999999996</v>
      </c>
      <c r="P37" s="22">
        <f>-0.00011*$K$11+4.6</f>
        <v>4.5999999999999996</v>
      </c>
      <c r="Q37" s="22">
        <f>-0.00011*$K$12+4.6</f>
        <v>4.5999999999999996</v>
      </c>
      <c r="R37" s="22">
        <f>-0.00011*$K$13+4.6</f>
        <v>4.5999999999999996</v>
      </c>
      <c r="S37" s="22">
        <f>-0.00011*$K$14+4.6</f>
        <v>4.5999999999999996</v>
      </c>
      <c r="T37" s="22">
        <f>-0.00011*$K$15+4.6</f>
        <v>4.5999999999999996</v>
      </c>
      <c r="AS37" s="83"/>
    </row>
    <row r="38" spans="1:45" ht="17.25" hidden="1" x14ac:dyDescent="0.25">
      <c r="A38" s="27"/>
      <c r="C38" s="224">
        <v>8</v>
      </c>
      <c r="J38" s="120" t="s">
        <v>248</v>
      </c>
      <c r="K38" s="6" t="s">
        <v>269</v>
      </c>
      <c r="L38" s="6" t="s">
        <v>270</v>
      </c>
      <c r="M38" s="22" t="e">
        <f>48.66*($K$8^-0.326)+0.08</f>
        <v>#DIV/0!</v>
      </c>
      <c r="N38" s="22" t="e">
        <f>48.66*($K$9^-0.326)+0.08</f>
        <v>#DIV/0!</v>
      </c>
      <c r="O38" s="22" t="e">
        <f>48.66*($K$10^-0.326)+0.08</f>
        <v>#DIV/0!</v>
      </c>
      <c r="P38" s="22" t="e">
        <f>48.66*($K$11^-0.326)+0.08</f>
        <v>#DIV/0!</v>
      </c>
      <c r="Q38" s="22" t="e">
        <f>48.66*($K$12^-0.326)+0.08</f>
        <v>#DIV/0!</v>
      </c>
      <c r="R38" s="22" t="e">
        <f>48.66*($K$13^-0.326)+0.08</f>
        <v>#DIV/0!</v>
      </c>
      <c r="S38" s="22" t="e">
        <f>48.66*($K$14^-0.326)+0.08</f>
        <v>#DIV/0!</v>
      </c>
      <c r="T38" s="22" t="e">
        <f>48.66*($K$15^-0.326)+0.08</f>
        <v>#DIV/0!</v>
      </c>
      <c r="AS38" s="83"/>
    </row>
    <row r="39" spans="1:45" hidden="1" x14ac:dyDescent="0.25">
      <c r="A39" s="27"/>
      <c r="J39" s="143"/>
      <c r="K39" s="33"/>
      <c r="L39" s="33"/>
      <c r="M39" s="35"/>
      <c r="N39" s="35"/>
      <c r="O39" s="35"/>
      <c r="P39" s="35"/>
      <c r="Q39" s="35"/>
      <c r="R39" s="35"/>
      <c r="S39" s="35"/>
      <c r="T39" s="35"/>
      <c r="AS39" s="83"/>
    </row>
    <row r="40" spans="1:45" hidden="1" x14ac:dyDescent="0.25">
      <c r="A40" s="27"/>
      <c r="C40" s="75" t="s">
        <v>271</v>
      </c>
      <c r="J40" s="139" t="s">
        <v>272</v>
      </c>
      <c r="K40" s="144">
        <v>43252</v>
      </c>
      <c r="AS40" s="83"/>
    </row>
    <row r="41" spans="1:45" hidden="1" x14ac:dyDescent="0.25">
      <c r="A41" s="27"/>
      <c r="C41" s="4" t="s">
        <v>273</v>
      </c>
      <c r="J41" s="516" t="s">
        <v>225</v>
      </c>
      <c r="K41" s="516"/>
      <c r="L41" s="516"/>
      <c r="M41" s="516"/>
      <c r="N41" s="516"/>
      <c r="O41" s="516"/>
      <c r="P41" s="516"/>
      <c r="Q41" s="516"/>
      <c r="R41" s="516"/>
      <c r="S41" s="516"/>
      <c r="T41" s="516"/>
      <c r="AS41" s="83"/>
    </row>
    <row r="42" spans="1:45" ht="30" hidden="1" x14ac:dyDescent="0.25">
      <c r="A42" s="27"/>
      <c r="C42" s="4" t="s">
        <v>274</v>
      </c>
      <c r="J42" s="3" t="s">
        <v>226</v>
      </c>
      <c r="K42" s="2" t="s">
        <v>227</v>
      </c>
      <c r="L42" s="2" t="s">
        <v>228</v>
      </c>
      <c r="M42" s="221" t="s">
        <v>229</v>
      </c>
      <c r="N42" s="221" t="s">
        <v>230</v>
      </c>
      <c r="O42" s="221" t="s">
        <v>231</v>
      </c>
      <c r="P42" s="221" t="s">
        <v>232</v>
      </c>
      <c r="Q42" s="221" t="s">
        <v>233</v>
      </c>
      <c r="R42" s="221" t="s">
        <v>234</v>
      </c>
      <c r="S42" s="221" t="s">
        <v>235</v>
      </c>
      <c r="T42" s="221" t="s">
        <v>236</v>
      </c>
      <c r="AS42" s="83"/>
    </row>
    <row r="43" spans="1:45" hidden="1" x14ac:dyDescent="0.25">
      <c r="A43" s="27"/>
      <c r="J43" s="120" t="s">
        <v>237</v>
      </c>
      <c r="K43" s="6" t="s">
        <v>275</v>
      </c>
      <c r="L43" s="6" t="s">
        <v>276</v>
      </c>
      <c r="M43" s="22">
        <f>10-0.01233*K8</f>
        <v>10</v>
      </c>
      <c r="N43" s="22">
        <f>10-0.01233*K9</f>
        <v>10</v>
      </c>
      <c r="O43" s="22">
        <f>10-0.01233*K10</f>
        <v>10</v>
      </c>
      <c r="P43" s="22">
        <f>10-0.01233*K11</f>
        <v>10</v>
      </c>
      <c r="Q43" s="22">
        <f>10-0.01233*K12</f>
        <v>10</v>
      </c>
      <c r="R43" s="22">
        <f>10-0.01233*K13</f>
        <v>10</v>
      </c>
      <c r="S43" s="22">
        <f>10-0.01233*K14</f>
        <v>10</v>
      </c>
      <c r="T43" s="22">
        <f>10-0.01233*K15</f>
        <v>10</v>
      </c>
      <c r="AS43" s="83"/>
    </row>
    <row r="44" spans="1:45" hidden="1" x14ac:dyDescent="0.25">
      <c r="A44" s="27"/>
      <c r="C44" s="142" t="s">
        <v>277</v>
      </c>
      <c r="J44" s="120" t="s">
        <v>237</v>
      </c>
      <c r="K44" s="6" t="s">
        <v>278</v>
      </c>
      <c r="L44" s="6" t="s">
        <v>279</v>
      </c>
      <c r="M44" s="22">
        <f>7.05-0.0025*K8</f>
        <v>7.05</v>
      </c>
      <c r="N44" s="22">
        <f>7.05-0.0025*K9</f>
        <v>7.05</v>
      </c>
      <c r="O44" s="22">
        <f>7.05-0.0025*K10</f>
        <v>7.05</v>
      </c>
      <c r="P44" s="22">
        <f>7.05-0.0025*K11</f>
        <v>7.05</v>
      </c>
      <c r="Q44" s="22">
        <f>7.05-0.0025*K12</f>
        <v>7.05</v>
      </c>
      <c r="R44" s="22">
        <f>7.05-0.0025*K13</f>
        <v>7.05</v>
      </c>
      <c r="S44" s="22">
        <f>7.05-0.0025*K14</f>
        <v>7.05</v>
      </c>
      <c r="T44" s="22">
        <f>7.05-0.0025*K15</f>
        <v>7.05</v>
      </c>
      <c r="AS44" s="83"/>
    </row>
    <row r="45" spans="1:45" hidden="1" x14ac:dyDescent="0.25">
      <c r="A45" s="27"/>
      <c r="C45" s="224">
        <v>0.56999999999999995</v>
      </c>
      <c r="J45" s="120" t="s">
        <v>237</v>
      </c>
      <c r="K45" s="6" t="s">
        <v>280</v>
      </c>
      <c r="L45" s="6" t="s">
        <v>281</v>
      </c>
      <c r="M45" s="22">
        <f>5.55-0.00063*K8</f>
        <v>5.55</v>
      </c>
      <c r="N45" s="22">
        <f>5.55-0.00063*K9</f>
        <v>5.55</v>
      </c>
      <c r="O45" s="22">
        <f>5.55-0.00063*K10</f>
        <v>5.55</v>
      </c>
      <c r="P45" s="22">
        <f>5.55-0.00063*K11</f>
        <v>5.55</v>
      </c>
      <c r="Q45" s="22">
        <f>5.55-0.00063*K12</f>
        <v>5.55</v>
      </c>
      <c r="R45" s="22">
        <f>5.55-0.00063*K13</f>
        <v>5.55</v>
      </c>
      <c r="S45" s="22">
        <f>5.55-0.00063*K14</f>
        <v>5.55</v>
      </c>
      <c r="T45" s="22">
        <f>5.55-0.00063*K15</f>
        <v>5.55</v>
      </c>
      <c r="AS45" s="83"/>
    </row>
    <row r="46" spans="1:45" hidden="1" x14ac:dyDescent="0.25">
      <c r="A46" s="27"/>
      <c r="J46" s="120" t="s">
        <v>237</v>
      </c>
      <c r="K46" s="6" t="s">
        <v>282</v>
      </c>
      <c r="L46" s="6">
        <v>4.6100000000000003</v>
      </c>
      <c r="M46" s="22">
        <v>4.6100000000000003</v>
      </c>
      <c r="N46" s="22">
        <v>4.6100000000000003</v>
      </c>
      <c r="O46" s="22">
        <v>4.6100000000000003</v>
      </c>
      <c r="P46" s="22">
        <v>4.6100000000000003</v>
      </c>
      <c r="Q46" s="22">
        <v>4.6100000000000003</v>
      </c>
      <c r="R46" s="22">
        <v>4.6100000000000003</v>
      </c>
      <c r="S46" s="22">
        <v>4.6100000000000003</v>
      </c>
      <c r="T46" s="22">
        <v>4.6100000000000003</v>
      </c>
      <c r="AS46" s="83"/>
    </row>
    <row r="47" spans="1:45" hidden="1" x14ac:dyDescent="0.25">
      <c r="A47" s="27"/>
      <c r="C47" s="142" t="s">
        <v>93</v>
      </c>
      <c r="J47" s="120" t="s">
        <v>242</v>
      </c>
      <c r="K47" s="6" t="s">
        <v>283</v>
      </c>
      <c r="L47" s="6" t="s">
        <v>284</v>
      </c>
      <c r="M47" s="22">
        <f>7.97-0.00342*K8</f>
        <v>7.97</v>
      </c>
      <c r="N47" s="22">
        <f>7.97-0.00342*K9</f>
        <v>7.97</v>
      </c>
      <c r="O47" s="22">
        <f>7.97-0.00342*K10</f>
        <v>7.97</v>
      </c>
      <c r="P47" s="22">
        <f>7.97-0.00342*K11</f>
        <v>7.97</v>
      </c>
      <c r="Q47" s="22">
        <f>7.97-0.00342*K12</f>
        <v>7.97</v>
      </c>
      <c r="R47" s="22">
        <f>7.97-0.00342*K13</f>
        <v>7.97</v>
      </c>
      <c r="S47" s="22">
        <f>7.97-0.00342*K14</f>
        <v>7.97</v>
      </c>
      <c r="T47" s="22">
        <f>7.97-0.00342*K15</f>
        <v>7.97</v>
      </c>
      <c r="AS47" s="83"/>
    </row>
    <row r="48" spans="1:45" hidden="1" x14ac:dyDescent="0.25">
      <c r="A48" s="27"/>
      <c r="C48" s="224">
        <v>0.93700000000000006</v>
      </c>
      <c r="J48" s="120" t="s">
        <v>242</v>
      </c>
      <c r="K48" s="6" t="s">
        <v>285</v>
      </c>
      <c r="L48" s="6">
        <v>4.55</v>
      </c>
      <c r="M48" s="22">
        <v>4.55</v>
      </c>
      <c r="N48" s="22">
        <v>4.55</v>
      </c>
      <c r="O48" s="22">
        <v>4.55</v>
      </c>
      <c r="P48" s="22">
        <v>4.55</v>
      </c>
      <c r="Q48" s="22">
        <v>4.55</v>
      </c>
      <c r="R48" s="22">
        <v>4.55</v>
      </c>
      <c r="S48" s="22">
        <v>4.55</v>
      </c>
      <c r="T48" s="22">
        <v>4.55</v>
      </c>
      <c r="AS48" s="83"/>
    </row>
    <row r="49" spans="1:45" hidden="1" x14ac:dyDescent="0.25">
      <c r="A49" s="27"/>
      <c r="J49" s="120" t="s">
        <v>246</v>
      </c>
      <c r="K49" s="6" t="s">
        <v>286</v>
      </c>
      <c r="L49" s="6" t="s">
        <v>284</v>
      </c>
      <c r="M49" s="22">
        <f>7.97-0.00342*K8</f>
        <v>7.97</v>
      </c>
      <c r="N49" s="22">
        <f>7.97-0.00342*K9</f>
        <v>7.97</v>
      </c>
      <c r="O49" s="22">
        <f>7.97-0.00342*K10</f>
        <v>7.97</v>
      </c>
      <c r="P49" s="22">
        <f>7.97-0.00342*K11</f>
        <v>7.97</v>
      </c>
      <c r="Q49" s="22">
        <f>7.97-0.00342*K12</f>
        <v>7.97</v>
      </c>
      <c r="R49" s="22">
        <f>7.97-0.00342*K13</f>
        <v>7.97</v>
      </c>
      <c r="S49" s="22">
        <f>7.97-0.00342*K14</f>
        <v>7.97</v>
      </c>
      <c r="T49" s="22">
        <f>7.97-0.00342*K15</f>
        <v>7.97</v>
      </c>
      <c r="AS49" s="83"/>
    </row>
    <row r="50" spans="1:45" hidden="1" x14ac:dyDescent="0.25">
      <c r="A50" s="27"/>
      <c r="J50" s="120" t="s">
        <v>246</v>
      </c>
      <c r="K50" s="6" t="s">
        <v>287</v>
      </c>
      <c r="L50" s="6">
        <v>4.75</v>
      </c>
      <c r="M50" s="22">
        <v>4.75</v>
      </c>
      <c r="N50" s="22">
        <v>4.75</v>
      </c>
      <c r="O50" s="22">
        <v>4.75</v>
      </c>
      <c r="P50" s="22">
        <v>4.75</v>
      </c>
      <c r="Q50" s="22">
        <v>4.75</v>
      </c>
      <c r="R50" s="22">
        <v>4.75</v>
      </c>
      <c r="S50" s="22">
        <v>4.75</v>
      </c>
      <c r="T50" s="22">
        <v>4.75</v>
      </c>
      <c r="AS50" s="83"/>
    </row>
    <row r="51" spans="1:45" hidden="1" x14ac:dyDescent="0.25">
      <c r="A51" s="27"/>
      <c r="J51" s="120" t="s">
        <v>248</v>
      </c>
      <c r="K51" s="6" t="s">
        <v>288</v>
      </c>
      <c r="L51" s="6" t="s">
        <v>289</v>
      </c>
      <c r="M51" s="22">
        <f>14.79-0.0469*K8</f>
        <v>14.79</v>
      </c>
      <c r="N51" s="22">
        <f>14.79-0.0469*K9</f>
        <v>14.79</v>
      </c>
      <c r="O51" s="22">
        <f>14.79-0.0469*K10</f>
        <v>14.79</v>
      </c>
      <c r="P51" s="22">
        <f>14.79-0.0469*K11</f>
        <v>14.79</v>
      </c>
      <c r="Q51" s="22">
        <f>14.79-0.0469*K12</f>
        <v>14.79</v>
      </c>
      <c r="R51" s="22">
        <f>14.79-0.0469*K13</f>
        <v>14.79</v>
      </c>
      <c r="S51" s="22">
        <f>14.79-0.0469*K14</f>
        <v>14.79</v>
      </c>
      <c r="T51" s="22">
        <f>14.79-0.0469*K15</f>
        <v>14.79</v>
      </c>
      <c r="AS51" s="83"/>
    </row>
    <row r="52" spans="1:45" hidden="1" x14ac:dyDescent="0.25">
      <c r="A52" s="27"/>
      <c r="J52" s="120" t="s">
        <v>248</v>
      </c>
      <c r="K52" s="6" t="s">
        <v>290</v>
      </c>
      <c r="L52" s="6" t="s">
        <v>291</v>
      </c>
      <c r="M52" s="22">
        <f>12.42-0.02533*K8</f>
        <v>12.42</v>
      </c>
      <c r="N52" s="22">
        <f>12.42-0.02533*K9</f>
        <v>12.42</v>
      </c>
      <c r="O52" s="22">
        <f>12.42-0.02533*K10</f>
        <v>12.42</v>
      </c>
      <c r="P52" s="22">
        <f>12.42-0.02533*K11</f>
        <v>12.42</v>
      </c>
      <c r="Q52" s="22">
        <f>12.42-0.02533*K12</f>
        <v>12.42</v>
      </c>
      <c r="R52" s="22">
        <f>12.42-0.02533*K13</f>
        <v>12.42</v>
      </c>
      <c r="S52" s="22">
        <f>12.42-0.02533*K14</f>
        <v>12.42</v>
      </c>
      <c r="T52" s="22">
        <f>12.42-0.02533*K15</f>
        <v>12.42</v>
      </c>
      <c r="AS52" s="83"/>
    </row>
    <row r="53" spans="1:45" hidden="1" x14ac:dyDescent="0.25">
      <c r="A53" s="27"/>
      <c r="J53" s="120" t="s">
        <v>248</v>
      </c>
      <c r="K53" s="6" t="s">
        <v>292</v>
      </c>
      <c r="L53" s="6">
        <v>7.35</v>
      </c>
      <c r="M53" s="22">
        <v>7.35</v>
      </c>
      <c r="N53" s="22">
        <v>7.35</v>
      </c>
      <c r="O53" s="22">
        <v>7.35</v>
      </c>
      <c r="P53" s="22">
        <v>7.35</v>
      </c>
      <c r="Q53" s="22">
        <v>7.35</v>
      </c>
      <c r="R53" s="22">
        <v>7.35</v>
      </c>
      <c r="S53" s="22">
        <v>7.35</v>
      </c>
      <c r="T53" s="22">
        <v>7.35</v>
      </c>
      <c r="AS53" s="83"/>
    </row>
    <row r="54" spans="1:45" hidden="1" x14ac:dyDescent="0.25">
      <c r="A54" s="27"/>
      <c r="J54" s="143"/>
      <c r="K54" s="33"/>
      <c r="L54" s="33"/>
      <c r="M54" s="35"/>
      <c r="N54" s="35"/>
      <c r="O54" s="35"/>
      <c r="P54" s="35"/>
      <c r="Q54" s="35"/>
      <c r="R54" s="35"/>
      <c r="S54" s="35"/>
      <c r="T54" s="35"/>
      <c r="AS54" s="83"/>
    </row>
    <row r="55" spans="1:45" hidden="1" x14ac:dyDescent="0.25">
      <c r="A55" s="27"/>
      <c r="J55" s="139" t="s">
        <v>272</v>
      </c>
      <c r="K55" s="144">
        <v>43252</v>
      </c>
      <c r="AS55" s="83"/>
    </row>
    <row r="56" spans="1:45" hidden="1" x14ac:dyDescent="0.25">
      <c r="A56" s="27"/>
      <c r="J56" s="516" t="s">
        <v>293</v>
      </c>
      <c r="K56" s="516"/>
      <c r="L56" s="516"/>
      <c r="M56" s="516"/>
      <c r="N56" s="516"/>
      <c r="O56" s="516"/>
      <c r="P56" s="516"/>
      <c r="Q56" s="516"/>
      <c r="R56" s="516"/>
      <c r="S56" s="516"/>
      <c r="T56" s="516"/>
      <c r="AS56" s="83"/>
    </row>
    <row r="57" spans="1:45" ht="30" hidden="1" x14ac:dyDescent="0.25">
      <c r="A57" s="27"/>
      <c r="J57" s="3" t="s">
        <v>226</v>
      </c>
      <c r="K57" s="2" t="s">
        <v>227</v>
      </c>
      <c r="L57" s="2" t="s">
        <v>261</v>
      </c>
      <c r="M57" s="221" t="s">
        <v>229</v>
      </c>
      <c r="N57" s="221" t="s">
        <v>230</v>
      </c>
      <c r="O57" s="221" t="s">
        <v>231</v>
      </c>
      <c r="P57" s="221" t="s">
        <v>232</v>
      </c>
      <c r="Q57" s="221" t="s">
        <v>233</v>
      </c>
      <c r="R57" s="221" t="s">
        <v>234</v>
      </c>
      <c r="S57" s="221" t="s">
        <v>235</v>
      </c>
      <c r="T57" s="221" t="s">
        <v>236</v>
      </c>
      <c r="AS57" s="83"/>
    </row>
    <row r="58" spans="1:45" hidden="1" x14ac:dyDescent="0.25">
      <c r="A58" s="27"/>
      <c r="J58" s="4" t="s">
        <v>237</v>
      </c>
      <c r="K58" s="6" t="s">
        <v>294</v>
      </c>
      <c r="L58" s="141" t="s">
        <v>295</v>
      </c>
      <c r="M58" s="22">
        <f>9.19-0.00629*K8</f>
        <v>9.19</v>
      </c>
      <c r="N58" s="22">
        <f>9.19-0.00629*K9</f>
        <v>9.19</v>
      </c>
      <c r="O58" s="22">
        <f>9.19-0.00629*K10</f>
        <v>9.19</v>
      </c>
      <c r="P58" s="22">
        <f>9.19-0.00629*K11</f>
        <v>9.19</v>
      </c>
      <c r="Q58" s="22">
        <f>9.19-0.00629*K12</f>
        <v>9.19</v>
      </c>
      <c r="R58" s="22">
        <f>9.19-0.00629*K13</f>
        <v>9.19</v>
      </c>
      <c r="S58" s="22">
        <f>9.19-0.00629*K14</f>
        <v>9.19</v>
      </c>
      <c r="T58" s="22">
        <f>9.19-0.00629*K15</f>
        <v>9.19</v>
      </c>
      <c r="AS58" s="83"/>
    </row>
    <row r="59" spans="1:45" hidden="1" x14ac:dyDescent="0.25">
      <c r="A59" s="27"/>
      <c r="J59" s="4" t="s">
        <v>237</v>
      </c>
      <c r="K59" s="6" t="s">
        <v>296</v>
      </c>
      <c r="L59" s="6" t="s">
        <v>297</v>
      </c>
      <c r="M59" s="22">
        <f>8.23-0.0032*K8</f>
        <v>8.23</v>
      </c>
      <c r="N59" s="22">
        <f>8.23-0.0032*K9</f>
        <v>8.23</v>
      </c>
      <c r="O59" s="22">
        <f>8.23-0.0032*K10</f>
        <v>8.23</v>
      </c>
      <c r="P59" s="22">
        <f>8.23-0.0032*K11</f>
        <v>8.23</v>
      </c>
      <c r="Q59" s="22">
        <f>8.23-0.0032*K12</f>
        <v>8.23</v>
      </c>
      <c r="R59" s="22">
        <f>8.23-0.0032*K13</f>
        <v>8.23</v>
      </c>
      <c r="S59" s="22">
        <f>8.23-0.0032*K14</f>
        <v>8.23</v>
      </c>
      <c r="T59" s="22">
        <f>8.23-0.0032*K15</f>
        <v>8.23</v>
      </c>
      <c r="AS59" s="83"/>
    </row>
    <row r="60" spans="1:45" hidden="1" x14ac:dyDescent="0.25">
      <c r="A60" s="27"/>
      <c r="J60" s="4" t="s">
        <v>237</v>
      </c>
      <c r="K60" s="6" t="s">
        <v>298</v>
      </c>
      <c r="L60" s="6">
        <v>5.61</v>
      </c>
      <c r="M60" s="22">
        <v>5.61</v>
      </c>
      <c r="N60" s="22">
        <v>5.61</v>
      </c>
      <c r="O60" s="22">
        <v>5.61</v>
      </c>
      <c r="P60" s="22">
        <v>5.61</v>
      </c>
      <c r="Q60" s="22">
        <v>5.61</v>
      </c>
      <c r="R60" s="22">
        <v>5.61</v>
      </c>
      <c r="S60" s="22">
        <v>5.61</v>
      </c>
      <c r="T60" s="22">
        <v>5.61</v>
      </c>
      <c r="AS60" s="83"/>
    </row>
    <row r="61" spans="1:45" hidden="1" x14ac:dyDescent="0.25">
      <c r="A61" s="27"/>
      <c r="J61" s="4" t="s">
        <v>242</v>
      </c>
      <c r="K61" s="6" t="s">
        <v>299</v>
      </c>
      <c r="L61" s="6" t="s">
        <v>300</v>
      </c>
      <c r="M61" s="22">
        <f>9.7-0.0058*K8</f>
        <v>9.6999999999999993</v>
      </c>
      <c r="N61" s="22">
        <f>9.7-0.0058*K9</f>
        <v>9.6999999999999993</v>
      </c>
      <c r="O61" s="22">
        <f>9.7-0.0058*K10</f>
        <v>9.6999999999999993</v>
      </c>
      <c r="P61" s="22">
        <f>9.7-0.0058*K11</f>
        <v>9.6999999999999993</v>
      </c>
      <c r="Q61" s="22">
        <f>9.7-0.0058*K12</f>
        <v>9.6999999999999993</v>
      </c>
      <c r="R61" s="22">
        <f>9.7-0.0058*K13</f>
        <v>9.6999999999999993</v>
      </c>
      <c r="S61" s="22">
        <f>9.7-0.0058*K14</f>
        <v>9.6999999999999993</v>
      </c>
      <c r="T61" s="22">
        <f>9.7-0.0058*K15</f>
        <v>9.6999999999999993</v>
      </c>
      <c r="AS61" s="83"/>
    </row>
    <row r="62" spans="1:45" hidden="1" x14ac:dyDescent="0.25">
      <c r="A62" s="27"/>
      <c r="J62" s="4" t="s">
        <v>242</v>
      </c>
      <c r="K62" s="6" t="s">
        <v>301</v>
      </c>
      <c r="L62" s="6">
        <v>5.0599999999999996</v>
      </c>
      <c r="M62" s="22">
        <v>5.0599999999999996</v>
      </c>
      <c r="N62" s="22">
        <v>5.0599999999999996</v>
      </c>
      <c r="O62" s="22">
        <v>5.0599999999999996</v>
      </c>
      <c r="P62" s="22">
        <v>5.0599999999999996</v>
      </c>
      <c r="Q62" s="22">
        <v>5.0599999999999996</v>
      </c>
      <c r="R62" s="22">
        <v>5.0599999999999996</v>
      </c>
      <c r="S62" s="22">
        <v>5.0599999999999996</v>
      </c>
      <c r="T62" s="22">
        <v>5.0599999999999996</v>
      </c>
      <c r="AS62" s="83"/>
    </row>
    <row r="63" spans="1:45" hidden="1" x14ac:dyDescent="0.25">
      <c r="A63" s="27"/>
      <c r="J63" s="4" t="s">
        <v>246</v>
      </c>
      <c r="K63" s="6" t="s">
        <v>299</v>
      </c>
      <c r="L63" s="6" t="s">
        <v>302</v>
      </c>
      <c r="M63" s="22">
        <f>9.9-0.0058*K8</f>
        <v>9.9</v>
      </c>
      <c r="N63" s="22">
        <f>9.9-0.0058*K9</f>
        <v>9.9</v>
      </c>
      <c r="O63" s="22">
        <f>9.9-0.0058*K10</f>
        <v>9.9</v>
      </c>
      <c r="P63" s="22">
        <f>9.9-0.0058*K11</f>
        <v>9.9</v>
      </c>
      <c r="Q63" s="22">
        <f>9.9-0.0058*K12</f>
        <v>9.9</v>
      </c>
      <c r="R63" s="22">
        <f>9.9-0.0058*K13</f>
        <v>9.9</v>
      </c>
      <c r="S63" s="22">
        <f>9.9-0.0058*K14</f>
        <v>9.9</v>
      </c>
      <c r="T63" s="22">
        <f>9.9-0.0058*K15</f>
        <v>9.9</v>
      </c>
      <c r="AS63" s="83"/>
    </row>
    <row r="64" spans="1:45" hidden="1" x14ac:dyDescent="0.25">
      <c r="A64" s="27"/>
      <c r="J64" s="120" t="s">
        <v>246</v>
      </c>
      <c r="K64" s="6" t="s">
        <v>301</v>
      </c>
      <c r="L64" s="6">
        <v>5.26</v>
      </c>
      <c r="M64" s="22">
        <v>5.26</v>
      </c>
      <c r="N64" s="22">
        <v>5.26</v>
      </c>
      <c r="O64" s="22">
        <v>5.26</v>
      </c>
      <c r="P64" s="22">
        <v>5.26</v>
      </c>
      <c r="Q64" s="22">
        <v>5.26</v>
      </c>
      <c r="R64" s="22">
        <v>5.26</v>
      </c>
      <c r="S64" s="22">
        <v>5.26</v>
      </c>
      <c r="T64" s="22">
        <v>5.26</v>
      </c>
      <c r="AS64" s="83"/>
    </row>
    <row r="65" spans="1:45" hidden="1" x14ac:dyDescent="0.25">
      <c r="A65" s="27"/>
      <c r="J65" s="120" t="s">
        <v>248</v>
      </c>
      <c r="K65" s="6" t="s">
        <v>303</v>
      </c>
      <c r="L65" s="6" t="s">
        <v>304</v>
      </c>
      <c r="M65" s="22">
        <f>14.22-0.03*K8</f>
        <v>14.22</v>
      </c>
      <c r="N65" s="22">
        <f>14.22-0.03*K9</f>
        <v>14.22</v>
      </c>
      <c r="O65" s="22">
        <f>14.22-0.03*K10</f>
        <v>14.22</v>
      </c>
      <c r="P65" s="22">
        <f>14.22-0.03*K11</f>
        <v>14.22</v>
      </c>
      <c r="Q65" s="22">
        <f>14.22-0.03*K12</f>
        <v>14.22</v>
      </c>
      <c r="R65" s="22">
        <f>14.22-0.03*K13</f>
        <v>14.22</v>
      </c>
      <c r="S65" s="22">
        <f>14.22-0.03*K14</f>
        <v>14.22</v>
      </c>
      <c r="T65" s="22">
        <f>14.22-0.03*K15</f>
        <v>14.22</v>
      </c>
      <c r="AS65" s="83"/>
    </row>
    <row r="66" spans="1:45" hidden="1" x14ac:dyDescent="0.25">
      <c r="A66" s="27"/>
      <c r="J66" s="120" t="s">
        <v>248</v>
      </c>
      <c r="K66" s="6" t="s">
        <v>305</v>
      </c>
      <c r="L66" s="6" t="s">
        <v>306</v>
      </c>
      <c r="M66" s="22">
        <f>9.47-0.00624*K8</f>
        <v>9.4700000000000006</v>
      </c>
      <c r="N66" s="22">
        <f>9.47-0.00624*K9</f>
        <v>9.4700000000000006</v>
      </c>
      <c r="O66" s="22">
        <f>9.47-0.00624*K10</f>
        <v>9.4700000000000006</v>
      </c>
      <c r="P66" s="22">
        <f>9.47-0.00624*K11</f>
        <v>9.4700000000000006</v>
      </c>
      <c r="Q66" s="22">
        <f>9.47-0.00624*K12</f>
        <v>9.4700000000000006</v>
      </c>
      <c r="R66" s="22">
        <f>9.47-0.00624*K13</f>
        <v>9.4700000000000006</v>
      </c>
      <c r="S66" s="22">
        <f>9.47-0.00624*K14</f>
        <v>9.4700000000000006</v>
      </c>
      <c r="T66" s="22">
        <f>9.47-0.00624*K15</f>
        <v>9.4700000000000006</v>
      </c>
      <c r="AS66" s="83"/>
    </row>
    <row r="67" spans="1:45" hidden="1" x14ac:dyDescent="0.25">
      <c r="A67" s="27"/>
      <c r="J67" s="120" t="s">
        <v>248</v>
      </c>
      <c r="K67" s="6" t="s">
        <v>307</v>
      </c>
      <c r="L67" s="6">
        <v>5.0999999999999996</v>
      </c>
      <c r="M67" s="22">
        <v>5.0999999999999996</v>
      </c>
      <c r="N67" s="22">
        <v>5.0999999999999996</v>
      </c>
      <c r="O67" s="22">
        <v>5.0999999999999996</v>
      </c>
      <c r="P67" s="22">
        <v>5.0999999999999996</v>
      </c>
      <c r="Q67" s="22">
        <v>5.0999999999999996</v>
      </c>
      <c r="R67" s="22">
        <v>5.0999999999999996</v>
      </c>
      <c r="S67" s="22">
        <v>5.0999999999999996</v>
      </c>
      <c r="T67" s="22">
        <v>5.0999999999999996</v>
      </c>
      <c r="AS67" s="83"/>
    </row>
    <row r="68" spans="1:45" hidden="1" x14ac:dyDescent="0.25">
      <c r="A68" s="27"/>
      <c r="J68" s="143"/>
      <c r="K68" s="33"/>
      <c r="L68" s="33"/>
      <c r="M68" s="35"/>
      <c r="N68" s="35"/>
      <c r="O68" s="35"/>
      <c r="P68" s="35"/>
      <c r="Q68" s="35"/>
      <c r="R68" s="35"/>
      <c r="S68" s="35"/>
      <c r="T68" s="35"/>
      <c r="AS68" s="83"/>
    </row>
    <row r="69" spans="1:45" hidden="1" x14ac:dyDescent="0.25">
      <c r="A69" s="27"/>
      <c r="J69" s="139" t="s">
        <v>272</v>
      </c>
      <c r="K69" s="144">
        <v>43252</v>
      </c>
      <c r="AS69" s="83"/>
    </row>
    <row r="70" spans="1:45" hidden="1" x14ac:dyDescent="0.25">
      <c r="A70" s="27"/>
      <c r="J70" s="516" t="s">
        <v>260</v>
      </c>
      <c r="K70" s="516"/>
      <c r="L70" s="516"/>
      <c r="M70" s="516"/>
      <c r="N70" s="516"/>
      <c r="O70" s="516"/>
      <c r="P70" s="516"/>
      <c r="Q70" s="516"/>
      <c r="R70" s="516"/>
      <c r="S70" s="516"/>
      <c r="T70" s="516"/>
      <c r="AS70" s="83"/>
    </row>
    <row r="71" spans="1:45" ht="30" hidden="1" x14ac:dyDescent="0.25">
      <c r="A71" s="27"/>
      <c r="J71" s="3" t="s">
        <v>226</v>
      </c>
      <c r="K71" s="2" t="s">
        <v>227</v>
      </c>
      <c r="L71" s="2" t="s">
        <v>261</v>
      </c>
      <c r="M71" s="221" t="s">
        <v>229</v>
      </c>
      <c r="N71" s="221" t="s">
        <v>230</v>
      </c>
      <c r="O71" s="221" t="s">
        <v>231</v>
      </c>
      <c r="P71" s="221" t="s">
        <v>232</v>
      </c>
      <c r="Q71" s="221" t="s">
        <v>233</v>
      </c>
      <c r="R71" s="221" t="s">
        <v>234</v>
      </c>
      <c r="S71" s="221" t="s">
        <v>235</v>
      </c>
      <c r="T71" s="221" t="s">
        <v>236</v>
      </c>
      <c r="AS71" s="83"/>
    </row>
    <row r="72" spans="1:45" ht="17.25" hidden="1" x14ac:dyDescent="0.25">
      <c r="A72" s="27"/>
      <c r="J72" s="4" t="s">
        <v>237</v>
      </c>
      <c r="K72" s="6" t="s">
        <v>308</v>
      </c>
      <c r="L72" s="141" t="s">
        <v>309</v>
      </c>
      <c r="M72" s="22" t="e">
        <f>37.72*K8^-0.298</f>
        <v>#DIV/0!</v>
      </c>
      <c r="N72" s="22" t="e">
        <f>37.72*K9^-0.298</f>
        <v>#DIV/0!</v>
      </c>
      <c r="O72" s="22" t="e">
        <f>37.72*K10^-0.298</f>
        <v>#DIV/0!</v>
      </c>
      <c r="P72" s="22" t="e">
        <f>37.72*K11^-0.298</f>
        <v>#DIV/0!</v>
      </c>
      <c r="Q72" s="22" t="e">
        <f>37.72*K12^-0.298</f>
        <v>#DIV/0!</v>
      </c>
      <c r="R72" s="22" t="e">
        <f>37.72*K13^-0.298</f>
        <v>#DIV/0!</v>
      </c>
      <c r="S72" s="22" t="e">
        <f>37.72*K14^-0.298</f>
        <v>#DIV/0!</v>
      </c>
      <c r="T72" s="22" t="e">
        <f>37.72*K15^-0.298</f>
        <v>#DIV/0!</v>
      </c>
      <c r="AS72" s="83"/>
    </row>
    <row r="73" spans="1:45" ht="17.25" hidden="1" x14ac:dyDescent="0.25">
      <c r="A73" s="27"/>
      <c r="J73" s="4" t="s">
        <v>242</v>
      </c>
      <c r="K73" s="6" t="s">
        <v>310</v>
      </c>
      <c r="L73" s="6" t="s">
        <v>311</v>
      </c>
      <c r="M73" s="22" t="e">
        <f>1+ 22.95*K8^-0.258</f>
        <v>#DIV/0!</v>
      </c>
      <c r="N73" s="22" t="e">
        <f>1+ 22.95*K9^-0.258</f>
        <v>#DIV/0!</v>
      </c>
      <c r="O73" s="22" t="e">
        <f>1+ 22.95*K10^-0.258</f>
        <v>#DIV/0!</v>
      </c>
      <c r="P73" s="22" t="e">
        <f>1+ 22.95*K11^-0.258</f>
        <v>#DIV/0!</v>
      </c>
      <c r="Q73" s="22" t="e">
        <f>1+ 22.95*K12^-0.258</f>
        <v>#DIV/0!</v>
      </c>
      <c r="R73" s="22" t="e">
        <f>1+ 22.95*K13^-0.258</f>
        <v>#DIV/0!</v>
      </c>
      <c r="S73" s="22" t="e">
        <f>1+ 22.95*K14^-0.258</f>
        <v>#DIV/0!</v>
      </c>
      <c r="T73" s="22" t="e">
        <f>1+ 22.95*K15^-0.258</f>
        <v>#DIV/0!</v>
      </c>
      <c r="AS73" s="83"/>
    </row>
    <row r="74" spans="1:45" hidden="1" x14ac:dyDescent="0.25">
      <c r="A74" s="27"/>
      <c r="J74" s="4" t="s">
        <v>242</v>
      </c>
      <c r="K74" s="6" t="s">
        <v>310</v>
      </c>
      <c r="L74" s="145" t="s">
        <v>312</v>
      </c>
      <c r="M74" s="22">
        <f>-0.00011*K8 +4.6</f>
        <v>4.5999999999999996</v>
      </c>
      <c r="N74" s="22">
        <f>-0.00011*K9 +4.6</f>
        <v>4.5999999999999996</v>
      </c>
      <c r="O74" s="22">
        <f>-0.00011*K10 +4.6</f>
        <v>4.5999999999999996</v>
      </c>
      <c r="P74" s="22">
        <f>-0.00011*K11 +4.6</f>
        <v>4.5999999999999996</v>
      </c>
      <c r="Q74" s="22">
        <f>-0.00011*K12 +4.6</f>
        <v>4.5999999999999996</v>
      </c>
      <c r="R74" s="22">
        <f>-0.00011*K13 +4.6</f>
        <v>4.5999999999999996</v>
      </c>
      <c r="S74" s="22">
        <f>-0.00011*K14 +4.6</f>
        <v>4.5999999999999996</v>
      </c>
      <c r="T74" s="22">
        <f>-0.00011*K15 +4.6</f>
        <v>4.5999999999999996</v>
      </c>
      <c r="AS74" s="83"/>
    </row>
    <row r="75" spans="1:45" ht="17.25" hidden="1" x14ac:dyDescent="0.25">
      <c r="A75" s="27"/>
      <c r="J75" s="4" t="s">
        <v>246</v>
      </c>
      <c r="K75" s="6" t="s">
        <v>313</v>
      </c>
      <c r="L75" s="6" t="s">
        <v>311</v>
      </c>
      <c r="M75" s="22" t="e">
        <f>1+22.95*K8^-0.258</f>
        <v>#DIV/0!</v>
      </c>
      <c r="N75" s="22" t="e">
        <f>1+22.95*K9^-0.258</f>
        <v>#DIV/0!</v>
      </c>
      <c r="O75" s="22" t="e">
        <f>1+22.95*K10^-0.258</f>
        <v>#DIV/0!</v>
      </c>
      <c r="P75" s="22" t="e">
        <f>1+22.95*K11^-0.258</f>
        <v>#DIV/0!</v>
      </c>
      <c r="Q75" s="22" t="e">
        <f>1+22.95*K12^-0.258</f>
        <v>#DIV/0!</v>
      </c>
      <c r="R75" s="22" t="e">
        <f>1+22.95*K13^-0.258</f>
        <v>#DIV/0!</v>
      </c>
      <c r="S75" s="22" t="e">
        <f>1+22.95*K14^-0.258</f>
        <v>#DIV/0!</v>
      </c>
      <c r="T75" s="22" t="e">
        <f>1+22.95*K15^-0.258</f>
        <v>#DIV/0!</v>
      </c>
      <c r="AS75" s="83"/>
    </row>
    <row r="76" spans="1:45" hidden="1" x14ac:dyDescent="0.25">
      <c r="A76" s="27"/>
      <c r="J76" s="4" t="s">
        <v>246</v>
      </c>
      <c r="K76" s="6" t="s">
        <v>313</v>
      </c>
      <c r="L76" s="6" t="s">
        <v>312</v>
      </c>
      <c r="M76" s="22">
        <f>-0.00011*K8 + 4.6</f>
        <v>4.5999999999999996</v>
      </c>
      <c r="N76" s="22">
        <f>-0.00011*K9 + 4.6</f>
        <v>4.5999999999999996</v>
      </c>
      <c r="O76" s="22">
        <f>-0.00011*K10 + 4.6</f>
        <v>4.5999999999999996</v>
      </c>
      <c r="P76" s="22">
        <f>-0.00011*K11 + 4.6</f>
        <v>4.5999999999999996</v>
      </c>
      <c r="Q76" s="22">
        <f>-0.00011*K12 + 4.6</f>
        <v>4.5999999999999996</v>
      </c>
      <c r="R76" s="22">
        <f>-0.00011*K13 + 4.6</f>
        <v>4.5999999999999996</v>
      </c>
      <c r="S76" s="22">
        <f>-0.00011*K14 + 4.6</f>
        <v>4.5999999999999996</v>
      </c>
      <c r="T76" s="22">
        <f>-0.00011*K15 + 4.6</f>
        <v>4.5999999999999996</v>
      </c>
      <c r="AS76" s="83"/>
    </row>
    <row r="77" spans="1:45" ht="17.25" hidden="1" x14ac:dyDescent="0.25">
      <c r="A77" s="27"/>
      <c r="J77" s="4" t="s">
        <v>248</v>
      </c>
      <c r="K77" s="6" t="s">
        <v>314</v>
      </c>
      <c r="L77" s="6" t="s">
        <v>315</v>
      </c>
      <c r="M77" s="22" t="e">
        <f>0.08+48.66*K8^-0.326</f>
        <v>#DIV/0!</v>
      </c>
      <c r="N77" s="22" t="e">
        <f>0.08+48.66*K9^-0.326</f>
        <v>#DIV/0!</v>
      </c>
      <c r="O77" s="22" t="e">
        <f>0.08+48.66*K10^-0.326</f>
        <v>#DIV/0!</v>
      </c>
      <c r="P77" s="22" t="e">
        <f>0.08+48.66*K11^-0.326</f>
        <v>#DIV/0!</v>
      </c>
      <c r="Q77" s="22" t="e">
        <f>0.08+48.66*K12^-0.326</f>
        <v>#DIV/0!</v>
      </c>
      <c r="R77" s="22" t="e">
        <f>0.08+48.66*K13^-0.326</f>
        <v>#DIV/0!</v>
      </c>
      <c r="S77" s="22" t="e">
        <f>0.08+48.66*K14^-0.326</f>
        <v>#DIV/0!</v>
      </c>
      <c r="T77" s="22" t="e">
        <f>0.08+48.66*K15^-0.326</f>
        <v>#DIV/0!</v>
      </c>
      <c r="AS77" s="83"/>
    </row>
    <row r="78" spans="1:45" hidden="1" x14ac:dyDescent="0.25">
      <c r="A78" s="27"/>
      <c r="K78" s="33"/>
      <c r="L78" s="33"/>
      <c r="M78" s="35"/>
      <c r="N78" s="35"/>
      <c r="O78" s="35"/>
      <c r="P78" s="35"/>
      <c r="Q78" s="35"/>
      <c r="R78" s="35"/>
      <c r="S78" s="35"/>
      <c r="T78" s="35"/>
      <c r="AS78" s="83"/>
    </row>
    <row r="79" spans="1:45" hidden="1" x14ac:dyDescent="0.25">
      <c r="A79" s="27"/>
      <c r="J79" s="139" t="s">
        <v>272</v>
      </c>
      <c r="K79" s="144">
        <v>43252</v>
      </c>
      <c r="AS79" s="83"/>
    </row>
    <row r="80" spans="1:45" hidden="1" x14ac:dyDescent="0.25">
      <c r="A80" s="27"/>
      <c r="J80" s="516" t="s">
        <v>316</v>
      </c>
      <c r="K80" s="516"/>
      <c r="L80" s="516"/>
      <c r="M80" s="516"/>
      <c r="N80" s="516"/>
      <c r="O80" s="516"/>
      <c r="P80" s="516"/>
      <c r="Q80" s="516"/>
      <c r="R80" s="516"/>
      <c r="S80" s="516"/>
      <c r="T80" s="516"/>
      <c r="AS80" s="83"/>
    </row>
    <row r="81" spans="1:45" ht="30" hidden="1" x14ac:dyDescent="0.25">
      <c r="A81" s="27"/>
      <c r="J81" s="3" t="s">
        <v>226</v>
      </c>
      <c r="K81" s="2" t="s">
        <v>227</v>
      </c>
      <c r="L81" s="2" t="s">
        <v>261</v>
      </c>
      <c r="M81" s="221" t="s">
        <v>229</v>
      </c>
      <c r="N81" s="221" t="s">
        <v>230</v>
      </c>
      <c r="O81" s="221" t="s">
        <v>231</v>
      </c>
      <c r="P81" s="221" t="s">
        <v>232</v>
      </c>
      <c r="Q81" s="221" t="s">
        <v>233</v>
      </c>
      <c r="R81" s="221" t="s">
        <v>234</v>
      </c>
      <c r="S81" s="221" t="s">
        <v>235</v>
      </c>
      <c r="T81" s="221" t="s">
        <v>236</v>
      </c>
      <c r="AS81" s="83"/>
    </row>
    <row r="82" spans="1:45" ht="17.25" hidden="1" x14ac:dyDescent="0.25">
      <c r="A82" s="27"/>
      <c r="J82" s="4" t="s">
        <v>237</v>
      </c>
      <c r="K82" s="6" t="s">
        <v>317</v>
      </c>
      <c r="L82" s="141" t="s">
        <v>318</v>
      </c>
      <c r="M82" s="22" t="e">
        <f>9.18*K8^-0.057</f>
        <v>#DIV/0!</v>
      </c>
      <c r="N82" s="22" t="e">
        <f>9.18*K9^-0.057</f>
        <v>#DIV/0!</v>
      </c>
      <c r="O82" s="22" t="e">
        <f>9.18*K10^-0.057</f>
        <v>#DIV/0!</v>
      </c>
      <c r="P82" s="22" t="e">
        <f>9.18*K11^-0.057</f>
        <v>#DIV/0!</v>
      </c>
      <c r="Q82" s="22" t="e">
        <f>9.18*K12^-0.057</f>
        <v>#DIV/0!</v>
      </c>
      <c r="R82" s="22" t="e">
        <f>9.18*K13^-0.057</f>
        <v>#DIV/0!</v>
      </c>
      <c r="S82" s="22" t="e">
        <f>9.18*K14^-0.057</f>
        <v>#DIV/0!</v>
      </c>
      <c r="T82" s="22" t="e">
        <f>9.18*K15^-0.057</f>
        <v>#DIV/0!</v>
      </c>
      <c r="AS82" s="83"/>
    </row>
    <row r="83" spans="1:45" ht="17.25" hidden="1" x14ac:dyDescent="0.25">
      <c r="A83" s="27"/>
      <c r="J83" s="4" t="s">
        <v>242</v>
      </c>
      <c r="K83" s="6" t="s">
        <v>317</v>
      </c>
      <c r="L83" s="141" t="s">
        <v>319</v>
      </c>
      <c r="M83" s="22" t="e">
        <f>3.5+6*K8^-0.162</f>
        <v>#DIV/0!</v>
      </c>
      <c r="N83" s="22" t="e">
        <f>3.5+6*K9^-0.162</f>
        <v>#DIV/0!</v>
      </c>
      <c r="O83" s="22" t="e">
        <f>3.5+6*K10^-0.162</f>
        <v>#DIV/0!</v>
      </c>
      <c r="P83" s="22" t="e">
        <f>3.5+6*K11^-0.162</f>
        <v>#DIV/0!</v>
      </c>
      <c r="Q83" s="22" t="e">
        <f>3.5+6*K12^-0.162</f>
        <v>#DIV/0!</v>
      </c>
      <c r="R83" s="22" t="e">
        <f>3.5+6*K13^-0.162</f>
        <v>#DIV/0!</v>
      </c>
      <c r="S83" s="22" t="e">
        <f>3.5+6*K14^-0.162</f>
        <v>#DIV/0!</v>
      </c>
      <c r="T83" s="22" t="e">
        <f>3.5+6*K15^-0.162</f>
        <v>#DIV/0!</v>
      </c>
      <c r="AS83" s="83"/>
    </row>
    <row r="84" spans="1:45" ht="17.25" hidden="1" x14ac:dyDescent="0.25">
      <c r="A84" s="27"/>
      <c r="J84" s="4" t="s">
        <v>246</v>
      </c>
      <c r="K84" s="6" t="s">
        <v>317</v>
      </c>
      <c r="L84" s="141" t="s">
        <v>319</v>
      </c>
      <c r="M84" s="22" t="e">
        <f>3.5+6*K8^-0.162</f>
        <v>#DIV/0!</v>
      </c>
      <c r="N84" s="22" t="e">
        <f>3.5+6*K9^-0.162</f>
        <v>#DIV/0!</v>
      </c>
      <c r="O84" s="22" t="e">
        <f>3.5+6*K10^-0.162</f>
        <v>#DIV/0!</v>
      </c>
      <c r="P84" s="22" t="e">
        <f>3.5+6*K11^-0.162</f>
        <v>#DIV/0!</v>
      </c>
      <c r="Q84" s="22" t="e">
        <f>3.5+6*K12^-0.162</f>
        <v>#DIV/0!</v>
      </c>
      <c r="R84" s="22" t="e">
        <f>3.5+6*K13^-0.162</f>
        <v>#DIV/0!</v>
      </c>
      <c r="S84" s="22" t="e">
        <f>3.5+6*K14^-0.162</f>
        <v>#DIV/0!</v>
      </c>
      <c r="T84" s="22" t="e">
        <f>3.5+6*K15^-0.162</f>
        <v>#DIV/0!</v>
      </c>
      <c r="AS84" s="83"/>
    </row>
    <row r="85" spans="1:45" ht="17.25" hidden="1" x14ac:dyDescent="0.25">
      <c r="A85" s="27"/>
      <c r="C85" s="219"/>
      <c r="J85" s="4" t="s">
        <v>248</v>
      </c>
      <c r="K85" s="6" t="s">
        <v>317</v>
      </c>
      <c r="L85" s="141" t="s">
        <v>320</v>
      </c>
      <c r="M85" s="22" t="e">
        <f>0.08+59.45*K8^-0.349</f>
        <v>#DIV/0!</v>
      </c>
      <c r="N85" s="22" t="e">
        <f>0.08+59.45*K9^-0.349</f>
        <v>#DIV/0!</v>
      </c>
      <c r="O85" s="22" t="e">
        <f>0.08+59.45*K10^-0.349</f>
        <v>#DIV/0!</v>
      </c>
      <c r="P85" s="22" t="e">
        <f>0.08+59.45*K11^-0.349</f>
        <v>#DIV/0!</v>
      </c>
      <c r="Q85" s="22" t="e">
        <f>0.08+59.45*K12^-0.349</f>
        <v>#DIV/0!</v>
      </c>
      <c r="R85" s="22" t="e">
        <f>0.08+59.45*K13^-0.349</f>
        <v>#DIV/0!</v>
      </c>
      <c r="S85" s="22" t="e">
        <f>0.08+59.45*K14^-0.349</f>
        <v>#DIV/0!</v>
      </c>
      <c r="T85" s="22" t="e">
        <f>0.08+59.45*K15^-0.349</f>
        <v>#DIV/0!</v>
      </c>
      <c r="U85" s="35"/>
      <c r="AB85" s="35"/>
      <c r="AS85" s="83"/>
    </row>
    <row r="86" spans="1:45" hidden="1" x14ac:dyDescent="0.25">
      <c r="A86" s="27"/>
      <c r="K86" s="33"/>
      <c r="L86" s="146"/>
      <c r="M86" s="35"/>
      <c r="N86" s="35"/>
      <c r="O86" s="35"/>
      <c r="P86" s="35"/>
      <c r="Q86" s="35"/>
      <c r="R86" s="35"/>
      <c r="S86" s="35"/>
      <c r="T86" s="35"/>
      <c r="U86" s="35"/>
      <c r="AB86" s="35"/>
      <c r="AS86" s="83"/>
    </row>
    <row r="87" spans="1:45" hidden="1" x14ac:dyDescent="0.25">
      <c r="A87" s="27"/>
      <c r="C87" s="124"/>
      <c r="J87" s="139" t="s">
        <v>321</v>
      </c>
      <c r="K87" s="144">
        <v>44348</v>
      </c>
      <c r="AS87" s="83"/>
    </row>
    <row r="88" spans="1:45" hidden="1" x14ac:dyDescent="0.25">
      <c r="A88" s="27"/>
      <c r="J88" s="516" t="s">
        <v>225</v>
      </c>
      <c r="K88" s="516"/>
      <c r="L88" s="516"/>
      <c r="M88" s="516"/>
      <c r="N88" s="516"/>
      <c r="O88" s="516"/>
      <c r="P88" s="516"/>
      <c r="Q88" s="516"/>
      <c r="R88" s="516"/>
      <c r="S88" s="516"/>
      <c r="T88" s="516"/>
      <c r="AS88" s="83"/>
    </row>
    <row r="89" spans="1:45" ht="30" hidden="1" x14ac:dyDescent="0.25">
      <c r="A89" s="27"/>
      <c r="J89" s="3" t="s">
        <v>226</v>
      </c>
      <c r="K89" s="2" t="s">
        <v>227</v>
      </c>
      <c r="L89" s="2" t="s">
        <v>228</v>
      </c>
      <c r="M89" s="221" t="s">
        <v>229</v>
      </c>
      <c r="N89" s="221" t="s">
        <v>230</v>
      </c>
      <c r="O89" s="221" t="s">
        <v>231</v>
      </c>
      <c r="P89" s="221" t="s">
        <v>232</v>
      </c>
      <c r="Q89" s="221" t="s">
        <v>233</v>
      </c>
      <c r="R89" s="221" t="s">
        <v>234</v>
      </c>
      <c r="S89" s="221" t="s">
        <v>235</v>
      </c>
      <c r="T89" s="221" t="s">
        <v>236</v>
      </c>
      <c r="AS89" s="83"/>
    </row>
    <row r="90" spans="1:45" hidden="1" x14ac:dyDescent="0.25">
      <c r="A90" s="27"/>
      <c r="J90" s="120" t="s">
        <v>237</v>
      </c>
      <c r="K90" s="6" t="s">
        <v>275</v>
      </c>
      <c r="L90" s="6" t="s">
        <v>276</v>
      </c>
      <c r="M90" s="22">
        <f>10-0.01233*K8</f>
        <v>10</v>
      </c>
      <c r="N90" s="22">
        <f>10-0.01233*K9</f>
        <v>10</v>
      </c>
      <c r="O90" s="22">
        <f>10-0.01233*K10</f>
        <v>10</v>
      </c>
      <c r="P90" s="160">
        <f>10-0.01233*K11</f>
        <v>10</v>
      </c>
      <c r="Q90" s="22">
        <f>10-0.01233*K12</f>
        <v>10</v>
      </c>
      <c r="R90" s="22">
        <f>10-0.01233*K13</f>
        <v>10</v>
      </c>
      <c r="S90" s="22">
        <f>10-0.01233*K14</f>
        <v>10</v>
      </c>
      <c r="T90" s="22">
        <f>10-0.01233*K15</f>
        <v>10</v>
      </c>
      <c r="AS90" s="83"/>
    </row>
    <row r="91" spans="1:45" hidden="1" x14ac:dyDescent="0.25">
      <c r="A91" s="27"/>
      <c r="J91" s="120" t="s">
        <v>237</v>
      </c>
      <c r="K91" s="6" t="s">
        <v>278</v>
      </c>
      <c r="L91" s="6" t="s">
        <v>279</v>
      </c>
      <c r="M91" s="22">
        <f>7.05-0.0025*K8</f>
        <v>7.05</v>
      </c>
      <c r="N91" s="22">
        <f>7.05-0.0025*K9</f>
        <v>7.05</v>
      </c>
      <c r="O91" s="22">
        <f>7.05-0.0025*K10</f>
        <v>7.05</v>
      </c>
      <c r="P91" s="22">
        <f>7.05-0.0025*K11</f>
        <v>7.05</v>
      </c>
      <c r="Q91" s="22">
        <f>7.05-0.0025*K12</f>
        <v>7.05</v>
      </c>
      <c r="R91" s="22">
        <f>7.05-0.0025*K13</f>
        <v>7.05</v>
      </c>
      <c r="S91" s="22">
        <f>7.05-0.0025*K14</f>
        <v>7.05</v>
      </c>
      <c r="T91" s="22">
        <f>7.05-0.0025*K15</f>
        <v>7.05</v>
      </c>
      <c r="AS91" s="83"/>
    </row>
    <row r="92" spans="1:45" hidden="1" x14ac:dyDescent="0.25">
      <c r="A92" s="27"/>
      <c r="J92" s="120" t="s">
        <v>237</v>
      </c>
      <c r="K92" s="6" t="s">
        <v>280</v>
      </c>
      <c r="L92" s="6" t="s">
        <v>281</v>
      </c>
      <c r="M92" s="22">
        <f>5.55-0.00063*K8</f>
        <v>5.55</v>
      </c>
      <c r="N92" s="22">
        <f>5.55-0.00063*K9</f>
        <v>5.55</v>
      </c>
      <c r="O92" s="22">
        <f>5.55-0.00063*K10</f>
        <v>5.55</v>
      </c>
      <c r="P92" s="22">
        <f>5.55-0.00063*K11</f>
        <v>5.55</v>
      </c>
      <c r="Q92" s="22">
        <f>5.55-0.00063*K12</f>
        <v>5.55</v>
      </c>
      <c r="R92" s="22">
        <f>5.55-0.00063*K13</f>
        <v>5.55</v>
      </c>
      <c r="S92" s="22">
        <f>5.55-0.00063*K14</f>
        <v>5.55</v>
      </c>
      <c r="T92" s="22">
        <f>5.55-0.00063*K15</f>
        <v>5.55</v>
      </c>
      <c r="AS92" s="83"/>
    </row>
    <row r="93" spans="1:45" hidden="1" x14ac:dyDescent="0.25">
      <c r="A93" s="27"/>
      <c r="J93" s="120" t="s">
        <v>237</v>
      </c>
      <c r="K93" s="6" t="s">
        <v>282</v>
      </c>
      <c r="L93" s="6">
        <v>4.6100000000000003</v>
      </c>
      <c r="M93" s="22">
        <v>4.6100000000000003</v>
      </c>
      <c r="N93" s="22">
        <v>4.6100000000000003</v>
      </c>
      <c r="O93" s="22">
        <v>4.6100000000000003</v>
      </c>
      <c r="P93" s="22">
        <v>4.6100000000000003</v>
      </c>
      <c r="Q93" s="22">
        <v>4.6100000000000003</v>
      </c>
      <c r="R93" s="22">
        <v>4.6100000000000003</v>
      </c>
      <c r="S93" s="22">
        <v>4.6100000000000003</v>
      </c>
      <c r="T93" s="22">
        <v>4.6100000000000003</v>
      </c>
      <c r="AS93" s="83"/>
    </row>
    <row r="94" spans="1:45" hidden="1" x14ac:dyDescent="0.25">
      <c r="A94" s="27"/>
      <c r="J94" s="120" t="s">
        <v>242</v>
      </c>
      <c r="K94" s="6" t="s">
        <v>283</v>
      </c>
      <c r="L94" s="6" t="s">
        <v>284</v>
      </c>
      <c r="M94" s="22">
        <f>7.97-0.00342*K8</f>
        <v>7.97</v>
      </c>
      <c r="N94" s="22">
        <f>7.97-0.00342*K9</f>
        <v>7.97</v>
      </c>
      <c r="O94" s="22">
        <f>7.97-0.00342*K10</f>
        <v>7.97</v>
      </c>
      <c r="P94" s="22">
        <f>7.97-0.00342*K11</f>
        <v>7.97</v>
      </c>
      <c r="Q94" s="22">
        <f>7.97-0.00342*K12</f>
        <v>7.97</v>
      </c>
      <c r="R94" s="22">
        <f>7.97-0.00342*K13</f>
        <v>7.97</v>
      </c>
      <c r="S94" s="22">
        <f>7.97-0.00342*K14</f>
        <v>7.97</v>
      </c>
      <c r="T94" s="22">
        <f>7.97-0.00342*K15</f>
        <v>7.97</v>
      </c>
      <c r="AS94" s="83"/>
    </row>
    <row r="95" spans="1:45" hidden="1" x14ac:dyDescent="0.25">
      <c r="A95" s="27"/>
      <c r="J95" s="120" t="s">
        <v>242</v>
      </c>
      <c r="K95" s="6" t="s">
        <v>285</v>
      </c>
      <c r="L95" s="6">
        <v>4.55</v>
      </c>
      <c r="M95" s="22">
        <v>4.55</v>
      </c>
      <c r="N95" s="22">
        <v>4.55</v>
      </c>
      <c r="O95" s="22">
        <v>4.55</v>
      </c>
      <c r="P95" s="22">
        <v>4.55</v>
      </c>
      <c r="Q95" s="22">
        <v>4.55</v>
      </c>
      <c r="R95" s="22">
        <v>4.55</v>
      </c>
      <c r="S95" s="22">
        <v>4.55</v>
      </c>
      <c r="T95" s="22">
        <v>4.55</v>
      </c>
      <c r="AS95" s="83"/>
    </row>
    <row r="96" spans="1:45" hidden="1" x14ac:dyDescent="0.25">
      <c r="A96" s="27"/>
      <c r="J96" s="120" t="s">
        <v>246</v>
      </c>
      <c r="K96" s="6" t="s">
        <v>286</v>
      </c>
      <c r="L96" s="6" t="s">
        <v>284</v>
      </c>
      <c r="M96" s="22">
        <f>7.97-0.00342*7</f>
        <v>7.9460600000000001</v>
      </c>
      <c r="N96" s="22">
        <f>7.97-0.00342*K9</f>
        <v>7.97</v>
      </c>
      <c r="O96" s="22">
        <f>7.97-0.00342*K10</f>
        <v>7.97</v>
      </c>
      <c r="P96" s="22">
        <f>7.97-0.00342*K11</f>
        <v>7.97</v>
      </c>
      <c r="Q96" s="22">
        <f>7.97-0.00342*K12</f>
        <v>7.97</v>
      </c>
      <c r="R96" s="22">
        <f>7.97-0.00342*K13</f>
        <v>7.97</v>
      </c>
      <c r="S96" s="22">
        <f>7.97-0.00342*K14</f>
        <v>7.97</v>
      </c>
      <c r="T96" s="22">
        <f>7.97-0.00342*K15</f>
        <v>7.97</v>
      </c>
      <c r="AS96" s="83"/>
    </row>
    <row r="97" spans="1:45" hidden="1" x14ac:dyDescent="0.25">
      <c r="A97" s="27"/>
      <c r="J97" s="120" t="s">
        <v>246</v>
      </c>
      <c r="K97" s="6" t="s">
        <v>287</v>
      </c>
      <c r="L97" s="6">
        <v>4.75</v>
      </c>
      <c r="M97" s="22">
        <v>4.75</v>
      </c>
      <c r="N97" s="22">
        <v>4.75</v>
      </c>
      <c r="O97" s="22">
        <v>4.75</v>
      </c>
      <c r="P97" s="22">
        <v>4.75</v>
      </c>
      <c r="Q97" s="22">
        <v>4.75</v>
      </c>
      <c r="R97" s="22">
        <v>4.75</v>
      </c>
      <c r="S97" s="22">
        <v>4.75</v>
      </c>
      <c r="T97" s="22">
        <v>4.75</v>
      </c>
      <c r="AS97" s="83"/>
    </row>
    <row r="98" spans="1:45" hidden="1" x14ac:dyDescent="0.25">
      <c r="A98" s="27"/>
      <c r="J98" s="120" t="s">
        <v>248</v>
      </c>
      <c r="K98" s="6" t="s">
        <v>288</v>
      </c>
      <c r="L98" s="6" t="s">
        <v>289</v>
      </c>
      <c r="M98" s="22">
        <f>14.79-0.0469*K8</f>
        <v>14.79</v>
      </c>
      <c r="N98" s="22">
        <f>14.79-0.0469*K9</f>
        <v>14.79</v>
      </c>
      <c r="O98" s="22">
        <f>14.79-0.0469*K10</f>
        <v>14.79</v>
      </c>
      <c r="P98" s="22">
        <f>14.79-0.0469*K11</f>
        <v>14.79</v>
      </c>
      <c r="Q98" s="22">
        <f>14.79-0.0469*K12</f>
        <v>14.79</v>
      </c>
      <c r="R98" s="22">
        <f>14.79-0.0469*K13</f>
        <v>14.79</v>
      </c>
      <c r="S98" s="22">
        <f>14.79-0.0469*K14</f>
        <v>14.79</v>
      </c>
      <c r="T98" s="22">
        <f>14.79-0.0469*K15</f>
        <v>14.79</v>
      </c>
      <c r="AS98" s="83"/>
    </row>
    <row r="99" spans="1:45" hidden="1" x14ac:dyDescent="0.25">
      <c r="A99" s="27"/>
      <c r="J99" s="120" t="s">
        <v>248</v>
      </c>
      <c r="K99" s="6" t="s">
        <v>290</v>
      </c>
      <c r="L99" s="6" t="s">
        <v>291</v>
      </c>
      <c r="M99" s="22">
        <f>12.42-0.02533*K8</f>
        <v>12.42</v>
      </c>
      <c r="N99" s="22">
        <f>12.42-0.02533*K9</f>
        <v>12.42</v>
      </c>
      <c r="O99" s="22">
        <f>12.42-0.02533*K10</f>
        <v>12.42</v>
      </c>
      <c r="P99" s="22">
        <f>12.42-0.02533*K11</f>
        <v>12.42</v>
      </c>
      <c r="Q99" s="22">
        <f>12.42-0.02533*K1</f>
        <v>12.42</v>
      </c>
      <c r="R99" s="22">
        <f>12.42-0.02533*K13</f>
        <v>12.42</v>
      </c>
      <c r="S99" s="22">
        <f>12.42-0.02533*K14</f>
        <v>12.42</v>
      </c>
      <c r="T99" s="22">
        <f>12.42-0.02533*K15</f>
        <v>12.42</v>
      </c>
      <c r="AS99" s="83"/>
    </row>
    <row r="100" spans="1:45" hidden="1" x14ac:dyDescent="0.25">
      <c r="A100" s="27"/>
      <c r="J100" s="120" t="s">
        <v>248</v>
      </c>
      <c r="K100" s="6" t="s">
        <v>292</v>
      </c>
      <c r="L100" s="6">
        <v>7.35</v>
      </c>
      <c r="M100" s="22">
        <v>7.35</v>
      </c>
      <c r="N100" s="22">
        <v>7.35</v>
      </c>
      <c r="O100" s="22">
        <v>7.35</v>
      </c>
      <c r="P100" s="22">
        <v>7.35</v>
      </c>
      <c r="Q100" s="22">
        <v>7.35</v>
      </c>
      <c r="R100" s="22">
        <v>7.35</v>
      </c>
      <c r="S100" s="22">
        <v>7.35</v>
      </c>
      <c r="T100" s="22">
        <v>7.35</v>
      </c>
      <c r="AS100" s="83"/>
    </row>
    <row r="101" spans="1:45" hidden="1" x14ac:dyDescent="0.25">
      <c r="A101" s="27"/>
      <c r="J101" s="143"/>
      <c r="K101" s="33"/>
      <c r="L101" s="33"/>
      <c r="M101" s="35"/>
      <c r="N101" s="35"/>
      <c r="O101" s="35"/>
      <c r="P101" s="35"/>
      <c r="Q101" s="35"/>
      <c r="R101" s="35"/>
      <c r="S101" s="35"/>
      <c r="T101" s="35"/>
      <c r="AS101" s="83"/>
    </row>
    <row r="102" spans="1:45" hidden="1" x14ac:dyDescent="0.25">
      <c r="A102" s="27"/>
      <c r="J102" s="139" t="s">
        <v>321</v>
      </c>
      <c r="K102" s="144">
        <v>44348</v>
      </c>
      <c r="AS102" s="83"/>
    </row>
    <row r="103" spans="1:45" hidden="1" x14ac:dyDescent="0.25">
      <c r="A103" s="27"/>
      <c r="J103" s="516" t="s">
        <v>293</v>
      </c>
      <c r="K103" s="516"/>
      <c r="L103" s="516"/>
      <c r="M103" s="516"/>
      <c r="N103" s="516"/>
      <c r="O103" s="516"/>
      <c r="P103" s="516"/>
      <c r="Q103" s="516"/>
      <c r="R103" s="516"/>
      <c r="S103" s="516"/>
      <c r="T103" s="516"/>
      <c r="AS103" s="83"/>
    </row>
    <row r="104" spans="1:45" ht="30" hidden="1" x14ac:dyDescent="0.25">
      <c r="A104" s="27"/>
      <c r="J104" s="3" t="s">
        <v>226</v>
      </c>
      <c r="K104" s="2" t="s">
        <v>227</v>
      </c>
      <c r="L104" s="2" t="s">
        <v>261</v>
      </c>
      <c r="M104" s="221" t="s">
        <v>229</v>
      </c>
      <c r="N104" s="221" t="s">
        <v>230</v>
      </c>
      <c r="O104" s="221" t="s">
        <v>231</v>
      </c>
      <c r="P104" s="221" t="s">
        <v>232</v>
      </c>
      <c r="Q104" s="221" t="s">
        <v>233</v>
      </c>
      <c r="R104" s="221" t="s">
        <v>234</v>
      </c>
      <c r="S104" s="221" t="s">
        <v>235</v>
      </c>
      <c r="T104" s="221" t="s">
        <v>236</v>
      </c>
      <c r="AS104" s="83"/>
    </row>
    <row r="105" spans="1:45" hidden="1" x14ac:dyDescent="0.25">
      <c r="A105" s="27"/>
      <c r="J105" s="4" t="s">
        <v>237</v>
      </c>
      <c r="K105" s="6" t="s">
        <v>294</v>
      </c>
      <c r="L105" s="141" t="s">
        <v>295</v>
      </c>
      <c r="M105" s="22">
        <f>9.19-0.00629*K8</f>
        <v>9.19</v>
      </c>
      <c r="N105" s="22">
        <f>9.19-0.00629*K9</f>
        <v>9.19</v>
      </c>
      <c r="O105" s="22">
        <f>9.19-0.00629*K10</f>
        <v>9.19</v>
      </c>
      <c r="P105" s="22">
        <f>9.19-0.00629*K11</f>
        <v>9.19</v>
      </c>
      <c r="Q105" s="22">
        <f>9.19-0.00629*K12</f>
        <v>9.19</v>
      </c>
      <c r="R105" s="22">
        <f>9.19-0.00629*K13</f>
        <v>9.19</v>
      </c>
      <c r="S105" s="22">
        <f>9.19-0.00629*K14</f>
        <v>9.19</v>
      </c>
      <c r="T105" s="22">
        <f>9.19-0.00629*K15</f>
        <v>9.19</v>
      </c>
      <c r="AS105" s="83"/>
    </row>
    <row r="106" spans="1:45" hidden="1" x14ac:dyDescent="0.25">
      <c r="A106" s="27"/>
      <c r="J106" s="4" t="s">
        <v>237</v>
      </c>
      <c r="K106" s="6" t="s">
        <v>296</v>
      </c>
      <c r="L106" s="6" t="s">
        <v>297</v>
      </c>
      <c r="M106" s="22">
        <f>8.23-0.0032*K8</f>
        <v>8.23</v>
      </c>
      <c r="N106" s="22">
        <f>8.23-0.0032*K9</f>
        <v>8.23</v>
      </c>
      <c r="O106" s="22">
        <f>8.23-0.0032*K10</f>
        <v>8.23</v>
      </c>
      <c r="P106" s="22">
        <f>8.23-0.0032*K11</f>
        <v>8.23</v>
      </c>
      <c r="Q106" s="22">
        <f>8.23-0.0032*K1</f>
        <v>8.23</v>
      </c>
      <c r="R106" s="22">
        <f>8.23-0.0032*K13</f>
        <v>8.23</v>
      </c>
      <c r="S106" s="22">
        <f>8.23-0.0032*K14</f>
        <v>8.23</v>
      </c>
      <c r="T106" s="22">
        <f>8.23-0.0032*K15</f>
        <v>8.23</v>
      </c>
      <c r="AS106" s="83"/>
    </row>
    <row r="107" spans="1:45" hidden="1" x14ac:dyDescent="0.25">
      <c r="A107" s="27"/>
      <c r="J107" s="4" t="s">
        <v>237</v>
      </c>
      <c r="K107" s="6" t="s">
        <v>298</v>
      </c>
      <c r="L107" s="6">
        <v>5.61</v>
      </c>
      <c r="M107" s="22">
        <v>5.61</v>
      </c>
      <c r="N107" s="22">
        <v>5.61</v>
      </c>
      <c r="O107" s="22">
        <v>5.61</v>
      </c>
      <c r="P107" s="22">
        <v>5.61</v>
      </c>
      <c r="Q107" s="22">
        <v>5.61</v>
      </c>
      <c r="R107" s="22">
        <v>5.61</v>
      </c>
      <c r="S107" s="22">
        <v>5.61</v>
      </c>
      <c r="T107" s="22">
        <v>5.61</v>
      </c>
      <c r="AS107" s="83"/>
    </row>
    <row r="108" spans="1:45" hidden="1" x14ac:dyDescent="0.25">
      <c r="A108" s="27"/>
      <c r="J108" s="4" t="s">
        <v>242</v>
      </c>
      <c r="K108" s="6" t="s">
        <v>299</v>
      </c>
      <c r="L108" s="6" t="s">
        <v>300</v>
      </c>
      <c r="M108" s="22">
        <f>9.7-0.0058*K8</f>
        <v>9.6999999999999993</v>
      </c>
      <c r="N108" s="22">
        <f>9.7-0.0058*K9</f>
        <v>9.6999999999999993</v>
      </c>
      <c r="O108" s="22">
        <f>9.7-0.0058*K10</f>
        <v>9.6999999999999993</v>
      </c>
      <c r="P108" s="22">
        <f>9.7-0.0058*K11</f>
        <v>9.6999999999999993</v>
      </c>
      <c r="Q108" s="22">
        <f>9.7-0.0058*K12</f>
        <v>9.6999999999999993</v>
      </c>
      <c r="R108" s="22">
        <f>9.7-0.0058*K13</f>
        <v>9.6999999999999993</v>
      </c>
      <c r="S108" s="22">
        <f>9.7-0.0058*K14</f>
        <v>9.6999999999999993</v>
      </c>
      <c r="T108" s="22">
        <f>9.7-0.0058*K15</f>
        <v>9.6999999999999993</v>
      </c>
      <c r="AS108" s="83"/>
    </row>
    <row r="109" spans="1:45" hidden="1" x14ac:dyDescent="0.25">
      <c r="A109" s="27"/>
      <c r="J109" s="4" t="s">
        <v>242</v>
      </c>
      <c r="K109" s="6" t="s">
        <v>301</v>
      </c>
      <c r="L109" s="6">
        <v>5.0599999999999996</v>
      </c>
      <c r="M109" s="22">
        <v>5.0599999999999996</v>
      </c>
      <c r="N109" s="22">
        <v>5.0599999999999996</v>
      </c>
      <c r="O109" s="22">
        <v>5.0599999999999996</v>
      </c>
      <c r="P109" s="22">
        <v>5.0599999999999996</v>
      </c>
      <c r="Q109" s="22">
        <v>5.0599999999999996</v>
      </c>
      <c r="R109" s="22">
        <v>5.0599999999999996</v>
      </c>
      <c r="S109" s="22">
        <v>5.0599999999999996</v>
      </c>
      <c r="T109" s="22">
        <v>5.0599999999999996</v>
      </c>
      <c r="AS109" s="83"/>
    </row>
    <row r="110" spans="1:45" hidden="1" x14ac:dyDescent="0.25">
      <c r="A110" s="27"/>
      <c r="J110" s="4" t="s">
        <v>246</v>
      </c>
      <c r="K110" s="6" t="s">
        <v>299</v>
      </c>
      <c r="L110" s="6" t="s">
        <v>302</v>
      </c>
      <c r="M110" s="22">
        <f>9.9-0.0058*K8</f>
        <v>9.9</v>
      </c>
      <c r="N110" s="22">
        <f>9.9-0.0058*K9</f>
        <v>9.9</v>
      </c>
      <c r="O110" s="22">
        <f>9.9-0.0058*K10</f>
        <v>9.9</v>
      </c>
      <c r="P110" s="22">
        <f>9.9-0.0058*K11</f>
        <v>9.9</v>
      </c>
      <c r="Q110" s="22">
        <f>9.9-0.0058*K12</f>
        <v>9.9</v>
      </c>
      <c r="R110" s="22">
        <f>9.9-0.0058*K13</f>
        <v>9.9</v>
      </c>
      <c r="S110" s="22">
        <f>9.9-0.0058*K14</f>
        <v>9.9</v>
      </c>
      <c r="T110" s="22">
        <f>9.9-0.0058*K15</f>
        <v>9.9</v>
      </c>
      <c r="AS110" s="83"/>
    </row>
    <row r="111" spans="1:45" hidden="1" x14ac:dyDescent="0.25">
      <c r="A111" s="27"/>
      <c r="J111" s="120" t="s">
        <v>246</v>
      </c>
      <c r="K111" s="6" t="s">
        <v>301</v>
      </c>
      <c r="L111" s="6">
        <v>5.26</v>
      </c>
      <c r="M111" s="22">
        <v>5.26</v>
      </c>
      <c r="N111" s="22">
        <v>5.26</v>
      </c>
      <c r="O111" s="22">
        <v>5.26</v>
      </c>
      <c r="P111" s="22">
        <v>5.26</v>
      </c>
      <c r="Q111" s="22">
        <v>5.26</v>
      </c>
      <c r="R111" s="22">
        <v>5.26</v>
      </c>
      <c r="S111" s="22">
        <v>5.26</v>
      </c>
      <c r="T111" s="22">
        <v>5.26</v>
      </c>
      <c r="AS111" s="83"/>
    </row>
    <row r="112" spans="1:45" hidden="1" x14ac:dyDescent="0.25">
      <c r="A112" s="27"/>
      <c r="J112" s="120" t="s">
        <v>248</v>
      </c>
      <c r="K112" s="6" t="s">
        <v>303</v>
      </c>
      <c r="L112" s="6" t="s">
        <v>304</v>
      </c>
      <c r="M112" s="22">
        <f>14.22-0.03*K8</f>
        <v>14.22</v>
      </c>
      <c r="N112" s="22">
        <f>14.22-0.03*K9</f>
        <v>14.22</v>
      </c>
      <c r="O112" s="22">
        <f>14.22-0.03*K10</f>
        <v>14.22</v>
      </c>
      <c r="P112" s="22">
        <f>14.22-0.03*K11</f>
        <v>14.22</v>
      </c>
      <c r="Q112" s="22">
        <f>14.22-0.03*K12</f>
        <v>14.22</v>
      </c>
      <c r="R112" s="22">
        <f>14.22-0.03*K13</f>
        <v>14.22</v>
      </c>
      <c r="S112" s="22">
        <f>14.22-0.03*K14</f>
        <v>14.22</v>
      </c>
      <c r="T112" s="22">
        <f>14.22-0.03*K15</f>
        <v>14.22</v>
      </c>
      <c r="AS112" s="83"/>
    </row>
    <row r="113" spans="1:45" hidden="1" x14ac:dyDescent="0.25">
      <c r="A113" s="27"/>
      <c r="J113" s="120" t="s">
        <v>248</v>
      </c>
      <c r="K113" s="6" t="s">
        <v>305</v>
      </c>
      <c r="L113" s="6" t="s">
        <v>306</v>
      </c>
      <c r="M113" s="22">
        <f>9.47-0.00624*K8</f>
        <v>9.4700000000000006</v>
      </c>
      <c r="N113" s="22">
        <f>9.47-0.00624*K9</f>
        <v>9.4700000000000006</v>
      </c>
      <c r="O113" s="22">
        <f>9.47-0.00624*K10</f>
        <v>9.4700000000000006</v>
      </c>
      <c r="P113" s="22">
        <f>9.47-0.00624*K11</f>
        <v>9.4700000000000006</v>
      </c>
      <c r="Q113" s="22">
        <f>9.47-0.00624*K12</f>
        <v>9.4700000000000006</v>
      </c>
      <c r="R113" s="22">
        <f>9.47-0.00624*K13</f>
        <v>9.4700000000000006</v>
      </c>
      <c r="S113" s="22">
        <f>9.47-0.00624*K14</f>
        <v>9.4700000000000006</v>
      </c>
      <c r="T113" s="22">
        <f>9.47-0.00624*K15</f>
        <v>9.4700000000000006</v>
      </c>
      <c r="AS113" s="83"/>
    </row>
    <row r="114" spans="1:45" hidden="1" x14ac:dyDescent="0.25">
      <c r="A114" s="27"/>
      <c r="J114" s="120" t="s">
        <v>248</v>
      </c>
      <c r="K114" s="6" t="s">
        <v>307</v>
      </c>
      <c r="L114" s="6">
        <v>5.0999999999999996</v>
      </c>
      <c r="M114" s="22">
        <v>5.0999999999999996</v>
      </c>
      <c r="N114" s="22">
        <v>5.0999999999999996</v>
      </c>
      <c r="O114" s="22">
        <v>5.0999999999999996</v>
      </c>
      <c r="P114" s="22">
        <v>5.0999999999999996</v>
      </c>
      <c r="Q114" s="22">
        <v>5.0999999999999996</v>
      </c>
      <c r="R114" s="22">
        <v>5.0999999999999996</v>
      </c>
      <c r="S114" s="22">
        <v>5.0999999999999996</v>
      </c>
      <c r="T114" s="22">
        <v>5.0999999999999996</v>
      </c>
      <c r="AS114" s="83"/>
    </row>
    <row r="115" spans="1:45" hidden="1" x14ac:dyDescent="0.25">
      <c r="A115" s="27"/>
      <c r="J115" s="143"/>
      <c r="K115" s="33"/>
      <c r="L115" s="33"/>
      <c r="M115" s="35"/>
      <c r="N115" s="35"/>
      <c r="O115" s="35"/>
      <c r="P115" s="35"/>
      <c r="Q115" s="35"/>
      <c r="R115" s="35"/>
      <c r="S115" s="35"/>
      <c r="T115" s="35"/>
      <c r="AS115" s="83"/>
    </row>
    <row r="116" spans="1:45" hidden="1" x14ac:dyDescent="0.25">
      <c r="A116" s="27"/>
      <c r="J116" s="139" t="s">
        <v>321</v>
      </c>
      <c r="K116" s="144">
        <v>44348</v>
      </c>
      <c r="AS116" s="83"/>
    </row>
    <row r="117" spans="1:45" hidden="1" x14ac:dyDescent="0.25">
      <c r="A117" s="27"/>
      <c r="J117" s="516" t="s">
        <v>260</v>
      </c>
      <c r="K117" s="516"/>
      <c r="L117" s="516"/>
      <c r="M117" s="516"/>
      <c r="N117" s="516"/>
      <c r="O117" s="516"/>
      <c r="P117" s="516"/>
      <c r="Q117" s="516"/>
      <c r="R117" s="516"/>
      <c r="S117" s="516"/>
      <c r="T117" s="516"/>
      <c r="AS117" s="83"/>
    </row>
    <row r="118" spans="1:45" ht="30" hidden="1" x14ac:dyDescent="0.25">
      <c r="A118" s="27"/>
      <c r="J118" s="3" t="s">
        <v>226</v>
      </c>
      <c r="K118" s="2" t="s">
        <v>227</v>
      </c>
      <c r="L118" s="2" t="s">
        <v>228</v>
      </c>
      <c r="M118" s="221" t="s">
        <v>229</v>
      </c>
      <c r="N118" s="221" t="s">
        <v>230</v>
      </c>
      <c r="O118" s="221" t="s">
        <v>231</v>
      </c>
      <c r="P118" s="221" t="s">
        <v>232</v>
      </c>
      <c r="Q118" s="221" t="s">
        <v>233</v>
      </c>
      <c r="R118" s="221" t="s">
        <v>234</v>
      </c>
      <c r="S118" s="221" t="s">
        <v>235</v>
      </c>
      <c r="T118" s="221" t="s">
        <v>236</v>
      </c>
      <c r="AS118" s="83"/>
    </row>
    <row r="119" spans="1:45" ht="17.25" hidden="1" customHeight="1" x14ac:dyDescent="0.25">
      <c r="A119" s="27"/>
      <c r="J119" s="120" t="s">
        <v>237</v>
      </c>
      <c r="K119" s="6" t="s">
        <v>275</v>
      </c>
      <c r="L119" s="6" t="s">
        <v>322</v>
      </c>
      <c r="M119" s="22">
        <f>9.2-0.01134*K8</f>
        <v>9.1999999999999993</v>
      </c>
      <c r="N119" s="22">
        <f>9.2-0.01134*K9</f>
        <v>9.1999999999999993</v>
      </c>
      <c r="O119" s="22">
        <f>9.2-0.01134*K10</f>
        <v>9.1999999999999993</v>
      </c>
      <c r="P119" s="22">
        <f>9.2-0.01134*K11</f>
        <v>9.1999999999999993</v>
      </c>
      <c r="Q119" s="22">
        <f>9.2-0.01134*K12</f>
        <v>9.1999999999999993</v>
      </c>
      <c r="R119" s="22">
        <f>9.2-0.01134*K13</f>
        <v>9.1999999999999993</v>
      </c>
      <c r="S119" s="22">
        <f>9.2-0.01134*K14</f>
        <v>9.1999999999999993</v>
      </c>
      <c r="T119" s="22">
        <f>9.2-0.01134*K15</f>
        <v>9.1999999999999993</v>
      </c>
      <c r="AS119" s="83"/>
    </row>
    <row r="120" spans="1:45" ht="17.25" hidden="1" customHeight="1" x14ac:dyDescent="0.25">
      <c r="A120" s="27"/>
      <c r="J120" s="120" t="s">
        <v>237</v>
      </c>
      <c r="K120" s="6" t="s">
        <v>278</v>
      </c>
      <c r="L120" s="6" t="s">
        <v>323</v>
      </c>
      <c r="M120" s="22">
        <f>6.49-0.0023*K8</f>
        <v>6.49</v>
      </c>
      <c r="N120" s="22">
        <f>6.49-0.0023*K9</f>
        <v>6.49</v>
      </c>
      <c r="O120" s="22">
        <f>6.49-0.0023*K10</f>
        <v>6.49</v>
      </c>
      <c r="P120" s="22">
        <f>6.49-0.0023*K11</f>
        <v>6.49</v>
      </c>
      <c r="Q120" s="22">
        <f>6.49-0.0023*K12</f>
        <v>6.49</v>
      </c>
      <c r="R120" s="22">
        <f>6.49-0.0023*K13</f>
        <v>6.49</v>
      </c>
      <c r="S120" s="22">
        <f>6.49-0.0023*K14</f>
        <v>6.49</v>
      </c>
      <c r="T120" s="22">
        <f>6.49-0.0023*K15</f>
        <v>6.49</v>
      </c>
      <c r="AS120" s="83"/>
    </row>
    <row r="121" spans="1:45" hidden="1" x14ac:dyDescent="0.25">
      <c r="A121" s="27"/>
      <c r="J121" s="120" t="s">
        <v>237</v>
      </c>
      <c r="K121" s="6" t="s">
        <v>280</v>
      </c>
      <c r="L121" s="6" t="s">
        <v>324</v>
      </c>
      <c r="M121" s="22">
        <f>5.11-0.00058*K8</f>
        <v>5.1100000000000003</v>
      </c>
      <c r="N121" s="22">
        <f>5.11-0.00058*K9</f>
        <v>5.1100000000000003</v>
      </c>
      <c r="O121" s="22">
        <f>5.11-0.00058*K10</f>
        <v>5.1100000000000003</v>
      </c>
      <c r="P121" s="22">
        <f>5.11-0.00058*K11</f>
        <v>5.1100000000000003</v>
      </c>
      <c r="Q121" s="22">
        <f>5.11-0.00058*K12</f>
        <v>5.1100000000000003</v>
      </c>
      <c r="R121" s="22">
        <f>5.11-0.00058*K13</f>
        <v>5.1100000000000003</v>
      </c>
      <c r="S121" s="22">
        <f>5.11-0.00058*K14</f>
        <v>5.1100000000000003</v>
      </c>
      <c r="T121" s="22">
        <f>5.11-0.00058*K15</f>
        <v>5.1100000000000003</v>
      </c>
      <c r="AS121" s="83"/>
    </row>
    <row r="122" spans="1:45" hidden="1" x14ac:dyDescent="0.25">
      <c r="A122" s="27"/>
      <c r="J122" s="120" t="s">
        <v>237</v>
      </c>
      <c r="K122" s="6" t="s">
        <v>282</v>
      </c>
      <c r="L122" s="6">
        <v>4.24</v>
      </c>
      <c r="M122" s="6">
        <v>4.24</v>
      </c>
      <c r="N122" s="6">
        <v>4.24</v>
      </c>
      <c r="O122" s="6">
        <v>4.24</v>
      </c>
      <c r="P122" s="6">
        <v>4.24</v>
      </c>
      <c r="Q122" s="6">
        <v>4.24</v>
      </c>
      <c r="R122" s="6">
        <v>4.24</v>
      </c>
      <c r="S122" s="6">
        <v>4.24</v>
      </c>
      <c r="T122" s="6">
        <v>4.24</v>
      </c>
      <c r="AS122" s="83"/>
    </row>
    <row r="123" spans="1:45" hidden="1" x14ac:dyDescent="0.25">
      <c r="A123" s="27"/>
      <c r="J123" s="120" t="s">
        <v>242</v>
      </c>
      <c r="K123" s="6" t="s">
        <v>325</v>
      </c>
      <c r="L123" s="6" t="s">
        <v>326</v>
      </c>
      <c r="M123" s="22">
        <f>7.14-0.00308*K8</f>
        <v>7.14</v>
      </c>
      <c r="N123" s="22">
        <f>7.14-0.00308*K9</f>
        <v>7.14</v>
      </c>
      <c r="O123" s="22">
        <f>7.14-0.00308*K10</f>
        <v>7.14</v>
      </c>
      <c r="P123" s="22">
        <f>7.14-0.00308*K11</f>
        <v>7.14</v>
      </c>
      <c r="Q123" s="22">
        <f>7.14-0.00308*K12</f>
        <v>7.14</v>
      </c>
      <c r="R123" s="22">
        <f>7.14-0.00308*K13</f>
        <v>7.14</v>
      </c>
      <c r="S123" s="22">
        <f>7.14-0.00308*K14</f>
        <v>7.14</v>
      </c>
      <c r="T123" s="22">
        <f>7.14-0.00308*K15</f>
        <v>7.14</v>
      </c>
      <c r="AS123" s="83"/>
    </row>
    <row r="124" spans="1:45" hidden="1" x14ac:dyDescent="0.25">
      <c r="A124" s="27"/>
      <c r="J124" s="120" t="s">
        <v>242</v>
      </c>
      <c r="K124" s="6" t="s">
        <v>327</v>
      </c>
      <c r="L124" s="6">
        <v>4.13</v>
      </c>
      <c r="M124" s="6">
        <v>4.13</v>
      </c>
      <c r="N124" s="6">
        <v>4.13</v>
      </c>
      <c r="O124" s="6">
        <v>4.13</v>
      </c>
      <c r="P124" s="6">
        <v>4.13</v>
      </c>
      <c r="Q124" s="6">
        <v>4.13</v>
      </c>
      <c r="R124" s="6">
        <v>4.13</v>
      </c>
      <c r="S124" s="6">
        <v>4.13</v>
      </c>
      <c r="T124" s="6">
        <v>4.13</v>
      </c>
      <c r="AS124" s="83"/>
    </row>
    <row r="125" spans="1:45" hidden="1" x14ac:dyDescent="0.25">
      <c r="A125" s="27"/>
      <c r="J125" s="120" t="s">
        <v>246</v>
      </c>
      <c r="K125" s="6" t="s">
        <v>325</v>
      </c>
      <c r="L125" s="6" t="s">
        <v>326</v>
      </c>
      <c r="M125" s="22">
        <f>7.14-0.00308*K8</f>
        <v>7.14</v>
      </c>
      <c r="N125" s="22">
        <f>7.14-0.00308*K9</f>
        <v>7.14</v>
      </c>
      <c r="O125" s="22">
        <f>7.14-0.00308*K10</f>
        <v>7.14</v>
      </c>
      <c r="P125" s="22">
        <f>7.14-0.00308*K11</f>
        <v>7.14</v>
      </c>
      <c r="Q125" s="22">
        <f>7.14-0.00308*K12</f>
        <v>7.14</v>
      </c>
      <c r="R125" s="22">
        <f>7.14-0.00308*K13</f>
        <v>7.14</v>
      </c>
      <c r="S125" s="22">
        <f>7.14-0.00308*K14</f>
        <v>7.14</v>
      </c>
      <c r="T125" s="22">
        <f>7.14-0.00308*K15</f>
        <v>7.14</v>
      </c>
      <c r="AS125" s="83"/>
    </row>
    <row r="126" spans="1:45" hidden="1" x14ac:dyDescent="0.25">
      <c r="A126" s="27"/>
      <c r="J126" s="120" t="s">
        <v>246</v>
      </c>
      <c r="K126" s="6" t="s">
        <v>327</v>
      </c>
      <c r="L126" s="6">
        <v>4.13</v>
      </c>
      <c r="M126" s="6">
        <v>4.13</v>
      </c>
      <c r="N126" s="6">
        <v>4.13</v>
      </c>
      <c r="O126" s="6">
        <v>4.13</v>
      </c>
      <c r="P126" s="6">
        <v>4.13</v>
      </c>
      <c r="Q126" s="6">
        <v>4.13</v>
      </c>
      <c r="R126" s="6">
        <v>4.13</v>
      </c>
      <c r="S126" s="6">
        <v>4.13</v>
      </c>
      <c r="T126" s="6">
        <v>4.13</v>
      </c>
      <c r="AS126" s="83"/>
    </row>
    <row r="127" spans="1:45" hidden="1" x14ac:dyDescent="0.25">
      <c r="A127" s="27"/>
      <c r="J127" s="120" t="s">
        <v>248</v>
      </c>
      <c r="K127" s="6" t="s">
        <v>288</v>
      </c>
      <c r="L127" s="6" t="s">
        <v>328</v>
      </c>
      <c r="M127" s="22">
        <f>12.57-0.0399*K8</f>
        <v>12.57</v>
      </c>
      <c r="N127" s="22">
        <f>12.57-0.0399*K9</f>
        <v>12.57</v>
      </c>
      <c r="O127" s="22">
        <f>12.57-0.0399*K10</f>
        <v>12.57</v>
      </c>
      <c r="P127" s="22">
        <f>12.57-0.0399*K11</f>
        <v>12.57</v>
      </c>
      <c r="Q127" s="22">
        <f>12.57-0.0399*K12</f>
        <v>12.57</v>
      </c>
      <c r="R127" s="22">
        <f>12.57-0.0399*K13</f>
        <v>12.57</v>
      </c>
      <c r="S127" s="22">
        <f>12.57-0.0399*K14</f>
        <v>12.57</v>
      </c>
      <c r="T127" s="22">
        <f>12.57-0.0399*K15</f>
        <v>12.57</v>
      </c>
      <c r="AS127" s="83"/>
    </row>
    <row r="128" spans="1:45" hidden="1" x14ac:dyDescent="0.25">
      <c r="A128" s="27"/>
      <c r="J128" s="120" t="s">
        <v>248</v>
      </c>
      <c r="K128" s="6" t="s">
        <v>290</v>
      </c>
      <c r="L128" s="6" t="s">
        <v>329</v>
      </c>
      <c r="M128" s="22">
        <f>10.56-0.0215*K8</f>
        <v>10.56</v>
      </c>
      <c r="N128" s="22">
        <f>10.56-0.0215*K9</f>
        <v>10.56</v>
      </c>
      <c r="O128" s="22">
        <f>10.56-0.0215*K10</f>
        <v>10.56</v>
      </c>
      <c r="P128" s="22">
        <f>10.56-0.0215*K11</f>
        <v>10.56</v>
      </c>
      <c r="Q128" s="22">
        <f>10.56-0.0215*K12</f>
        <v>10.56</v>
      </c>
      <c r="R128" s="22">
        <f>10.56-0.0215*K13</f>
        <v>10.56</v>
      </c>
      <c r="S128" s="22">
        <f>10.56-0.0215*K14</f>
        <v>10.56</v>
      </c>
      <c r="T128" s="22">
        <f>10.56-0.0215*K15</f>
        <v>10.56</v>
      </c>
      <c r="AS128" s="83"/>
    </row>
    <row r="129" spans="1:45" hidden="1" x14ac:dyDescent="0.25">
      <c r="A129" s="27"/>
      <c r="J129" s="120" t="s">
        <v>248</v>
      </c>
      <c r="K129" s="6" t="s">
        <v>292</v>
      </c>
      <c r="L129" s="6">
        <v>6.25</v>
      </c>
      <c r="M129" s="6">
        <v>6.25</v>
      </c>
      <c r="N129" s="6">
        <v>6.25</v>
      </c>
      <c r="O129" s="6">
        <v>6.25</v>
      </c>
      <c r="P129" s="6">
        <v>6.25</v>
      </c>
      <c r="Q129" s="6">
        <v>6.25</v>
      </c>
      <c r="R129" s="6">
        <v>6.25</v>
      </c>
      <c r="S129" s="6">
        <v>6.25</v>
      </c>
      <c r="T129" s="6">
        <v>6.25</v>
      </c>
      <c r="AS129" s="83"/>
    </row>
    <row r="130" spans="1:45" hidden="1" x14ac:dyDescent="0.25">
      <c r="A130" s="27"/>
      <c r="K130" s="33"/>
      <c r="L130" s="146"/>
      <c r="M130" s="35"/>
      <c r="N130" s="35"/>
      <c r="O130" s="35"/>
      <c r="P130" s="35"/>
      <c r="Q130" s="35"/>
      <c r="R130" s="35"/>
      <c r="S130" s="35"/>
      <c r="T130" s="35"/>
      <c r="AS130" s="83"/>
    </row>
    <row r="131" spans="1:45" hidden="1" x14ac:dyDescent="0.25">
      <c r="A131" s="27"/>
      <c r="J131" s="139" t="s">
        <v>321</v>
      </c>
      <c r="K131" s="144">
        <v>44348</v>
      </c>
      <c r="AS131" s="83"/>
    </row>
    <row r="132" spans="1:45" hidden="1" x14ac:dyDescent="0.25">
      <c r="A132" s="27"/>
      <c r="J132" s="516" t="s">
        <v>316</v>
      </c>
      <c r="K132" s="516"/>
      <c r="L132" s="516"/>
      <c r="M132" s="516"/>
      <c r="N132" s="516"/>
      <c r="O132" s="516"/>
      <c r="P132" s="516"/>
      <c r="Q132" s="516"/>
      <c r="R132" s="516"/>
      <c r="S132" s="516"/>
      <c r="T132" s="516"/>
      <c r="AS132" s="83"/>
    </row>
    <row r="133" spans="1:45" ht="30" hidden="1" x14ac:dyDescent="0.25">
      <c r="A133" s="27"/>
      <c r="J133" s="3" t="s">
        <v>226</v>
      </c>
      <c r="K133" s="2" t="s">
        <v>227</v>
      </c>
      <c r="L133" s="2" t="s">
        <v>261</v>
      </c>
      <c r="M133" s="221" t="s">
        <v>229</v>
      </c>
      <c r="N133" s="221" t="s">
        <v>230</v>
      </c>
      <c r="O133" s="221" t="s">
        <v>231</v>
      </c>
      <c r="P133" s="221" t="s">
        <v>232</v>
      </c>
      <c r="Q133" s="221" t="s">
        <v>233</v>
      </c>
      <c r="R133" s="221" t="s">
        <v>234</v>
      </c>
      <c r="S133" s="221" t="s">
        <v>235</v>
      </c>
      <c r="T133" s="221" t="s">
        <v>236</v>
      </c>
      <c r="AS133" s="83"/>
    </row>
    <row r="134" spans="1:45" hidden="1" x14ac:dyDescent="0.25">
      <c r="A134" s="27"/>
      <c r="J134" s="4" t="s">
        <v>237</v>
      </c>
      <c r="K134" s="6" t="s">
        <v>294</v>
      </c>
      <c r="L134" s="141" t="s">
        <v>330</v>
      </c>
      <c r="M134" s="22">
        <f>7.9-0.005409*K8</f>
        <v>7.9</v>
      </c>
      <c r="N134" s="22">
        <f>7.9-0.005409*K9</f>
        <v>7.9</v>
      </c>
      <c r="O134" s="22">
        <f>7.9-0.005409*K10</f>
        <v>7.9</v>
      </c>
      <c r="P134" s="22">
        <f>7.9-0.005409*K11</f>
        <v>7.9</v>
      </c>
      <c r="Q134" s="22">
        <f>7.9-0.005409*K12</f>
        <v>7.9</v>
      </c>
      <c r="R134" s="22">
        <f>7.9-0.005409*K13</f>
        <v>7.9</v>
      </c>
      <c r="S134" s="22">
        <f>7.9-0.005409*K14</f>
        <v>7.9</v>
      </c>
      <c r="T134" s="22">
        <f>7.9-0.005409*K15</f>
        <v>7.9</v>
      </c>
      <c r="AS134" s="83"/>
    </row>
    <row r="135" spans="1:45" hidden="1" x14ac:dyDescent="0.25">
      <c r="A135" s="27"/>
      <c r="J135" s="4" t="s">
        <v>237</v>
      </c>
      <c r="K135" s="6" t="s">
        <v>296</v>
      </c>
      <c r="L135" s="6" t="s">
        <v>331</v>
      </c>
      <c r="M135" s="22">
        <f>7.08-0.002752*K8</f>
        <v>7.08</v>
      </c>
      <c r="N135" s="22">
        <f>7.08-0.002752*K9</f>
        <v>7.08</v>
      </c>
      <c r="O135" s="22">
        <f>7.08-0.002752*K10</f>
        <v>7.08</v>
      </c>
      <c r="P135" s="22">
        <f>7.08-0.002752*K11</f>
        <v>7.08</v>
      </c>
      <c r="Q135" s="22">
        <f>7.08-0.002752*K12</f>
        <v>7.08</v>
      </c>
      <c r="R135" s="22">
        <f>7.08-0.002752*K13</f>
        <v>7.08</v>
      </c>
      <c r="S135" s="22">
        <f>7.08-0.002752*K14</f>
        <v>7.08</v>
      </c>
      <c r="T135" s="22">
        <f>7.08-0.002752*K15</f>
        <v>7.08</v>
      </c>
      <c r="AS135" s="83"/>
    </row>
    <row r="136" spans="1:45" hidden="1" x14ac:dyDescent="0.25">
      <c r="A136" s="27"/>
      <c r="J136" s="4" t="s">
        <v>237</v>
      </c>
      <c r="K136" s="6" t="s">
        <v>298</v>
      </c>
      <c r="L136" s="6">
        <v>4.82</v>
      </c>
      <c r="M136" s="6">
        <v>4.82</v>
      </c>
      <c r="N136" s="6">
        <v>4.82</v>
      </c>
      <c r="O136" s="6">
        <v>4.82</v>
      </c>
      <c r="P136" s="6">
        <v>4.82</v>
      </c>
      <c r="Q136" s="6">
        <v>4.82</v>
      </c>
      <c r="R136" s="6">
        <v>4.82</v>
      </c>
      <c r="S136" s="6">
        <v>4.82</v>
      </c>
      <c r="T136" s="6">
        <v>4.82</v>
      </c>
      <c r="AS136" s="83"/>
    </row>
    <row r="137" spans="1:45" hidden="1" x14ac:dyDescent="0.25">
      <c r="A137" s="27"/>
      <c r="J137" s="4" t="s">
        <v>242</v>
      </c>
      <c r="K137" s="6" t="s">
        <v>299</v>
      </c>
      <c r="L137" s="6" t="s">
        <v>332</v>
      </c>
      <c r="M137" s="22">
        <f>7.76-0.00464*K8</f>
        <v>7.76</v>
      </c>
      <c r="N137" s="22">
        <f>7.76-0.00464*K9</f>
        <v>7.76</v>
      </c>
      <c r="O137" s="22">
        <f>7.76-0.00464*K10</f>
        <v>7.76</v>
      </c>
      <c r="P137" s="22">
        <f>7.76-0.00464*K11</f>
        <v>7.76</v>
      </c>
      <c r="Q137" s="22">
        <f>7.76-0.00464*K12</f>
        <v>7.76</v>
      </c>
      <c r="R137" s="22">
        <f>7.76-0.00464*K13</f>
        <v>7.76</v>
      </c>
      <c r="S137" s="22">
        <f>7.76-0.00464*K14</f>
        <v>7.76</v>
      </c>
      <c r="T137" s="22">
        <f>7.76-0.00464*K15</f>
        <v>7.76</v>
      </c>
      <c r="AS137" s="83"/>
    </row>
    <row r="138" spans="1:45" hidden="1" x14ac:dyDescent="0.25">
      <c r="A138" s="27"/>
      <c r="J138" s="4" t="s">
        <v>242</v>
      </c>
      <c r="K138" s="6" t="s">
        <v>301</v>
      </c>
      <c r="L138" s="6">
        <v>4.05</v>
      </c>
      <c r="M138" s="6">
        <v>4.05</v>
      </c>
      <c r="N138" s="6">
        <v>4.05</v>
      </c>
      <c r="O138" s="6">
        <v>4.05</v>
      </c>
      <c r="P138" s="6">
        <v>4.05</v>
      </c>
      <c r="Q138" s="6">
        <v>4.05</v>
      </c>
      <c r="R138" s="6">
        <v>4.05</v>
      </c>
      <c r="S138" s="6">
        <v>4.05</v>
      </c>
      <c r="T138" s="6">
        <v>4.05</v>
      </c>
      <c r="AS138" s="83"/>
    </row>
    <row r="139" spans="1:45" hidden="1" x14ac:dyDescent="0.25">
      <c r="A139" s="27"/>
      <c r="J139" s="4" t="s">
        <v>246</v>
      </c>
      <c r="K139" s="6" t="s">
        <v>299</v>
      </c>
      <c r="L139" s="6" t="s">
        <v>332</v>
      </c>
      <c r="M139" s="22">
        <f>7.76-0.00464*K8</f>
        <v>7.76</v>
      </c>
      <c r="N139" s="22">
        <f>7.76-0.00464*K9</f>
        <v>7.76</v>
      </c>
      <c r="O139" s="22">
        <f>7.76-0.00464*K10</f>
        <v>7.76</v>
      </c>
      <c r="P139" s="22">
        <f>7.76-0.00464*K11</f>
        <v>7.76</v>
      </c>
      <c r="Q139" s="22">
        <f>7.76-0.00464*K12</f>
        <v>7.76</v>
      </c>
      <c r="R139" s="22">
        <f>7.76-0.00464*K13</f>
        <v>7.76</v>
      </c>
      <c r="S139" s="22">
        <f>7.76-0.00464*K14</f>
        <v>7.76</v>
      </c>
      <c r="T139" s="22">
        <f>7.76-0.00464*K15</f>
        <v>7.76</v>
      </c>
      <c r="AS139" s="83"/>
    </row>
    <row r="140" spans="1:45" hidden="1" x14ac:dyDescent="0.25">
      <c r="A140" s="27"/>
      <c r="J140" s="120" t="s">
        <v>246</v>
      </c>
      <c r="K140" s="6" t="s">
        <v>301</v>
      </c>
      <c r="L140" s="6">
        <v>4.05</v>
      </c>
      <c r="M140" s="6">
        <v>4.05</v>
      </c>
      <c r="N140" s="6">
        <v>4.05</v>
      </c>
      <c r="O140" s="6">
        <v>4.05</v>
      </c>
      <c r="P140" s="6">
        <v>4.05</v>
      </c>
      <c r="Q140" s="6">
        <v>4.05</v>
      </c>
      <c r="R140" s="6">
        <v>4.05</v>
      </c>
      <c r="S140" s="6">
        <v>4.05</v>
      </c>
      <c r="T140" s="6">
        <v>4.05</v>
      </c>
      <c r="AS140" s="83"/>
    </row>
    <row r="141" spans="1:45" hidden="1" x14ac:dyDescent="0.25">
      <c r="A141" s="27"/>
      <c r="J141" s="120" t="s">
        <v>248</v>
      </c>
      <c r="K141" s="6" t="s">
        <v>303</v>
      </c>
      <c r="L141" s="6" t="s">
        <v>333</v>
      </c>
      <c r="M141" s="22">
        <f>12.37-0.0261*K8</f>
        <v>12.37</v>
      </c>
      <c r="N141" s="22">
        <f>12.37-0.0261*K9</f>
        <v>12.37</v>
      </c>
      <c r="O141" s="22">
        <f>12.37-0.0261*K10</f>
        <v>12.37</v>
      </c>
      <c r="P141" s="22">
        <f>12.37-0.0261*K11</f>
        <v>12.37</v>
      </c>
      <c r="Q141" s="22">
        <f>12.37-0.0261*K12</f>
        <v>12.37</v>
      </c>
      <c r="R141" s="22">
        <f>12.37-0.0261*K13</f>
        <v>12.37</v>
      </c>
      <c r="S141" s="22">
        <f>12.37-0.0261*K14</f>
        <v>12.37</v>
      </c>
      <c r="T141" s="22">
        <f>12.37-0.0261*K15</f>
        <v>12.37</v>
      </c>
      <c r="AS141" s="83"/>
    </row>
    <row r="142" spans="1:45" hidden="1" x14ac:dyDescent="0.25">
      <c r="A142" s="27"/>
      <c r="J142" s="120" t="s">
        <v>248</v>
      </c>
      <c r="K142" s="6" t="s">
        <v>305</v>
      </c>
      <c r="L142" s="6" t="s">
        <v>334</v>
      </c>
      <c r="M142" s="22">
        <f>8.24-0.005492*K8</f>
        <v>8.24</v>
      </c>
      <c r="N142" s="22">
        <f>8.24-0.005492*K9</f>
        <v>8.24</v>
      </c>
      <c r="O142" s="22">
        <f>8.24-0.005492*K10</f>
        <v>8.24</v>
      </c>
      <c r="P142" s="22">
        <f>8.24-0.005492*K11</f>
        <v>8.24</v>
      </c>
      <c r="Q142" s="22">
        <f>8.24-0.005492*K12</f>
        <v>8.24</v>
      </c>
      <c r="R142" s="22">
        <f>8.24-0.005492*K13</f>
        <v>8.24</v>
      </c>
      <c r="S142" s="22">
        <f>8.24-0.005492*K14</f>
        <v>8.24</v>
      </c>
      <c r="T142" s="22">
        <f>8.24-0.005492*K15</f>
        <v>8.24</v>
      </c>
      <c r="AS142" s="83"/>
    </row>
    <row r="143" spans="1:45" hidden="1" x14ac:dyDescent="0.25">
      <c r="A143" s="27"/>
      <c r="J143" s="120" t="s">
        <v>248</v>
      </c>
      <c r="K143" s="6" t="s">
        <v>307</v>
      </c>
      <c r="L143" s="6">
        <v>4.4400000000000004</v>
      </c>
      <c r="M143" s="6">
        <v>4.4400000000000004</v>
      </c>
      <c r="N143" s="6">
        <v>4.4400000000000004</v>
      </c>
      <c r="O143" s="6">
        <v>4.4400000000000004</v>
      </c>
      <c r="P143" s="6">
        <v>4.4400000000000004</v>
      </c>
      <c r="Q143" s="6">
        <v>4.4400000000000004</v>
      </c>
      <c r="R143" s="6">
        <v>4.4400000000000004</v>
      </c>
      <c r="S143" s="6">
        <v>4.4400000000000004</v>
      </c>
      <c r="T143" s="6">
        <v>4.4400000000000004</v>
      </c>
      <c r="AS143" s="83"/>
    </row>
    <row r="144" spans="1:45" hidden="1" x14ac:dyDescent="0.25">
      <c r="A144" s="27"/>
      <c r="K144" s="33"/>
      <c r="L144" s="146"/>
      <c r="M144" s="35"/>
      <c r="N144" s="35"/>
      <c r="O144" s="35"/>
      <c r="P144" s="35"/>
      <c r="Q144" s="35"/>
      <c r="R144" s="35"/>
      <c r="S144" s="35"/>
      <c r="T144" s="35"/>
      <c r="AS144" s="83"/>
    </row>
    <row r="145" spans="1:45" hidden="1" x14ac:dyDescent="0.25">
      <c r="A145" s="27"/>
      <c r="K145" s="33"/>
      <c r="L145" s="146"/>
      <c r="M145" s="35"/>
      <c r="N145" s="35"/>
      <c r="O145" s="35"/>
      <c r="P145" s="35"/>
      <c r="Q145" s="35"/>
      <c r="R145" s="35"/>
      <c r="S145" s="35"/>
      <c r="T145" s="35"/>
      <c r="U145" s="35"/>
      <c r="AB145" s="35"/>
      <c r="AS145" s="83"/>
    </row>
    <row r="146" spans="1:45"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row>
    <row r="147" spans="1:45"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row>
    <row r="148" spans="1:45" s="82" customFormat="1" x14ac:dyDescent="0.25"/>
    <row r="149" spans="1:45" s="82" customFormat="1" x14ac:dyDescent="0.25"/>
    <row r="150" spans="1:45" s="82" customFormat="1" x14ac:dyDescent="0.25"/>
    <row r="151" spans="1:45" s="82" customFormat="1" x14ac:dyDescent="0.25"/>
    <row r="152" spans="1:45" s="82" customFormat="1" x14ac:dyDescent="0.25"/>
    <row r="153" spans="1:45" s="82" customFormat="1" x14ac:dyDescent="0.25"/>
    <row r="154" spans="1:45" s="82" customFormat="1" x14ac:dyDescent="0.25"/>
    <row r="155" spans="1:45" s="82" customFormat="1" x14ac:dyDescent="0.25"/>
    <row r="156" spans="1:45" s="82" customFormat="1" x14ac:dyDescent="0.25"/>
    <row r="157" spans="1:45" s="82" customFormat="1" x14ac:dyDescent="0.25"/>
    <row r="158" spans="1:45" s="82" customFormat="1" x14ac:dyDescent="0.25"/>
    <row r="159" spans="1:45" s="82" customFormat="1" x14ac:dyDescent="0.25"/>
    <row r="160" spans="1:45"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row r="1181" s="82" customFormat="1" x14ac:dyDescent="0.25"/>
    <row r="1182" s="82" customFormat="1" x14ac:dyDescent="0.25"/>
    <row r="1183" s="82" customFormat="1" x14ac:dyDescent="0.25"/>
    <row r="1184" s="82" customFormat="1" x14ac:dyDescent="0.25"/>
    <row r="1185" s="82" customFormat="1" x14ac:dyDescent="0.25"/>
    <row r="1186" s="82" customFormat="1" x14ac:dyDescent="0.25"/>
    <row r="1187" s="82" customFormat="1" x14ac:dyDescent="0.25"/>
    <row r="1188" s="82" customFormat="1" x14ac:dyDescent="0.25"/>
    <row r="1189" s="82" customFormat="1" x14ac:dyDescent="0.25"/>
    <row r="1190" s="82" customFormat="1" x14ac:dyDescent="0.25"/>
    <row r="1191" s="82" customFormat="1" x14ac:dyDescent="0.25"/>
    <row r="1192" s="82" customFormat="1" x14ac:dyDescent="0.25"/>
    <row r="1193" s="82" customFormat="1" x14ac:dyDescent="0.25"/>
    <row r="1194" s="82" customFormat="1" x14ac:dyDescent="0.25"/>
    <row r="1195" s="82" customFormat="1" x14ac:dyDescent="0.25"/>
    <row r="1196" s="82" customFormat="1" x14ac:dyDescent="0.25"/>
    <row r="1197" s="82" customFormat="1" x14ac:dyDescent="0.25"/>
    <row r="1198" s="82" customFormat="1" x14ac:dyDescent="0.25"/>
    <row r="1199" s="82" customFormat="1" x14ac:dyDescent="0.25"/>
    <row r="1200" s="82" customFormat="1" x14ac:dyDescent="0.25"/>
    <row r="1201" s="82" customFormat="1" x14ac:dyDescent="0.25"/>
    <row r="1202" s="82" customFormat="1" x14ac:dyDescent="0.25"/>
    <row r="1203" s="82" customFormat="1" x14ac:dyDescent="0.25"/>
    <row r="1204" s="82" customFormat="1" x14ac:dyDescent="0.25"/>
    <row r="1205" s="82" customFormat="1" x14ac:dyDescent="0.25"/>
    <row r="1206" s="82" customFormat="1" x14ac:dyDescent="0.25"/>
    <row r="1207" s="82" customFormat="1" x14ac:dyDescent="0.25"/>
    <row r="1208" s="82" customFormat="1" x14ac:dyDescent="0.25"/>
    <row r="1209" s="82" customFormat="1" x14ac:dyDescent="0.25"/>
    <row r="1210" s="82" customFormat="1" x14ac:dyDescent="0.25"/>
    <row r="1211" s="82" customFormat="1" x14ac:dyDescent="0.25"/>
    <row r="1212" s="82" customFormat="1" x14ac:dyDescent="0.25"/>
    <row r="1213" s="82" customFormat="1" x14ac:dyDescent="0.25"/>
    <row r="1214" s="82" customFormat="1" x14ac:dyDescent="0.25"/>
    <row r="1215" s="82" customFormat="1" x14ac:dyDescent="0.25"/>
    <row r="1216" s="82" customFormat="1" x14ac:dyDescent="0.25"/>
    <row r="1217" s="82" customFormat="1" x14ac:dyDescent="0.25"/>
    <row r="1218" s="82" customFormat="1" x14ac:dyDescent="0.25"/>
    <row r="1219" s="82" customFormat="1" x14ac:dyDescent="0.25"/>
    <row r="1220" s="82" customFormat="1" x14ac:dyDescent="0.25"/>
    <row r="1221" s="82" customFormat="1" x14ac:dyDescent="0.25"/>
    <row r="1222" s="82" customFormat="1" x14ac:dyDescent="0.25"/>
    <row r="1223" s="82" customFormat="1" x14ac:dyDescent="0.25"/>
    <row r="1224" s="82" customFormat="1" x14ac:dyDescent="0.25"/>
    <row r="1225" s="82" customFormat="1" x14ac:dyDescent="0.25"/>
    <row r="1226" s="82" customFormat="1" x14ac:dyDescent="0.25"/>
    <row r="1227" s="82" customFormat="1" x14ac:dyDescent="0.25"/>
    <row r="1228" s="82" customFormat="1" x14ac:dyDescent="0.25"/>
    <row r="1229" s="82" customFormat="1" x14ac:dyDescent="0.25"/>
    <row r="1230" s="82" customFormat="1" x14ac:dyDescent="0.25"/>
    <row r="1231" s="82" customFormat="1" x14ac:dyDescent="0.25"/>
    <row r="1232" s="82" customFormat="1" x14ac:dyDescent="0.25"/>
    <row r="1233" s="82" customFormat="1" x14ac:dyDescent="0.25"/>
    <row r="1234" s="82" customFormat="1" x14ac:dyDescent="0.25"/>
    <row r="1235" s="82" customFormat="1" x14ac:dyDescent="0.25"/>
    <row r="1236" s="82" customFormat="1" x14ac:dyDescent="0.25"/>
    <row r="1237" s="82" customFormat="1" x14ac:dyDescent="0.25"/>
    <row r="1238" s="82" customFormat="1" x14ac:dyDescent="0.25"/>
    <row r="1239" s="82" customFormat="1" x14ac:dyDescent="0.25"/>
    <row r="1240" s="82" customFormat="1" x14ac:dyDescent="0.25"/>
    <row r="1241" s="82" customFormat="1" x14ac:dyDescent="0.25"/>
    <row r="1242" s="82" customFormat="1" x14ac:dyDescent="0.25"/>
    <row r="1243" s="82" customFormat="1" x14ac:dyDescent="0.25"/>
    <row r="1244" s="82" customFormat="1" x14ac:dyDescent="0.25"/>
    <row r="1245" s="82" customFormat="1" x14ac:dyDescent="0.25"/>
    <row r="1246" s="82" customFormat="1" x14ac:dyDescent="0.25"/>
    <row r="1247" s="82" customFormat="1" x14ac:dyDescent="0.25"/>
    <row r="1248" s="82" customFormat="1" x14ac:dyDescent="0.25"/>
    <row r="1249" s="82" customFormat="1" x14ac:dyDescent="0.25"/>
    <row r="1250" s="82" customFormat="1" x14ac:dyDescent="0.25"/>
    <row r="1251" s="82" customFormat="1" x14ac:dyDescent="0.25"/>
    <row r="1252" s="82" customFormat="1" x14ac:dyDescent="0.25"/>
    <row r="1253" s="82" customFormat="1" x14ac:dyDescent="0.25"/>
    <row r="1254" s="82" customFormat="1" x14ac:dyDescent="0.25"/>
    <row r="1255" s="82" customFormat="1" x14ac:dyDescent="0.25"/>
    <row r="1256" s="82" customFormat="1" x14ac:dyDescent="0.25"/>
    <row r="1257" s="82" customFormat="1" x14ac:dyDescent="0.25"/>
    <row r="1258" s="82" customFormat="1" x14ac:dyDescent="0.25"/>
    <row r="1259" s="82" customFormat="1" x14ac:dyDescent="0.25"/>
    <row r="1260" s="82" customFormat="1" x14ac:dyDescent="0.25"/>
    <row r="1261" s="82" customFormat="1" x14ac:dyDescent="0.25"/>
    <row r="1262" s="82" customFormat="1" x14ac:dyDescent="0.25"/>
    <row r="1263" s="82" customFormat="1" x14ac:dyDescent="0.25"/>
    <row r="1264" s="82" customFormat="1" x14ac:dyDescent="0.25"/>
    <row r="1265" s="82" customFormat="1" x14ac:dyDescent="0.25"/>
    <row r="1266" s="82" customFormat="1" x14ac:dyDescent="0.25"/>
    <row r="1267" s="82" customFormat="1" x14ac:dyDescent="0.25"/>
    <row r="1268" s="82" customFormat="1" x14ac:dyDescent="0.25"/>
    <row r="1269" s="82" customFormat="1" x14ac:dyDescent="0.25"/>
    <row r="1270" s="82" customFormat="1" x14ac:dyDescent="0.25"/>
    <row r="1271" s="82" customFormat="1" x14ac:dyDescent="0.25"/>
    <row r="1272" s="82" customFormat="1" x14ac:dyDescent="0.25"/>
    <row r="1273" s="82" customFormat="1" x14ac:dyDescent="0.25"/>
    <row r="1274" s="82" customFormat="1" x14ac:dyDescent="0.25"/>
    <row r="1275" s="82" customFormat="1" x14ac:dyDescent="0.25"/>
    <row r="1276" s="82" customFormat="1" x14ac:dyDescent="0.25"/>
    <row r="1277" s="82" customFormat="1" x14ac:dyDescent="0.25"/>
    <row r="1278" s="82" customFormat="1" x14ac:dyDescent="0.25"/>
    <row r="1279" s="82" customFormat="1" x14ac:dyDescent="0.25"/>
    <row r="1280" s="82" customFormat="1" x14ac:dyDescent="0.25"/>
    <row r="1281" s="82" customFormat="1" x14ac:dyDescent="0.25"/>
    <row r="1282" s="82" customFormat="1" x14ac:dyDescent="0.25"/>
    <row r="1283" s="82" customFormat="1" x14ac:dyDescent="0.25"/>
    <row r="1284" s="82" customFormat="1" x14ac:dyDescent="0.25"/>
    <row r="1285" s="82" customFormat="1" x14ac:dyDescent="0.25"/>
    <row r="1286" s="82" customFormat="1" x14ac:dyDescent="0.25"/>
    <row r="1287" s="82" customFormat="1" x14ac:dyDescent="0.25"/>
    <row r="1288" s="82" customFormat="1" x14ac:dyDescent="0.25"/>
    <row r="1289" s="82" customFormat="1" x14ac:dyDescent="0.25"/>
    <row r="1290" s="82" customFormat="1" x14ac:dyDescent="0.25"/>
    <row r="1291" s="82" customFormat="1" x14ac:dyDescent="0.25"/>
    <row r="1292" s="82" customFormat="1" x14ac:dyDescent="0.25"/>
    <row r="1293" s="82" customFormat="1" x14ac:dyDescent="0.25"/>
    <row r="1294" s="82" customFormat="1" x14ac:dyDescent="0.25"/>
    <row r="1295" s="82" customFormat="1" x14ac:dyDescent="0.25"/>
    <row r="1296" s="82" customFormat="1" x14ac:dyDescent="0.25"/>
    <row r="1297" s="82" customFormat="1" x14ac:dyDescent="0.25"/>
    <row r="1298" s="82" customFormat="1" x14ac:dyDescent="0.25"/>
    <row r="1299" s="82" customFormat="1" x14ac:dyDescent="0.25"/>
    <row r="1300" s="82" customFormat="1" x14ac:dyDescent="0.25"/>
    <row r="1301" s="82" customFormat="1" x14ac:dyDescent="0.25"/>
    <row r="1302" s="82" customFormat="1" x14ac:dyDescent="0.25"/>
    <row r="1303" s="82" customFormat="1" x14ac:dyDescent="0.25"/>
    <row r="1304" s="82" customFormat="1" x14ac:dyDescent="0.25"/>
    <row r="1305" s="82" customFormat="1" x14ac:dyDescent="0.25"/>
    <row r="1306" s="82" customFormat="1" x14ac:dyDescent="0.25"/>
    <row r="1307" s="82" customFormat="1" x14ac:dyDescent="0.25"/>
    <row r="1308" s="82" customFormat="1" x14ac:dyDescent="0.25"/>
    <row r="1309" s="82" customFormat="1" x14ac:dyDescent="0.25"/>
    <row r="1310" s="82" customFormat="1" x14ac:dyDescent="0.25"/>
    <row r="1311" s="82" customFormat="1" x14ac:dyDescent="0.25"/>
    <row r="1312" s="82" customFormat="1" x14ac:dyDescent="0.25"/>
    <row r="1313" s="82" customFormat="1" x14ac:dyDescent="0.25"/>
    <row r="1314" s="82" customFormat="1" x14ac:dyDescent="0.25"/>
    <row r="1315" s="82" customFormat="1" x14ac:dyDescent="0.25"/>
    <row r="1316" s="82" customFormat="1" x14ac:dyDescent="0.25"/>
    <row r="1317" s="82" customFormat="1" x14ac:dyDescent="0.25"/>
    <row r="1318" s="82" customFormat="1" x14ac:dyDescent="0.25"/>
    <row r="1319" s="82" customFormat="1" x14ac:dyDescent="0.25"/>
    <row r="1320" s="82" customFormat="1" x14ac:dyDescent="0.25"/>
    <row r="1321" s="82" customFormat="1" x14ac:dyDescent="0.25"/>
    <row r="1322" s="82" customFormat="1" x14ac:dyDescent="0.25"/>
    <row r="1323" s="82" customFormat="1" x14ac:dyDescent="0.25"/>
    <row r="1324" s="82" customFormat="1" x14ac:dyDescent="0.25"/>
    <row r="1325" s="82" customFormat="1" x14ac:dyDescent="0.25"/>
    <row r="1326" s="82" customFormat="1" x14ac:dyDescent="0.25"/>
    <row r="1327" s="82" customFormat="1" x14ac:dyDescent="0.25"/>
    <row r="1328" s="82" customFormat="1" x14ac:dyDescent="0.25"/>
    <row r="1329" s="82" customFormat="1" x14ac:dyDescent="0.25"/>
    <row r="1330" s="82" customFormat="1" x14ac:dyDescent="0.25"/>
    <row r="1331" s="82" customFormat="1" x14ac:dyDescent="0.25"/>
    <row r="1332" s="82" customFormat="1" x14ac:dyDescent="0.25"/>
    <row r="1333" s="82" customFormat="1" x14ac:dyDescent="0.25"/>
    <row r="1334" s="82" customFormat="1" x14ac:dyDescent="0.25"/>
    <row r="1335" s="82" customFormat="1" x14ac:dyDescent="0.25"/>
    <row r="1336" s="82" customFormat="1" x14ac:dyDescent="0.25"/>
    <row r="1337" s="82" customFormat="1" x14ac:dyDescent="0.25"/>
    <row r="1338" s="82" customFormat="1" x14ac:dyDescent="0.25"/>
    <row r="1339" s="82" customFormat="1" x14ac:dyDescent="0.25"/>
    <row r="1340" s="82" customFormat="1" x14ac:dyDescent="0.25"/>
    <row r="1341" s="82" customFormat="1" x14ac:dyDescent="0.25"/>
    <row r="1342" s="82" customFormat="1" x14ac:dyDescent="0.25"/>
    <row r="1343" s="82" customFormat="1" x14ac:dyDescent="0.25"/>
    <row r="1344" s="82" customFormat="1" x14ac:dyDescent="0.25"/>
    <row r="1345" s="82" customFormat="1" x14ac:dyDescent="0.25"/>
    <row r="1346" s="82" customFormat="1" x14ac:dyDescent="0.25"/>
    <row r="1347" s="82" customFormat="1" x14ac:dyDescent="0.25"/>
    <row r="1348" s="82" customFormat="1" x14ac:dyDescent="0.25"/>
    <row r="1349" s="82" customFormat="1" x14ac:dyDescent="0.25"/>
    <row r="1350" s="82" customFormat="1" x14ac:dyDescent="0.25"/>
    <row r="1351" s="82" customFormat="1" x14ac:dyDescent="0.25"/>
    <row r="1352" s="82" customFormat="1" x14ac:dyDescent="0.25"/>
    <row r="1353" s="82" customFormat="1" x14ac:dyDescent="0.25"/>
    <row r="1354" s="82" customFormat="1" x14ac:dyDescent="0.25"/>
    <row r="1355" s="82" customFormat="1" x14ac:dyDescent="0.25"/>
    <row r="1356" s="82" customFormat="1" x14ac:dyDescent="0.25"/>
    <row r="1357" s="82" customFormat="1" x14ac:dyDescent="0.25"/>
    <row r="1358" s="82" customFormat="1" x14ac:dyDescent="0.25"/>
    <row r="1359" s="82" customFormat="1" x14ac:dyDescent="0.25"/>
    <row r="1360" s="82" customFormat="1" x14ac:dyDescent="0.25"/>
    <row r="1361" s="82" customFormat="1" x14ac:dyDescent="0.25"/>
    <row r="1362" s="82" customFormat="1" x14ac:dyDescent="0.25"/>
    <row r="1363" s="82" customFormat="1" x14ac:dyDescent="0.25"/>
    <row r="1364" s="82" customFormat="1" x14ac:dyDescent="0.25"/>
    <row r="1365" s="82" customFormat="1" x14ac:dyDescent="0.25"/>
    <row r="1366" s="82" customFormat="1" x14ac:dyDescent="0.25"/>
    <row r="1367" s="82" customFormat="1" x14ac:dyDescent="0.25"/>
    <row r="1368" s="82" customFormat="1" x14ac:dyDescent="0.25"/>
    <row r="1369" s="82" customFormat="1" x14ac:dyDescent="0.25"/>
    <row r="1370" s="82" customFormat="1" x14ac:dyDescent="0.25"/>
    <row r="1371" s="82" customFormat="1" x14ac:dyDescent="0.25"/>
    <row r="1372" s="82" customFormat="1" x14ac:dyDescent="0.25"/>
    <row r="1373" s="82" customFormat="1" x14ac:dyDescent="0.25"/>
    <row r="1374" s="82" customFormat="1" x14ac:dyDescent="0.25"/>
    <row r="1375" s="82" customFormat="1" x14ac:dyDescent="0.25"/>
    <row r="1376" s="82" customFormat="1" x14ac:dyDescent="0.25"/>
    <row r="1377" s="82" customFormat="1" x14ac:dyDescent="0.25"/>
    <row r="1378" s="82" customFormat="1" x14ac:dyDescent="0.25"/>
    <row r="1379" s="82" customFormat="1" x14ac:dyDescent="0.25"/>
    <row r="1380" s="82" customFormat="1" x14ac:dyDescent="0.25"/>
    <row r="1381" s="82" customFormat="1" x14ac:dyDescent="0.25"/>
    <row r="1382" s="82" customFormat="1" x14ac:dyDescent="0.25"/>
    <row r="1383" s="82" customFormat="1" x14ac:dyDescent="0.25"/>
    <row r="1384" s="82" customFormat="1" x14ac:dyDescent="0.25"/>
    <row r="1385" s="82" customFormat="1" x14ac:dyDescent="0.25"/>
    <row r="1386" s="82" customFormat="1" x14ac:dyDescent="0.25"/>
    <row r="1387" s="82" customFormat="1" x14ac:dyDescent="0.25"/>
    <row r="1388" s="82" customFormat="1" x14ac:dyDescent="0.25"/>
    <row r="1389" s="82" customFormat="1" x14ac:dyDescent="0.25"/>
    <row r="1390" s="82" customFormat="1" x14ac:dyDescent="0.25"/>
    <row r="1391" s="82" customFormat="1" x14ac:dyDescent="0.25"/>
    <row r="1392" s="82" customFormat="1" x14ac:dyDescent="0.25"/>
    <row r="1393" s="82" customFormat="1" x14ac:dyDescent="0.25"/>
    <row r="1394" s="82" customFormat="1" x14ac:dyDescent="0.25"/>
    <row r="1395" s="82" customFormat="1" x14ac:dyDescent="0.25"/>
    <row r="1396" s="82" customFormat="1" x14ac:dyDescent="0.25"/>
    <row r="1397" s="82" customFormat="1" x14ac:dyDescent="0.25"/>
    <row r="1398" s="82" customFormat="1" x14ac:dyDescent="0.25"/>
    <row r="1399" s="82" customFormat="1" x14ac:dyDescent="0.25"/>
    <row r="1400" s="82" customFormat="1" x14ac:dyDescent="0.25"/>
    <row r="1401" s="82" customFormat="1" x14ac:dyDescent="0.25"/>
    <row r="1402" s="82" customFormat="1" x14ac:dyDescent="0.25"/>
    <row r="1403" s="82" customFormat="1" x14ac:dyDescent="0.25"/>
    <row r="1404" s="82" customFormat="1" x14ac:dyDescent="0.25"/>
    <row r="1405" s="82" customFormat="1" x14ac:dyDescent="0.25"/>
    <row r="1406" s="82" customFormat="1" x14ac:dyDescent="0.25"/>
    <row r="1407" s="82" customFormat="1" x14ac:dyDescent="0.25"/>
    <row r="1408" s="82" customFormat="1" x14ac:dyDescent="0.25"/>
    <row r="1409" s="82" customFormat="1" x14ac:dyDescent="0.25"/>
    <row r="1410" s="82" customFormat="1" x14ac:dyDescent="0.25"/>
    <row r="1411" s="82" customFormat="1" x14ac:dyDescent="0.25"/>
    <row r="1412" s="82" customFormat="1" x14ac:dyDescent="0.25"/>
    <row r="1413" s="82" customFormat="1" x14ac:dyDescent="0.25"/>
    <row r="1414" s="82" customFormat="1" x14ac:dyDescent="0.25"/>
    <row r="1415" s="82" customFormat="1" x14ac:dyDescent="0.25"/>
    <row r="1416" s="82" customFormat="1" x14ac:dyDescent="0.25"/>
    <row r="1417" s="82" customFormat="1" x14ac:dyDescent="0.25"/>
    <row r="1418" s="82" customFormat="1" x14ac:dyDescent="0.25"/>
    <row r="1419" s="82" customFormat="1" x14ac:dyDescent="0.25"/>
    <row r="1420" s="82" customFormat="1" x14ac:dyDescent="0.25"/>
    <row r="1421" s="82" customFormat="1" x14ac:dyDescent="0.25"/>
    <row r="1422" s="82" customFormat="1" x14ac:dyDescent="0.25"/>
    <row r="1423" s="82" customFormat="1" x14ac:dyDescent="0.25"/>
    <row r="1424" s="82" customFormat="1" x14ac:dyDescent="0.25"/>
    <row r="1425" spans="3:5" s="82" customFormat="1" x14ac:dyDescent="0.25"/>
    <row r="1426" spans="3:5" s="82" customFormat="1" x14ac:dyDescent="0.25"/>
    <row r="1427" spans="3:5" s="82" customFormat="1" x14ac:dyDescent="0.25"/>
    <row r="1428" spans="3:5" s="82" customFormat="1" x14ac:dyDescent="0.25">
      <c r="C1428"/>
      <c r="D1428"/>
      <c r="E1428"/>
    </row>
    <row r="1429" spans="3:5" s="82" customFormat="1" x14ac:dyDescent="0.25">
      <c r="C1429"/>
      <c r="D1429"/>
      <c r="E1429"/>
    </row>
  </sheetData>
  <sheetProtection algorithmName="SHA-512" hashValue="8CObIau7+ZjHOI+yJ03pTOfqE4QBolaBNyqZMG29jNoPF0L6TBjJ4L7oYASBc89PbLtRvAG7jTO6W96du6BsqA==" saltValue="lGEeId/irK2w+F4XMj5UuA==" spinCount="100000" sheet="1" selectLockedCells="1"/>
  <mergeCells count="20">
    <mergeCell ref="N5:R5"/>
    <mergeCell ref="U5:V5"/>
    <mergeCell ref="J56:T56"/>
    <mergeCell ref="B2:AO2"/>
    <mergeCell ref="B3:C3"/>
    <mergeCell ref="J19:T19"/>
    <mergeCell ref="J31:T31"/>
    <mergeCell ref="J41:T41"/>
    <mergeCell ref="D3:I4"/>
    <mergeCell ref="W5:X5"/>
    <mergeCell ref="Y5:AA5"/>
    <mergeCell ref="AB5:AC5"/>
    <mergeCell ref="AD5:AE5"/>
    <mergeCell ref="AF5:AI5"/>
    <mergeCell ref="J88:T88"/>
    <mergeCell ref="J103:T103"/>
    <mergeCell ref="J117:T117"/>
    <mergeCell ref="J132:T132"/>
    <mergeCell ref="J70:T70"/>
    <mergeCell ref="J80:T80"/>
  </mergeCells>
  <conditionalFormatting sqref="AM8:AO15">
    <cfRule type="expression" dxfId="10" priority="5">
      <formula>IF($AO8="DNQ", TRUE, FALSE)</formula>
    </cfRule>
  </conditionalFormatting>
  <dataValidations count="3">
    <dataValidation type="list" allowBlank="1" showInputMessage="1" showErrorMessage="1" sqref="I8:I15" xr:uid="{00000000-0002-0000-0400-000000000000}">
      <formula1>$C$23:$C$26</formula1>
    </dataValidation>
    <dataValidation type="list" allowBlank="1" showInputMessage="1" showErrorMessage="1" sqref="D8:D15" xr:uid="{00000000-0002-0000-0400-000001000000}">
      <formula1>$C$34:$C$35</formula1>
    </dataValidation>
    <dataValidation type="list" allowBlank="1" showInputMessage="1" showErrorMessage="1" sqref="J8:J15" xr:uid="{56E154E4-D026-49EB-9A55-AADD230FB460}">
      <formula1>$C$41:$C$42</formula1>
    </dataValidation>
  </dataValidations>
  <hyperlinks>
    <hyperlink ref="B3" location="'Calculator Index'!A1" display="Return to Index" xr:uid="{00000000-0004-0000-0400-000000000000}"/>
    <hyperlink ref="B3:C3" location="'Project Summary'!A1" display="Return to Project Summary" xr:uid="{00000000-0004-0000-0400-000001000000}"/>
  </hyperlink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Z1347"/>
  <sheetViews>
    <sheetView zoomScale="90" zoomScaleNormal="90" workbookViewId="0">
      <selection activeCell="D8" sqref="D8:J8"/>
    </sheetView>
  </sheetViews>
  <sheetFormatPr defaultRowHeight="15" x14ac:dyDescent="0.25"/>
  <cols>
    <col min="1" max="1" width="3.7109375" customWidth="1"/>
    <col min="2" max="2" width="6.5703125" customWidth="1"/>
    <col min="3" max="3" width="20.28515625" customWidth="1"/>
    <col min="4" max="5" width="18.42578125" customWidth="1"/>
    <col min="6" max="8" width="23" customWidth="1"/>
    <col min="9" max="10" width="12.140625" customWidth="1"/>
    <col min="11" max="12" width="12.140625" hidden="1" customWidth="1"/>
    <col min="13" max="13" width="10.85546875" hidden="1" customWidth="1"/>
    <col min="14" max="15" width="10.42578125" hidden="1" customWidth="1"/>
    <col min="16" max="16" width="18.42578125" hidden="1" customWidth="1"/>
    <col min="17" max="17" width="11.140625" hidden="1" customWidth="1"/>
    <col min="18" max="18" width="12.42578125" hidden="1" customWidth="1"/>
    <col min="19" max="20" width="11.28515625" hidden="1" customWidth="1"/>
    <col min="21" max="21" width="9.7109375" hidden="1" customWidth="1"/>
    <col min="22" max="22" width="11.85546875" hidden="1" customWidth="1"/>
    <col min="23" max="23" width="12.140625" hidden="1" customWidth="1"/>
    <col min="24" max="25" width="11.5703125" hidden="1" customWidth="1"/>
    <col min="26" max="27" width="15.28515625" hidden="1" customWidth="1"/>
    <col min="28" max="28" width="16.42578125" hidden="1" customWidth="1"/>
    <col min="29" max="29" width="17.140625" hidden="1" customWidth="1"/>
    <col min="30" max="31" width="17" customWidth="1"/>
    <col min="32" max="32" width="13.7109375" customWidth="1"/>
    <col min="33" max="34" width="26.140625" hidden="1" customWidth="1"/>
    <col min="35" max="35" width="32.140625" hidden="1" customWidth="1"/>
    <col min="36" max="36" width="8" customWidth="1"/>
    <col min="37" max="156" width="9.140625" style="82"/>
  </cols>
  <sheetData>
    <row r="1" spans="1:156" ht="19.5" customHeight="1" x14ac:dyDescent="0.25">
      <c r="A1" s="38"/>
      <c r="B1" s="38"/>
      <c r="C1" s="38"/>
      <c r="D1" s="38"/>
      <c r="E1" s="38"/>
      <c r="F1" s="38"/>
      <c r="G1" s="38"/>
      <c r="H1" s="38"/>
      <c r="I1" s="38"/>
      <c r="J1" s="38"/>
      <c r="K1" s="27"/>
      <c r="L1" s="27"/>
      <c r="M1" s="27"/>
      <c r="N1" s="27"/>
      <c r="O1" s="27"/>
      <c r="P1" s="27"/>
      <c r="Q1" s="27"/>
      <c r="R1" s="27"/>
      <c r="S1" s="27"/>
      <c r="T1" s="27"/>
      <c r="U1" s="27"/>
      <c r="V1" s="27"/>
      <c r="W1" s="27"/>
      <c r="X1" s="27"/>
      <c r="Y1" s="27"/>
      <c r="Z1" s="27"/>
      <c r="AA1" s="27"/>
      <c r="AB1" s="27"/>
      <c r="AC1" s="27"/>
      <c r="AD1" s="38"/>
      <c r="AE1" s="38"/>
      <c r="AF1" s="38"/>
      <c r="AG1" s="27" t="s">
        <v>335</v>
      </c>
      <c r="AH1" s="27"/>
      <c r="AI1" s="27" t="s">
        <v>435</v>
      </c>
      <c r="AJ1" s="83"/>
    </row>
    <row r="2" spans="1:156" ht="27" customHeight="1" x14ac:dyDescent="0.25">
      <c r="A2" s="38"/>
      <c r="B2" s="530" t="s">
        <v>436</v>
      </c>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27"/>
      <c r="AH2" s="27"/>
      <c r="AI2" s="27"/>
      <c r="AJ2" s="83"/>
    </row>
    <row r="3" spans="1:156" ht="23.25" customHeight="1" x14ac:dyDescent="0.25">
      <c r="A3" s="38"/>
      <c r="B3" s="505" t="s">
        <v>79</v>
      </c>
      <c r="C3" s="506"/>
      <c r="D3" s="513" t="s">
        <v>437</v>
      </c>
      <c r="E3" s="513"/>
      <c r="F3" s="513"/>
      <c r="G3" s="513"/>
      <c r="H3" s="513"/>
      <c r="I3" s="513"/>
      <c r="J3" s="38"/>
      <c r="K3" s="27"/>
      <c r="L3" s="27"/>
      <c r="M3" s="27"/>
      <c r="N3" s="27"/>
      <c r="O3" s="27"/>
      <c r="P3" s="27"/>
      <c r="Q3" s="27"/>
      <c r="R3" s="27"/>
      <c r="S3" s="27"/>
      <c r="T3" s="27"/>
      <c r="U3" s="27"/>
      <c r="V3" s="27"/>
      <c r="W3" s="27"/>
      <c r="X3" s="27"/>
      <c r="Y3" s="27"/>
      <c r="Z3" s="27"/>
      <c r="AA3" s="27"/>
      <c r="AB3" s="27"/>
      <c r="AC3" s="27"/>
      <c r="AD3" s="38"/>
      <c r="AE3" s="38"/>
      <c r="AF3" s="38"/>
      <c r="AG3" s="27"/>
      <c r="AH3" s="27"/>
      <c r="AI3" s="27"/>
      <c r="AJ3" s="83"/>
    </row>
    <row r="4" spans="1:156" ht="23.25" customHeight="1" x14ac:dyDescent="0.25">
      <c r="A4" s="38"/>
      <c r="B4" s="38"/>
      <c r="C4" s="38"/>
      <c r="D4" s="513"/>
      <c r="E4" s="513"/>
      <c r="F4" s="513"/>
      <c r="G4" s="513"/>
      <c r="H4" s="513"/>
      <c r="I4" s="513"/>
      <c r="J4" s="38"/>
      <c r="K4" s="27"/>
      <c r="L4" s="27"/>
      <c r="M4" s="27"/>
      <c r="N4" s="27"/>
      <c r="O4" s="27"/>
      <c r="P4" s="27"/>
      <c r="Q4" s="27"/>
      <c r="R4" s="27"/>
      <c r="S4" s="27"/>
      <c r="T4" s="27"/>
      <c r="U4" s="27"/>
      <c r="V4" s="27"/>
      <c r="W4" s="27"/>
      <c r="X4" s="27"/>
      <c r="Y4" s="27"/>
      <c r="Z4" s="27"/>
      <c r="AA4" s="27"/>
      <c r="AB4" s="27"/>
      <c r="AC4" s="27"/>
      <c r="AD4" s="38"/>
      <c r="AE4" s="38"/>
      <c r="AF4" s="38"/>
      <c r="AG4" s="27"/>
      <c r="AH4" s="27"/>
      <c r="AI4" s="27"/>
      <c r="AJ4" s="83"/>
    </row>
    <row r="5" spans="1:156" ht="12.75" customHeight="1" x14ac:dyDescent="0.25">
      <c r="A5" s="38"/>
      <c r="B5" s="38"/>
      <c r="C5" s="38"/>
      <c r="D5" s="38"/>
      <c r="E5" s="38"/>
      <c r="F5" s="38"/>
      <c r="G5" s="38"/>
      <c r="H5" s="38"/>
      <c r="I5" s="38"/>
      <c r="J5" s="38"/>
      <c r="K5" s="27"/>
      <c r="L5" s="27"/>
      <c r="M5" s="27"/>
      <c r="N5" s="27"/>
      <c r="O5" s="27"/>
      <c r="P5" s="27"/>
      <c r="Q5" s="27"/>
      <c r="R5" s="27"/>
      <c r="S5" s="27"/>
      <c r="T5" s="27"/>
      <c r="U5" s="27"/>
      <c r="V5" s="27"/>
      <c r="W5" s="27"/>
      <c r="X5" s="27"/>
      <c r="Y5" s="27"/>
      <c r="Z5" s="27"/>
      <c r="AA5" s="27"/>
      <c r="AB5" s="27"/>
      <c r="AC5" s="27"/>
      <c r="AD5" s="38"/>
      <c r="AE5" s="38"/>
      <c r="AF5" s="38"/>
      <c r="AG5" s="27"/>
      <c r="AH5" s="27"/>
      <c r="AI5" s="27"/>
      <c r="AJ5" s="83"/>
    </row>
    <row r="6" spans="1:156" ht="36" customHeight="1" x14ac:dyDescent="0.25">
      <c r="A6" s="38"/>
      <c r="B6" s="152" t="s">
        <v>194</v>
      </c>
      <c r="C6" s="152" t="s">
        <v>82</v>
      </c>
      <c r="D6" s="153" t="s">
        <v>83</v>
      </c>
      <c r="E6" s="153" t="s">
        <v>438</v>
      </c>
      <c r="F6" s="153" t="s">
        <v>86</v>
      </c>
      <c r="G6" s="153" t="s">
        <v>87</v>
      </c>
      <c r="H6" s="153" t="s">
        <v>195</v>
      </c>
      <c r="I6" s="153" t="s">
        <v>439</v>
      </c>
      <c r="J6" s="153" t="s">
        <v>51</v>
      </c>
      <c r="K6" s="153" t="s">
        <v>439</v>
      </c>
      <c r="L6" s="153" t="s">
        <v>440</v>
      </c>
      <c r="M6" s="153" t="s">
        <v>441</v>
      </c>
      <c r="N6" s="153" t="s">
        <v>442</v>
      </c>
      <c r="O6" s="153" t="s">
        <v>443</v>
      </c>
      <c r="P6" s="153" t="s">
        <v>444</v>
      </c>
      <c r="Q6" s="153" t="s">
        <v>445</v>
      </c>
      <c r="R6" s="153" t="s">
        <v>446</v>
      </c>
      <c r="S6" s="153" t="s">
        <v>447</v>
      </c>
      <c r="T6" s="153" t="s">
        <v>448</v>
      </c>
      <c r="U6" s="153" t="s">
        <v>449</v>
      </c>
      <c r="V6" s="153" t="s">
        <v>450</v>
      </c>
      <c r="W6" s="153" t="s">
        <v>451</v>
      </c>
      <c r="X6" s="153" t="s">
        <v>452</v>
      </c>
      <c r="Y6" s="153" t="s">
        <v>453</v>
      </c>
      <c r="Z6" s="153" t="s">
        <v>454</v>
      </c>
      <c r="AA6" s="153" t="s">
        <v>455</v>
      </c>
      <c r="AB6" s="153" t="s">
        <v>456</v>
      </c>
      <c r="AC6" s="153" t="s">
        <v>215</v>
      </c>
      <c r="AD6" s="153" t="s">
        <v>52</v>
      </c>
      <c r="AE6" s="153" t="s">
        <v>53</v>
      </c>
      <c r="AF6" s="153" t="s">
        <v>54</v>
      </c>
      <c r="AG6" s="154" t="s">
        <v>97</v>
      </c>
      <c r="AH6" s="251" t="s">
        <v>217</v>
      </c>
      <c r="AI6" s="251" t="s">
        <v>71</v>
      </c>
      <c r="AJ6" s="83"/>
    </row>
    <row r="7" spans="1:156" s="266" customFormat="1" ht="20.25" hidden="1" customHeight="1" x14ac:dyDescent="0.25">
      <c r="A7" s="263"/>
      <c r="B7" s="246" t="s">
        <v>100</v>
      </c>
      <c r="C7" s="246"/>
      <c r="D7" s="245" t="s">
        <v>102</v>
      </c>
      <c r="E7" s="245" t="s">
        <v>103</v>
      </c>
      <c r="F7" s="245" t="s">
        <v>104</v>
      </c>
      <c r="G7" s="245" t="s">
        <v>105</v>
      </c>
      <c r="H7" s="245" t="s">
        <v>218</v>
      </c>
      <c r="I7" s="245" t="s">
        <v>457</v>
      </c>
      <c r="J7" s="245" t="s">
        <v>51</v>
      </c>
      <c r="K7" s="245"/>
      <c r="L7" s="245"/>
      <c r="M7" s="245"/>
      <c r="N7" s="245"/>
      <c r="O7" s="245"/>
      <c r="P7" s="245"/>
      <c r="Q7" s="245"/>
      <c r="R7" s="245"/>
      <c r="S7" s="245"/>
      <c r="T7" s="245"/>
      <c r="U7" s="245"/>
      <c r="V7" s="245"/>
      <c r="W7" s="245"/>
      <c r="X7" s="245"/>
      <c r="Y7" s="245"/>
      <c r="Z7" s="245"/>
      <c r="AA7" s="245"/>
      <c r="AB7" s="245"/>
      <c r="AC7" s="245" t="s">
        <v>108</v>
      </c>
      <c r="AD7" s="245" t="s">
        <v>109</v>
      </c>
      <c r="AE7" s="245" t="s">
        <v>110</v>
      </c>
      <c r="AF7" s="245" t="s">
        <v>111</v>
      </c>
      <c r="AG7" s="252" t="s">
        <v>112</v>
      </c>
      <c r="AH7" s="252" t="s">
        <v>114</v>
      </c>
      <c r="AI7" s="252" t="s">
        <v>113</v>
      </c>
      <c r="AJ7" s="264"/>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265"/>
      <c r="DB7" s="265"/>
      <c r="DC7" s="265"/>
      <c r="DD7" s="265"/>
      <c r="DE7" s="265"/>
      <c r="DF7" s="265"/>
      <c r="DG7" s="265"/>
      <c r="DH7" s="265"/>
      <c r="DI7" s="265"/>
      <c r="DJ7" s="265"/>
      <c r="DK7" s="265"/>
      <c r="DL7" s="265"/>
      <c r="DM7" s="265"/>
      <c r="DN7" s="265"/>
      <c r="DO7" s="265"/>
      <c r="DP7" s="265"/>
      <c r="DQ7" s="265"/>
      <c r="DR7" s="265"/>
      <c r="DS7" s="265"/>
      <c r="DT7" s="265"/>
      <c r="DU7" s="265"/>
      <c r="DV7" s="265"/>
      <c r="DW7" s="265"/>
      <c r="DX7" s="265"/>
      <c r="DY7" s="265"/>
      <c r="DZ7" s="265"/>
      <c r="EA7" s="265"/>
      <c r="EB7" s="265"/>
      <c r="EC7" s="265"/>
      <c r="ED7" s="265"/>
      <c r="EE7" s="265"/>
      <c r="EF7" s="265"/>
      <c r="EG7" s="265"/>
      <c r="EH7" s="265"/>
      <c r="EI7" s="265"/>
      <c r="EJ7" s="265"/>
      <c r="EK7" s="265"/>
      <c r="EL7" s="265"/>
      <c r="EM7" s="265"/>
      <c r="EN7" s="265"/>
      <c r="EO7" s="265"/>
      <c r="EP7" s="265"/>
      <c r="EQ7" s="265"/>
      <c r="ER7" s="265"/>
      <c r="ES7" s="265"/>
      <c r="ET7" s="265"/>
      <c r="EU7" s="265"/>
      <c r="EV7" s="265"/>
      <c r="EW7" s="265"/>
      <c r="EX7" s="265"/>
      <c r="EY7" s="265"/>
      <c r="EZ7" s="265"/>
    </row>
    <row r="8" spans="1:156" ht="21" customHeight="1" x14ac:dyDescent="0.25">
      <c r="A8" s="38"/>
      <c r="B8" s="220">
        <v>1</v>
      </c>
      <c r="C8" s="9" t="s">
        <v>62</v>
      </c>
      <c r="D8" s="41"/>
      <c r="E8" s="262"/>
      <c r="F8" s="41"/>
      <c r="G8" s="11"/>
      <c r="H8" s="11"/>
      <c r="I8" s="41"/>
      <c r="J8" s="11"/>
      <c r="K8" s="18" t="str">
        <f>IF(I8&lt;15, $D$20, $D$21)</f>
        <v>less than 15</v>
      </c>
      <c r="L8" s="18">
        <f>IF(K8=$U$20, $V$20, IF(K8=$U$21, $V$21, "NA"))</f>
        <v>200</v>
      </c>
      <c r="M8" s="92">
        <f t="shared" ref="M8:M15" si="0">IF(K8=$D$20, $E$20, $E$21)</f>
        <v>1.32</v>
      </c>
      <c r="N8" s="92">
        <f t="shared" ref="N8:N15" si="1">IF(K8=$D$20, $F$20, $F$21)</f>
        <v>5.26</v>
      </c>
      <c r="O8" s="98">
        <f t="shared" ref="O8:O15" si="2">IF(K8=$D$22, $E$22, $E$23)</f>
        <v>0.72</v>
      </c>
      <c r="P8" s="98">
        <f t="shared" ref="P8:P15" si="3">IF(K8=$D$22, $F$22, $F$23)</f>
        <v>0.49</v>
      </c>
      <c r="Q8" s="99">
        <f t="shared" ref="Q8:Q15" si="4">IF(K8=$D$24, $E$24, $E$25)</f>
        <v>79</v>
      </c>
      <c r="R8" s="99">
        <f t="shared" ref="R8:R15" si="5">IF(K8=$D$24, $F$24, $F$25)</f>
        <v>126</v>
      </c>
      <c r="S8" s="92">
        <f xml:space="preserve"> (0.08*I8)+0.4989</f>
        <v>0.49890000000000001</v>
      </c>
      <c r="T8" s="92">
        <f>(0.133*I8)+0.64</f>
        <v>0.64</v>
      </c>
      <c r="U8" s="92">
        <f t="shared" ref="U8:U15" si="6">IF(K8=$D$22, $G$22, $G$23)</f>
        <v>0.76</v>
      </c>
      <c r="V8" s="92">
        <f t="shared" ref="V8:V15" si="7">IF(K8=$D$22, $H$22, $H$23)</f>
        <v>0.55000000000000004</v>
      </c>
      <c r="W8" s="99">
        <f t="shared" ref="W8:W15" si="8">IF(K8=$D$24, $G$24, $G$25)</f>
        <v>119</v>
      </c>
      <c r="X8" s="99">
        <f t="shared" ref="X8:X15" si="9">IF(K8=$D$24, $H$24, $H$25)</f>
        <v>177</v>
      </c>
      <c r="Y8" s="100">
        <f>((L8*$O$20/O8)+M8*(($M$20)-L8/Q8)*$Q$20)*$N$20</f>
        <v>9702.5932489451479</v>
      </c>
      <c r="Z8" s="100">
        <f>((L8*$P$20/P8)+N8*($M$20-L8/R8)*(1-$Q$20))*$N$20</f>
        <v>14584.241269841268</v>
      </c>
      <c r="AA8" s="100">
        <f>((L8*$O$20/U8)+S8*($M$20-L8/W8)*$Q$20)*$N$20</f>
        <v>7970.6196819991155</v>
      </c>
      <c r="AB8" s="100">
        <f>((L8*$P$20/V8)+T8*($M$20-L8/X8)*(1-$Q$20))*$N$20</f>
        <v>5357.6225988700562</v>
      </c>
      <c r="AC8" s="100" t="str">
        <f t="shared" ref="AC8:AC15" si="10">IF(D8="", "",ROUND(((AE8/($M$20*$N$20))*J8),6))</f>
        <v/>
      </c>
      <c r="AD8" s="416" t="str">
        <f t="shared" ref="AD8:AD15" si="11">IF(D8="", "", ROUND(((AE8/($M$20*$N$20)*$R$20)*J8),6))</f>
        <v/>
      </c>
      <c r="AE8" s="416" t="str">
        <f t="shared" ref="AE8:AE15" si="12">IF(D8="", "",ROUND((SUM(Y8:Z8)-SUM(AA8:AB8)),6)*J8)</f>
        <v/>
      </c>
      <c r="AF8" s="39" t="str">
        <f>IF(OR(I8="", J8=""), "", J8*$M$24)</f>
        <v/>
      </c>
      <c r="AG8" s="56"/>
      <c r="AH8" s="56" t="str">
        <f>IF(AE8&gt;0,"Yes","No")</f>
        <v>Yes</v>
      </c>
      <c r="AI8" t="s">
        <v>458</v>
      </c>
      <c r="AJ8" s="83"/>
    </row>
    <row r="9" spans="1:156" ht="21" customHeight="1" x14ac:dyDescent="0.25">
      <c r="A9" s="38"/>
      <c r="B9" s="220">
        <v>2</v>
      </c>
      <c r="C9" s="9" t="s">
        <v>62</v>
      </c>
      <c r="D9" s="41"/>
      <c r="E9" s="262"/>
      <c r="F9" s="41"/>
      <c r="G9" s="11"/>
      <c r="H9" s="11"/>
      <c r="I9" s="41"/>
      <c r="J9" s="11"/>
      <c r="K9" s="18" t="str">
        <f t="shared" ref="K9:K15" si="13">IF(I9&lt;15, $D$20, $D$21)</f>
        <v>less than 15</v>
      </c>
      <c r="L9" s="18">
        <f t="shared" ref="L9:L15" si="14">IF(K9=$U$20, $V$20, IF(K9=$U$21, $V$21, "NA"))</f>
        <v>200</v>
      </c>
      <c r="M9" s="92">
        <f t="shared" si="0"/>
        <v>1.32</v>
      </c>
      <c r="N9" s="92">
        <f t="shared" si="1"/>
        <v>5.26</v>
      </c>
      <c r="O9" s="98">
        <f t="shared" si="2"/>
        <v>0.72</v>
      </c>
      <c r="P9" s="98">
        <f t="shared" si="3"/>
        <v>0.49</v>
      </c>
      <c r="Q9" s="99">
        <f t="shared" si="4"/>
        <v>79</v>
      </c>
      <c r="R9" s="99">
        <f t="shared" si="5"/>
        <v>126</v>
      </c>
      <c r="S9" s="92">
        <f t="shared" ref="S9:S15" si="15" xml:space="preserve"> (0.08*I9)+0.4989</f>
        <v>0.49890000000000001</v>
      </c>
      <c r="T9" s="92">
        <f t="shared" ref="T9:T15" si="16">(0.133*I9)+0.64</f>
        <v>0.64</v>
      </c>
      <c r="U9" s="92">
        <f t="shared" si="6"/>
        <v>0.76</v>
      </c>
      <c r="V9" s="92">
        <f t="shared" si="7"/>
        <v>0.55000000000000004</v>
      </c>
      <c r="W9" s="99">
        <f t="shared" si="8"/>
        <v>119</v>
      </c>
      <c r="X9" s="99">
        <f t="shared" si="9"/>
        <v>177</v>
      </c>
      <c r="Y9" s="100">
        <f t="shared" ref="Y9:Y15" si="17">((L9*$O$20/O9)+M9*(($M$20)-L9/Q9)*$Q$20)*$N$20</f>
        <v>9702.5932489451479</v>
      </c>
      <c r="Z9" s="100">
        <f t="shared" ref="Z9:Z15" si="18">((L9*$P$20/P9)+N9*($M$20-L9/R9)*(1-$Q$20))*$N$20</f>
        <v>14584.241269841268</v>
      </c>
      <c r="AA9" s="100">
        <f t="shared" ref="AA9:AA15" si="19">((L9*$O$20/U9)+S9*($M$20-L9/W9)*$Q$20)*$N$20</f>
        <v>7970.6196819991155</v>
      </c>
      <c r="AB9" s="100">
        <f t="shared" ref="AB9:AB15" si="20">((L9*$P$20/V9)+T9*($M$20-L9/X9)*(1-$Q$20))*$N$20</f>
        <v>5357.6225988700562</v>
      </c>
      <c r="AC9" s="100" t="str">
        <f t="shared" si="10"/>
        <v/>
      </c>
      <c r="AD9" s="416" t="str">
        <f t="shared" si="11"/>
        <v/>
      </c>
      <c r="AE9" s="416" t="str">
        <f t="shared" si="12"/>
        <v/>
      </c>
      <c r="AF9" s="39" t="str">
        <f t="shared" ref="AF9:AF15" si="21">IF(OR(I9="", J9=""), "", J9*$M$24)</f>
        <v/>
      </c>
      <c r="AG9" s="56"/>
      <c r="AH9" s="56" t="str">
        <f t="shared" ref="AH9:AH15" si="22">IF(AE9&gt;0,"Yes","No")</f>
        <v>Yes</v>
      </c>
      <c r="AI9" t="s">
        <v>458</v>
      </c>
      <c r="AJ9" s="83"/>
    </row>
    <row r="10" spans="1:156" ht="21" customHeight="1" x14ac:dyDescent="0.25">
      <c r="A10" s="38"/>
      <c r="B10" s="220">
        <v>3</v>
      </c>
      <c r="C10" s="9" t="s">
        <v>62</v>
      </c>
      <c r="D10" s="41"/>
      <c r="E10" s="262"/>
      <c r="F10" s="41"/>
      <c r="G10" s="11"/>
      <c r="H10" s="11"/>
      <c r="I10" s="41"/>
      <c r="J10" s="11"/>
      <c r="K10" s="18" t="str">
        <f t="shared" si="13"/>
        <v>less than 15</v>
      </c>
      <c r="L10" s="18">
        <f t="shared" si="14"/>
        <v>200</v>
      </c>
      <c r="M10" s="92">
        <f t="shared" si="0"/>
        <v>1.32</v>
      </c>
      <c r="N10" s="92">
        <f t="shared" si="1"/>
        <v>5.26</v>
      </c>
      <c r="O10" s="98">
        <f t="shared" si="2"/>
        <v>0.72</v>
      </c>
      <c r="P10" s="98">
        <f t="shared" si="3"/>
        <v>0.49</v>
      </c>
      <c r="Q10" s="99">
        <f t="shared" si="4"/>
        <v>79</v>
      </c>
      <c r="R10" s="99">
        <f t="shared" si="5"/>
        <v>126</v>
      </c>
      <c r="S10" s="92">
        <f t="shared" si="15"/>
        <v>0.49890000000000001</v>
      </c>
      <c r="T10" s="92">
        <f t="shared" si="16"/>
        <v>0.64</v>
      </c>
      <c r="U10" s="92">
        <f t="shared" si="6"/>
        <v>0.76</v>
      </c>
      <c r="V10" s="92">
        <f t="shared" si="7"/>
        <v>0.55000000000000004</v>
      </c>
      <c r="W10" s="99">
        <f t="shared" si="8"/>
        <v>119</v>
      </c>
      <c r="X10" s="99">
        <f t="shared" si="9"/>
        <v>177</v>
      </c>
      <c r="Y10" s="100">
        <f t="shared" si="17"/>
        <v>9702.5932489451479</v>
      </c>
      <c r="Z10" s="100">
        <f t="shared" si="18"/>
        <v>14584.241269841268</v>
      </c>
      <c r="AA10" s="100">
        <f t="shared" si="19"/>
        <v>7970.6196819991155</v>
      </c>
      <c r="AB10" s="100">
        <f t="shared" si="20"/>
        <v>5357.6225988700562</v>
      </c>
      <c r="AC10" s="100" t="str">
        <f t="shared" si="10"/>
        <v/>
      </c>
      <c r="AD10" s="416" t="str">
        <f t="shared" si="11"/>
        <v/>
      </c>
      <c r="AE10" s="416" t="str">
        <f t="shared" si="12"/>
        <v/>
      </c>
      <c r="AF10" s="39" t="str">
        <f t="shared" si="21"/>
        <v/>
      </c>
      <c r="AG10" s="56"/>
      <c r="AH10" s="56" t="str">
        <f t="shared" si="22"/>
        <v>Yes</v>
      </c>
      <c r="AI10" t="s">
        <v>458</v>
      </c>
      <c r="AJ10" s="83"/>
    </row>
    <row r="11" spans="1:156" ht="21" customHeight="1" x14ac:dyDescent="0.25">
      <c r="A11" s="38"/>
      <c r="B11" s="220">
        <v>4</v>
      </c>
      <c r="C11" s="9" t="s">
        <v>62</v>
      </c>
      <c r="D11" s="41"/>
      <c r="E11" s="262"/>
      <c r="F11" s="41"/>
      <c r="G11" s="11"/>
      <c r="H11" s="11"/>
      <c r="I11" s="41"/>
      <c r="J11" s="11"/>
      <c r="K11" s="18" t="str">
        <f t="shared" si="13"/>
        <v>less than 15</v>
      </c>
      <c r="L11" s="18">
        <f t="shared" si="14"/>
        <v>200</v>
      </c>
      <c r="M11" s="92">
        <f t="shared" si="0"/>
        <v>1.32</v>
      </c>
      <c r="N11" s="92">
        <f t="shared" si="1"/>
        <v>5.26</v>
      </c>
      <c r="O11" s="98">
        <f t="shared" si="2"/>
        <v>0.72</v>
      </c>
      <c r="P11" s="98">
        <f t="shared" si="3"/>
        <v>0.49</v>
      </c>
      <c r="Q11" s="99">
        <f t="shared" si="4"/>
        <v>79</v>
      </c>
      <c r="R11" s="99">
        <f t="shared" si="5"/>
        <v>126</v>
      </c>
      <c r="S11" s="92">
        <f t="shared" si="15"/>
        <v>0.49890000000000001</v>
      </c>
      <c r="T11" s="92">
        <f t="shared" si="16"/>
        <v>0.64</v>
      </c>
      <c r="U11" s="92">
        <f t="shared" si="6"/>
        <v>0.76</v>
      </c>
      <c r="V11" s="92">
        <f t="shared" si="7"/>
        <v>0.55000000000000004</v>
      </c>
      <c r="W11" s="99">
        <f t="shared" si="8"/>
        <v>119</v>
      </c>
      <c r="X11" s="99">
        <f t="shared" si="9"/>
        <v>177</v>
      </c>
      <c r="Y11" s="100">
        <f t="shared" si="17"/>
        <v>9702.5932489451479</v>
      </c>
      <c r="Z11" s="100">
        <f t="shared" si="18"/>
        <v>14584.241269841268</v>
      </c>
      <c r="AA11" s="100">
        <f t="shared" si="19"/>
        <v>7970.6196819991155</v>
      </c>
      <c r="AB11" s="100">
        <f t="shared" si="20"/>
        <v>5357.6225988700562</v>
      </c>
      <c r="AC11" s="100" t="str">
        <f t="shared" si="10"/>
        <v/>
      </c>
      <c r="AD11" s="416" t="str">
        <f t="shared" si="11"/>
        <v/>
      </c>
      <c r="AE11" s="416" t="str">
        <f t="shared" si="12"/>
        <v/>
      </c>
      <c r="AF11" s="39" t="str">
        <f t="shared" si="21"/>
        <v/>
      </c>
      <c r="AG11" s="56"/>
      <c r="AH11" s="56" t="str">
        <f t="shared" si="22"/>
        <v>Yes</v>
      </c>
      <c r="AI11" t="s">
        <v>458</v>
      </c>
      <c r="AJ11" s="83"/>
    </row>
    <row r="12" spans="1:156" ht="21" customHeight="1" x14ac:dyDescent="0.25">
      <c r="A12" s="38"/>
      <c r="B12" s="220">
        <v>5</v>
      </c>
      <c r="C12" s="9" t="s">
        <v>62</v>
      </c>
      <c r="D12" s="41"/>
      <c r="E12" s="262"/>
      <c r="F12" s="41"/>
      <c r="G12" s="11"/>
      <c r="H12" s="11"/>
      <c r="I12" s="41"/>
      <c r="J12" s="11"/>
      <c r="K12" s="18" t="str">
        <f t="shared" si="13"/>
        <v>less than 15</v>
      </c>
      <c r="L12" s="18">
        <f t="shared" si="14"/>
        <v>200</v>
      </c>
      <c r="M12" s="92">
        <f t="shared" si="0"/>
        <v>1.32</v>
      </c>
      <c r="N12" s="92">
        <f t="shared" si="1"/>
        <v>5.26</v>
      </c>
      <c r="O12" s="98">
        <f t="shared" si="2"/>
        <v>0.72</v>
      </c>
      <c r="P12" s="98">
        <f t="shared" si="3"/>
        <v>0.49</v>
      </c>
      <c r="Q12" s="99">
        <f t="shared" si="4"/>
        <v>79</v>
      </c>
      <c r="R12" s="99">
        <f t="shared" si="5"/>
        <v>126</v>
      </c>
      <c r="S12" s="92">
        <f t="shared" si="15"/>
        <v>0.49890000000000001</v>
      </c>
      <c r="T12" s="92">
        <f t="shared" si="16"/>
        <v>0.64</v>
      </c>
      <c r="U12" s="92">
        <f t="shared" si="6"/>
        <v>0.76</v>
      </c>
      <c r="V12" s="92">
        <f t="shared" si="7"/>
        <v>0.55000000000000004</v>
      </c>
      <c r="W12" s="99">
        <f t="shared" si="8"/>
        <v>119</v>
      </c>
      <c r="X12" s="99">
        <f t="shared" si="9"/>
        <v>177</v>
      </c>
      <c r="Y12" s="100">
        <f t="shared" si="17"/>
        <v>9702.5932489451479</v>
      </c>
      <c r="Z12" s="100">
        <f t="shared" si="18"/>
        <v>14584.241269841268</v>
      </c>
      <c r="AA12" s="100">
        <f t="shared" si="19"/>
        <v>7970.6196819991155</v>
      </c>
      <c r="AB12" s="100">
        <f t="shared" si="20"/>
        <v>5357.6225988700562</v>
      </c>
      <c r="AC12" s="100" t="str">
        <f t="shared" si="10"/>
        <v/>
      </c>
      <c r="AD12" s="416" t="str">
        <f t="shared" si="11"/>
        <v/>
      </c>
      <c r="AE12" s="416" t="str">
        <f t="shared" si="12"/>
        <v/>
      </c>
      <c r="AF12" s="39" t="str">
        <f t="shared" si="21"/>
        <v/>
      </c>
      <c r="AG12" s="56"/>
      <c r="AH12" s="56" t="str">
        <f t="shared" si="22"/>
        <v>Yes</v>
      </c>
      <c r="AI12" t="s">
        <v>458</v>
      </c>
      <c r="AJ12" s="83"/>
    </row>
    <row r="13" spans="1:156" ht="21" customHeight="1" x14ac:dyDescent="0.25">
      <c r="A13" s="38"/>
      <c r="B13" s="220">
        <v>6</v>
      </c>
      <c r="C13" s="9" t="s">
        <v>62</v>
      </c>
      <c r="D13" s="41"/>
      <c r="E13" s="262"/>
      <c r="F13" s="41"/>
      <c r="G13" s="11"/>
      <c r="H13" s="11"/>
      <c r="I13" s="41"/>
      <c r="J13" s="11"/>
      <c r="K13" s="18" t="str">
        <f t="shared" si="13"/>
        <v>less than 15</v>
      </c>
      <c r="L13" s="18">
        <f t="shared" si="14"/>
        <v>200</v>
      </c>
      <c r="M13" s="92">
        <f t="shared" si="0"/>
        <v>1.32</v>
      </c>
      <c r="N13" s="92">
        <f t="shared" si="1"/>
        <v>5.26</v>
      </c>
      <c r="O13" s="98">
        <f t="shared" si="2"/>
        <v>0.72</v>
      </c>
      <c r="P13" s="98">
        <f t="shared" si="3"/>
        <v>0.49</v>
      </c>
      <c r="Q13" s="99">
        <f t="shared" si="4"/>
        <v>79</v>
      </c>
      <c r="R13" s="99">
        <f t="shared" si="5"/>
        <v>126</v>
      </c>
      <c r="S13" s="92">
        <f t="shared" si="15"/>
        <v>0.49890000000000001</v>
      </c>
      <c r="T13" s="92">
        <f t="shared" si="16"/>
        <v>0.64</v>
      </c>
      <c r="U13" s="92">
        <f t="shared" si="6"/>
        <v>0.76</v>
      </c>
      <c r="V13" s="92">
        <f t="shared" si="7"/>
        <v>0.55000000000000004</v>
      </c>
      <c r="W13" s="99">
        <f t="shared" si="8"/>
        <v>119</v>
      </c>
      <c r="X13" s="99">
        <f t="shared" si="9"/>
        <v>177</v>
      </c>
      <c r="Y13" s="100">
        <f t="shared" si="17"/>
        <v>9702.5932489451479</v>
      </c>
      <c r="Z13" s="100">
        <f t="shared" si="18"/>
        <v>14584.241269841268</v>
      </c>
      <c r="AA13" s="100">
        <f t="shared" si="19"/>
        <v>7970.6196819991155</v>
      </c>
      <c r="AB13" s="100">
        <f t="shared" si="20"/>
        <v>5357.6225988700562</v>
      </c>
      <c r="AC13" s="100" t="str">
        <f t="shared" si="10"/>
        <v/>
      </c>
      <c r="AD13" s="416" t="str">
        <f t="shared" si="11"/>
        <v/>
      </c>
      <c r="AE13" s="416" t="str">
        <f t="shared" si="12"/>
        <v/>
      </c>
      <c r="AF13" s="39" t="str">
        <f t="shared" si="21"/>
        <v/>
      </c>
      <c r="AG13" s="56"/>
      <c r="AH13" s="56" t="str">
        <f t="shared" si="22"/>
        <v>Yes</v>
      </c>
      <c r="AI13" t="s">
        <v>458</v>
      </c>
      <c r="AJ13" s="83"/>
    </row>
    <row r="14" spans="1:156" ht="21" customHeight="1" x14ac:dyDescent="0.25">
      <c r="A14" s="38"/>
      <c r="B14" s="220">
        <v>7</v>
      </c>
      <c r="C14" s="9" t="s">
        <v>62</v>
      </c>
      <c r="D14" s="41"/>
      <c r="E14" s="262"/>
      <c r="F14" s="41"/>
      <c r="G14" s="11"/>
      <c r="H14" s="11"/>
      <c r="I14" s="41"/>
      <c r="J14" s="11"/>
      <c r="K14" s="18" t="str">
        <f t="shared" si="13"/>
        <v>less than 15</v>
      </c>
      <c r="L14" s="18">
        <f t="shared" si="14"/>
        <v>200</v>
      </c>
      <c r="M14" s="92">
        <f t="shared" si="0"/>
        <v>1.32</v>
      </c>
      <c r="N14" s="92">
        <f t="shared" si="1"/>
        <v>5.26</v>
      </c>
      <c r="O14" s="98">
        <f t="shared" si="2"/>
        <v>0.72</v>
      </c>
      <c r="P14" s="98">
        <f t="shared" si="3"/>
        <v>0.49</v>
      </c>
      <c r="Q14" s="99">
        <f t="shared" si="4"/>
        <v>79</v>
      </c>
      <c r="R14" s="99">
        <f t="shared" si="5"/>
        <v>126</v>
      </c>
      <c r="S14" s="92">
        <f t="shared" si="15"/>
        <v>0.49890000000000001</v>
      </c>
      <c r="T14" s="92">
        <f t="shared" si="16"/>
        <v>0.64</v>
      </c>
      <c r="U14" s="92">
        <f t="shared" si="6"/>
        <v>0.76</v>
      </c>
      <c r="V14" s="92">
        <f t="shared" si="7"/>
        <v>0.55000000000000004</v>
      </c>
      <c r="W14" s="99">
        <f t="shared" si="8"/>
        <v>119</v>
      </c>
      <c r="X14" s="99">
        <f t="shared" si="9"/>
        <v>177</v>
      </c>
      <c r="Y14" s="100">
        <f t="shared" si="17"/>
        <v>9702.5932489451479</v>
      </c>
      <c r="Z14" s="100">
        <f t="shared" si="18"/>
        <v>14584.241269841268</v>
      </c>
      <c r="AA14" s="100">
        <f t="shared" si="19"/>
        <v>7970.6196819991155</v>
      </c>
      <c r="AB14" s="100">
        <f t="shared" si="20"/>
        <v>5357.6225988700562</v>
      </c>
      <c r="AC14" s="100" t="str">
        <f t="shared" si="10"/>
        <v/>
      </c>
      <c r="AD14" s="416" t="str">
        <f t="shared" si="11"/>
        <v/>
      </c>
      <c r="AE14" s="416" t="str">
        <f t="shared" si="12"/>
        <v/>
      </c>
      <c r="AF14" s="39" t="str">
        <f t="shared" si="21"/>
        <v/>
      </c>
      <c r="AG14" s="56"/>
      <c r="AH14" s="56" t="str">
        <f t="shared" si="22"/>
        <v>Yes</v>
      </c>
      <c r="AI14" t="s">
        <v>458</v>
      </c>
      <c r="AJ14" s="83"/>
    </row>
    <row r="15" spans="1:156" ht="21" customHeight="1" x14ac:dyDescent="0.25">
      <c r="A15" s="38"/>
      <c r="B15" s="220">
        <v>8</v>
      </c>
      <c r="C15" s="9" t="s">
        <v>62</v>
      </c>
      <c r="D15" s="41"/>
      <c r="E15" s="262"/>
      <c r="F15" s="41"/>
      <c r="G15" s="11"/>
      <c r="H15" s="11"/>
      <c r="I15" s="41"/>
      <c r="J15" s="11"/>
      <c r="K15" s="18" t="str">
        <f t="shared" si="13"/>
        <v>less than 15</v>
      </c>
      <c r="L15" s="18">
        <f t="shared" si="14"/>
        <v>200</v>
      </c>
      <c r="M15" s="92">
        <f t="shared" si="0"/>
        <v>1.32</v>
      </c>
      <c r="N15" s="92">
        <f t="shared" si="1"/>
        <v>5.26</v>
      </c>
      <c r="O15" s="98">
        <f t="shared" si="2"/>
        <v>0.72</v>
      </c>
      <c r="P15" s="98">
        <f t="shared" si="3"/>
        <v>0.49</v>
      </c>
      <c r="Q15" s="99">
        <f t="shared" si="4"/>
        <v>79</v>
      </c>
      <c r="R15" s="99">
        <f t="shared" si="5"/>
        <v>126</v>
      </c>
      <c r="S15" s="92">
        <f t="shared" si="15"/>
        <v>0.49890000000000001</v>
      </c>
      <c r="T15" s="92">
        <f t="shared" si="16"/>
        <v>0.64</v>
      </c>
      <c r="U15" s="92">
        <f t="shared" si="6"/>
        <v>0.76</v>
      </c>
      <c r="V15" s="92">
        <f t="shared" si="7"/>
        <v>0.55000000000000004</v>
      </c>
      <c r="W15" s="99">
        <f t="shared" si="8"/>
        <v>119</v>
      </c>
      <c r="X15" s="99">
        <f t="shared" si="9"/>
        <v>177</v>
      </c>
      <c r="Y15" s="100">
        <f t="shared" si="17"/>
        <v>9702.5932489451479</v>
      </c>
      <c r="Z15" s="100">
        <f t="shared" si="18"/>
        <v>14584.241269841268</v>
      </c>
      <c r="AA15" s="100">
        <f t="shared" si="19"/>
        <v>7970.6196819991155</v>
      </c>
      <c r="AB15" s="100">
        <f t="shared" si="20"/>
        <v>5357.6225988700562</v>
      </c>
      <c r="AC15" s="100" t="str">
        <f t="shared" si="10"/>
        <v/>
      </c>
      <c r="AD15" s="416" t="str">
        <f t="shared" si="11"/>
        <v/>
      </c>
      <c r="AE15" s="416" t="str">
        <f t="shared" si="12"/>
        <v/>
      </c>
      <c r="AF15" s="39" t="str">
        <f t="shared" si="21"/>
        <v/>
      </c>
      <c r="AG15" s="56"/>
      <c r="AH15" s="56" t="str">
        <f t="shared" si="22"/>
        <v>Yes</v>
      </c>
      <c r="AI15" t="s">
        <v>458</v>
      </c>
      <c r="AJ15" s="83"/>
    </row>
    <row r="16" spans="1:156" hidden="1" x14ac:dyDescent="0.25">
      <c r="A16" s="27"/>
      <c r="J16">
        <f>SUM(J8:J15)</f>
        <v>0</v>
      </c>
      <c r="K16">
        <f t="shared" ref="K16:AF16" si="23">SUM(K8:K15)</f>
        <v>0</v>
      </c>
      <c r="L16">
        <f t="shared" si="23"/>
        <v>1600</v>
      </c>
      <c r="M16">
        <f t="shared" si="23"/>
        <v>10.56</v>
      </c>
      <c r="N16">
        <f t="shared" si="23"/>
        <v>42.079999999999991</v>
      </c>
      <c r="O16">
        <f t="shared" si="23"/>
        <v>5.7599999999999989</v>
      </c>
      <c r="P16">
        <f t="shared" si="23"/>
        <v>3.9200000000000008</v>
      </c>
      <c r="Q16">
        <f t="shared" si="23"/>
        <v>632</v>
      </c>
      <c r="R16">
        <f t="shared" si="23"/>
        <v>1008</v>
      </c>
      <c r="S16">
        <f t="shared" si="23"/>
        <v>3.9911999999999996</v>
      </c>
      <c r="T16">
        <f t="shared" si="23"/>
        <v>5.12</v>
      </c>
      <c r="U16">
        <f t="shared" si="23"/>
        <v>6.0799999999999992</v>
      </c>
      <c r="V16">
        <f t="shared" si="23"/>
        <v>4.3999999999999995</v>
      </c>
      <c r="W16">
        <f t="shared" si="23"/>
        <v>952</v>
      </c>
      <c r="X16">
        <f t="shared" si="23"/>
        <v>1416</v>
      </c>
      <c r="Y16">
        <f t="shared" si="23"/>
        <v>77620.745991561198</v>
      </c>
      <c r="Z16">
        <f t="shared" si="23"/>
        <v>116673.93015873015</v>
      </c>
      <c r="AA16">
        <f t="shared" si="23"/>
        <v>63764.957455992924</v>
      </c>
      <c r="AB16">
        <f t="shared" si="23"/>
        <v>42860.98079096045</v>
      </c>
      <c r="AC16">
        <f t="shared" si="23"/>
        <v>0</v>
      </c>
      <c r="AD16">
        <f t="shared" si="23"/>
        <v>0</v>
      </c>
      <c r="AE16">
        <f t="shared" si="23"/>
        <v>0</v>
      </c>
      <c r="AF16">
        <f t="shared" si="23"/>
        <v>0</v>
      </c>
      <c r="AJ16" s="83"/>
    </row>
    <row r="17" spans="1:36" hidden="1" x14ac:dyDescent="0.25">
      <c r="A17" s="27"/>
      <c r="AJ17" s="83"/>
    </row>
    <row r="18" spans="1:36" hidden="1" x14ac:dyDescent="0.25">
      <c r="A18" s="27"/>
      <c r="C18" s="527" t="s">
        <v>459</v>
      </c>
      <c r="D18" s="539" t="s">
        <v>439</v>
      </c>
      <c r="E18" s="236" t="s">
        <v>460</v>
      </c>
      <c r="F18" s="237"/>
      <c r="G18" s="233" t="s">
        <v>461</v>
      </c>
      <c r="H18" s="230"/>
      <c r="I18" s="231"/>
      <c r="AJ18" s="83"/>
    </row>
    <row r="19" spans="1:36" ht="33" hidden="1" customHeight="1" x14ac:dyDescent="0.25">
      <c r="A19" s="27"/>
      <c r="C19" s="527"/>
      <c r="D19" s="539"/>
      <c r="E19" s="222" t="s">
        <v>462</v>
      </c>
      <c r="F19" s="222" t="s">
        <v>463</v>
      </c>
      <c r="G19" s="222" t="s">
        <v>462</v>
      </c>
      <c r="H19" s="222" t="s">
        <v>463</v>
      </c>
      <c r="M19" s="222" t="s">
        <v>464</v>
      </c>
      <c r="N19" s="222" t="s">
        <v>465</v>
      </c>
      <c r="O19" s="222" t="s">
        <v>466</v>
      </c>
      <c r="P19" s="222" t="s">
        <v>467</v>
      </c>
      <c r="Q19" s="222" t="s">
        <v>468</v>
      </c>
      <c r="R19" s="222" t="s">
        <v>93</v>
      </c>
      <c r="S19" s="229"/>
      <c r="U19" s="536" t="s">
        <v>440</v>
      </c>
      <c r="V19" s="536"/>
      <c r="AJ19" s="83"/>
    </row>
    <row r="20" spans="1:36" ht="18" hidden="1" customHeight="1" x14ac:dyDescent="0.25">
      <c r="A20" s="27"/>
      <c r="C20" s="528" t="s">
        <v>469</v>
      </c>
      <c r="D20" s="6" t="s">
        <v>470</v>
      </c>
      <c r="E20" s="101">
        <v>1.32</v>
      </c>
      <c r="F20" s="101">
        <v>5.26</v>
      </c>
      <c r="G20" s="234" t="s">
        <v>471</v>
      </c>
      <c r="H20" s="234" t="s">
        <v>472</v>
      </c>
      <c r="M20" s="6">
        <v>12</v>
      </c>
      <c r="N20" s="6">
        <v>365</v>
      </c>
      <c r="O20" s="6">
        <v>7.3200000000000001E-2</v>
      </c>
      <c r="P20" s="6">
        <v>3.0800000000000001E-2</v>
      </c>
      <c r="Q20" s="102">
        <v>0.5</v>
      </c>
      <c r="R20" s="225">
        <v>0.9</v>
      </c>
      <c r="S20" s="228"/>
      <c r="U20" s="226" t="s">
        <v>470</v>
      </c>
      <c r="V20" s="227">
        <v>200</v>
      </c>
      <c r="AJ20" s="83"/>
    </row>
    <row r="21" spans="1:36" hidden="1" x14ac:dyDescent="0.25">
      <c r="A21" s="27"/>
      <c r="C21" s="529"/>
      <c r="D21" s="6" t="s">
        <v>473</v>
      </c>
      <c r="E21" s="101">
        <v>2.2799999999999998</v>
      </c>
      <c r="F21" s="101">
        <v>8.7100000000000009</v>
      </c>
      <c r="G21" s="235"/>
      <c r="H21" s="235"/>
      <c r="U21" s="226" t="s">
        <v>473</v>
      </c>
      <c r="V21" s="227">
        <v>250</v>
      </c>
      <c r="AJ21" s="83"/>
    </row>
    <row r="22" spans="1:36" hidden="1" x14ac:dyDescent="0.25">
      <c r="A22" s="27"/>
      <c r="C22" s="528" t="s">
        <v>474</v>
      </c>
      <c r="D22" s="6" t="s">
        <v>470</v>
      </c>
      <c r="E22" s="103">
        <v>0.72</v>
      </c>
      <c r="F22" s="103">
        <v>0.49</v>
      </c>
      <c r="G22" s="103">
        <v>0.76</v>
      </c>
      <c r="H22" s="103">
        <v>0.55000000000000004</v>
      </c>
      <c r="AJ22" s="83"/>
    </row>
    <row r="23" spans="1:36" hidden="1" x14ac:dyDescent="0.25">
      <c r="A23" s="27"/>
      <c r="C23" s="529"/>
      <c r="D23" s="6" t="s">
        <v>473</v>
      </c>
      <c r="E23" s="103">
        <v>0.72</v>
      </c>
      <c r="F23" s="103">
        <v>0.49</v>
      </c>
      <c r="G23" s="103">
        <v>0.76</v>
      </c>
      <c r="H23" s="103">
        <v>0.55000000000000004</v>
      </c>
      <c r="M23" s="534" t="s">
        <v>54</v>
      </c>
      <c r="N23" s="535"/>
      <c r="P23" s="14" t="s">
        <v>83</v>
      </c>
      <c r="R23" s="532" t="s">
        <v>268</v>
      </c>
      <c r="S23" s="533"/>
      <c r="AJ23" s="83"/>
    </row>
    <row r="24" spans="1:36" hidden="1" x14ac:dyDescent="0.25">
      <c r="A24" s="27"/>
      <c r="C24" s="537" t="s">
        <v>475</v>
      </c>
      <c r="D24" s="6" t="s">
        <v>470</v>
      </c>
      <c r="E24" s="104">
        <v>79</v>
      </c>
      <c r="F24" s="104">
        <v>126</v>
      </c>
      <c r="G24" s="104">
        <v>119</v>
      </c>
      <c r="H24" s="104">
        <v>177</v>
      </c>
      <c r="M24" s="212">
        <f>750*'Project Summary'!M12</f>
        <v>375</v>
      </c>
      <c r="N24" s="6" t="s">
        <v>476</v>
      </c>
      <c r="P24" s="19" t="s">
        <v>124</v>
      </c>
      <c r="R24" s="8">
        <v>12</v>
      </c>
      <c r="S24" s="4" t="s">
        <v>417</v>
      </c>
      <c r="AJ24" s="83"/>
    </row>
    <row r="25" spans="1:36" hidden="1" x14ac:dyDescent="0.25">
      <c r="A25" s="27"/>
      <c r="C25" s="538"/>
      <c r="D25" s="6" t="s">
        <v>473</v>
      </c>
      <c r="E25" s="104">
        <v>166</v>
      </c>
      <c r="F25" s="104">
        <v>295</v>
      </c>
      <c r="G25" s="104">
        <v>201</v>
      </c>
      <c r="H25" s="104">
        <v>349</v>
      </c>
      <c r="P25" s="19" t="s">
        <v>130</v>
      </c>
      <c r="AJ25" s="83"/>
    </row>
    <row r="26" spans="1:36" ht="18" customHeight="1"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row>
    <row r="27" spans="1:36" ht="18" customHeight="1"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row>
    <row r="28" spans="1:36" s="82" customFormat="1" x14ac:dyDescent="0.25"/>
    <row r="29" spans="1:36" s="82" customFormat="1" x14ac:dyDescent="0.25"/>
    <row r="30" spans="1:36" s="82" customFormat="1" x14ac:dyDescent="0.25"/>
    <row r="31" spans="1:36" s="82" customFormat="1" x14ac:dyDescent="0.25"/>
    <row r="32" spans="1:36" s="82" customFormat="1" x14ac:dyDescent="0.25"/>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row r="1181" s="82" customFormat="1" x14ac:dyDescent="0.25"/>
    <row r="1182" s="82" customFormat="1" x14ac:dyDescent="0.25"/>
    <row r="1183" s="82" customFormat="1" x14ac:dyDescent="0.25"/>
    <row r="1184" s="82" customFormat="1" x14ac:dyDescent="0.25"/>
    <row r="1185" s="82" customFormat="1" x14ac:dyDescent="0.25"/>
    <row r="1186" s="82" customFormat="1" x14ac:dyDescent="0.25"/>
    <row r="1187" s="82" customFormat="1" x14ac:dyDescent="0.25"/>
    <row r="1188" s="82" customFormat="1" x14ac:dyDescent="0.25"/>
    <row r="1189" s="82" customFormat="1" x14ac:dyDescent="0.25"/>
    <row r="1190" s="82" customFormat="1" x14ac:dyDescent="0.25"/>
    <row r="1191" s="82" customFormat="1" x14ac:dyDescent="0.25"/>
    <row r="1192" s="82" customFormat="1" x14ac:dyDescent="0.25"/>
    <row r="1193" s="82" customFormat="1" x14ac:dyDescent="0.25"/>
    <row r="1194" s="82" customFormat="1" x14ac:dyDescent="0.25"/>
    <row r="1195" s="82" customFormat="1" x14ac:dyDescent="0.25"/>
    <row r="1196" s="82" customFormat="1" x14ac:dyDescent="0.25"/>
    <row r="1197" s="82" customFormat="1" x14ac:dyDescent="0.25"/>
    <row r="1198" s="82" customFormat="1" x14ac:dyDescent="0.25"/>
    <row r="1199" s="82" customFormat="1" x14ac:dyDescent="0.25"/>
    <row r="1200" s="82" customFormat="1" x14ac:dyDescent="0.25"/>
    <row r="1201" s="82" customFormat="1" x14ac:dyDescent="0.25"/>
    <row r="1202" s="82" customFormat="1" x14ac:dyDescent="0.25"/>
    <row r="1203" s="82" customFormat="1" x14ac:dyDescent="0.25"/>
    <row r="1204" s="82" customFormat="1" x14ac:dyDescent="0.25"/>
    <row r="1205" s="82" customFormat="1" x14ac:dyDescent="0.25"/>
    <row r="1206" s="82" customFormat="1" x14ac:dyDescent="0.25"/>
    <row r="1207" s="82" customFormat="1" x14ac:dyDescent="0.25"/>
    <row r="1208" s="82" customFormat="1" x14ac:dyDescent="0.25"/>
    <row r="1209" s="82" customFormat="1" x14ac:dyDescent="0.25"/>
    <row r="1210" s="82" customFormat="1" x14ac:dyDescent="0.25"/>
    <row r="1211" s="82" customFormat="1" x14ac:dyDescent="0.25"/>
    <row r="1212" s="82" customFormat="1" x14ac:dyDescent="0.25"/>
    <row r="1213" s="82" customFormat="1" x14ac:dyDescent="0.25"/>
    <row r="1214" s="82" customFormat="1" x14ac:dyDescent="0.25"/>
    <row r="1215" s="82" customFormat="1" x14ac:dyDescent="0.25"/>
    <row r="1216" s="82" customFormat="1" x14ac:dyDescent="0.25"/>
    <row r="1217" s="82" customFormat="1" x14ac:dyDescent="0.25"/>
    <row r="1218" s="82" customFormat="1" x14ac:dyDescent="0.25"/>
    <row r="1219" s="82" customFormat="1" x14ac:dyDescent="0.25"/>
    <row r="1220" s="82" customFormat="1" x14ac:dyDescent="0.25"/>
    <row r="1221" s="82" customFormat="1" x14ac:dyDescent="0.25"/>
    <row r="1222" s="82" customFormat="1" x14ac:dyDescent="0.25"/>
    <row r="1223" s="82" customFormat="1" x14ac:dyDescent="0.25"/>
    <row r="1224" s="82" customFormat="1" x14ac:dyDescent="0.25"/>
    <row r="1225" s="82" customFormat="1" x14ac:dyDescent="0.25"/>
    <row r="1226" s="82" customFormat="1" x14ac:dyDescent="0.25"/>
    <row r="1227" s="82" customFormat="1" x14ac:dyDescent="0.25"/>
    <row r="1228" s="82" customFormat="1" x14ac:dyDescent="0.25"/>
    <row r="1229" s="82" customFormat="1" x14ac:dyDescent="0.25"/>
    <row r="1230" s="82" customFormat="1" x14ac:dyDescent="0.25"/>
    <row r="1231" s="82" customFormat="1" x14ac:dyDescent="0.25"/>
    <row r="1232" s="82" customFormat="1" x14ac:dyDescent="0.25"/>
    <row r="1233" s="82" customFormat="1" x14ac:dyDescent="0.25"/>
    <row r="1234" s="82" customFormat="1" x14ac:dyDescent="0.25"/>
    <row r="1235" s="82" customFormat="1" x14ac:dyDescent="0.25"/>
    <row r="1236" s="82" customFormat="1" x14ac:dyDescent="0.25"/>
    <row r="1237" s="82" customFormat="1" x14ac:dyDescent="0.25"/>
    <row r="1238" s="82" customFormat="1" x14ac:dyDescent="0.25"/>
    <row r="1239" s="82" customFormat="1" x14ac:dyDescent="0.25"/>
    <row r="1240" s="82" customFormat="1" x14ac:dyDescent="0.25"/>
    <row r="1241" s="82" customFormat="1" x14ac:dyDescent="0.25"/>
    <row r="1242" s="82" customFormat="1" x14ac:dyDescent="0.25"/>
    <row r="1243" s="82" customFormat="1" x14ac:dyDescent="0.25"/>
    <row r="1244" s="82" customFormat="1" x14ac:dyDescent="0.25"/>
    <row r="1245" s="82" customFormat="1" x14ac:dyDescent="0.25"/>
    <row r="1246" s="82" customFormat="1" x14ac:dyDescent="0.25"/>
    <row r="1247" s="82" customFormat="1" x14ac:dyDescent="0.25"/>
    <row r="1248" s="82" customFormat="1" x14ac:dyDescent="0.25"/>
    <row r="1249" s="82" customFormat="1" x14ac:dyDescent="0.25"/>
    <row r="1250" s="82" customFormat="1" x14ac:dyDescent="0.25"/>
    <row r="1251" s="82" customFormat="1" x14ac:dyDescent="0.25"/>
    <row r="1252" s="82" customFormat="1" x14ac:dyDescent="0.25"/>
    <row r="1253" s="82" customFormat="1" x14ac:dyDescent="0.25"/>
    <row r="1254" s="82" customFormat="1" x14ac:dyDescent="0.25"/>
    <row r="1255" s="82" customFormat="1" x14ac:dyDescent="0.25"/>
    <row r="1256" s="82" customFormat="1" x14ac:dyDescent="0.25"/>
    <row r="1257" s="82" customFormat="1" x14ac:dyDescent="0.25"/>
    <row r="1258" s="82" customFormat="1" x14ac:dyDescent="0.25"/>
    <row r="1259" s="82" customFormat="1" x14ac:dyDescent="0.25"/>
    <row r="1260" s="82" customFormat="1" x14ac:dyDescent="0.25"/>
    <row r="1261" s="82" customFormat="1" x14ac:dyDescent="0.25"/>
    <row r="1262" s="82" customFormat="1" x14ac:dyDescent="0.25"/>
    <row r="1263" s="82" customFormat="1" x14ac:dyDescent="0.25"/>
    <row r="1264" s="82" customFormat="1" x14ac:dyDescent="0.25"/>
    <row r="1265" s="82" customFormat="1" x14ac:dyDescent="0.25"/>
    <row r="1266" s="82" customFormat="1" x14ac:dyDescent="0.25"/>
    <row r="1267" s="82" customFormat="1" x14ac:dyDescent="0.25"/>
    <row r="1268" s="82" customFormat="1" x14ac:dyDescent="0.25"/>
    <row r="1269" s="82" customFormat="1" x14ac:dyDescent="0.25"/>
    <row r="1270" s="82" customFormat="1" x14ac:dyDescent="0.25"/>
    <row r="1271" s="82" customFormat="1" x14ac:dyDescent="0.25"/>
    <row r="1272" s="82" customFormat="1" x14ac:dyDescent="0.25"/>
    <row r="1273" s="82" customFormat="1" x14ac:dyDescent="0.25"/>
    <row r="1274" s="82" customFormat="1" x14ac:dyDescent="0.25"/>
    <row r="1275" s="82" customFormat="1" x14ac:dyDescent="0.25"/>
    <row r="1276" s="82" customFormat="1" x14ac:dyDescent="0.25"/>
    <row r="1277" s="82" customFormat="1" x14ac:dyDescent="0.25"/>
    <row r="1278" s="82" customFormat="1" x14ac:dyDescent="0.25"/>
    <row r="1279" s="82" customFormat="1" x14ac:dyDescent="0.25"/>
    <row r="1280" s="82" customFormat="1" x14ac:dyDescent="0.25"/>
    <row r="1281" s="82" customFormat="1" x14ac:dyDescent="0.25"/>
    <row r="1282" s="82" customFormat="1" x14ac:dyDescent="0.25"/>
    <row r="1283" s="82" customFormat="1" x14ac:dyDescent="0.25"/>
    <row r="1284" s="82" customFormat="1" x14ac:dyDescent="0.25"/>
    <row r="1285" s="82" customFormat="1" x14ac:dyDescent="0.25"/>
    <row r="1286" s="82" customFormat="1" x14ac:dyDescent="0.25"/>
    <row r="1287" s="82" customFormat="1" x14ac:dyDescent="0.25"/>
    <row r="1288" s="82" customFormat="1" x14ac:dyDescent="0.25"/>
    <row r="1289" s="82" customFormat="1" x14ac:dyDescent="0.25"/>
    <row r="1290" s="82" customFormat="1" x14ac:dyDescent="0.25"/>
    <row r="1291" s="82" customFormat="1" x14ac:dyDescent="0.25"/>
    <row r="1292" s="82" customFormat="1" x14ac:dyDescent="0.25"/>
    <row r="1293" s="82" customFormat="1" x14ac:dyDescent="0.25"/>
    <row r="1294" s="82" customFormat="1" x14ac:dyDescent="0.25"/>
    <row r="1295" s="82" customFormat="1" x14ac:dyDescent="0.25"/>
    <row r="1296" s="82" customFormat="1" x14ac:dyDescent="0.25"/>
    <row r="1297" s="82" customFormat="1" x14ac:dyDescent="0.25"/>
    <row r="1298" s="82" customFormat="1" x14ac:dyDescent="0.25"/>
    <row r="1299" s="82" customFormat="1" x14ac:dyDescent="0.25"/>
    <row r="1300" s="82" customFormat="1" x14ac:dyDescent="0.25"/>
    <row r="1301" s="82" customFormat="1" x14ac:dyDescent="0.25"/>
    <row r="1302" s="82" customFormat="1" x14ac:dyDescent="0.25"/>
    <row r="1303" s="82" customFormat="1" x14ac:dyDescent="0.25"/>
    <row r="1304" s="82" customFormat="1" x14ac:dyDescent="0.25"/>
    <row r="1305" s="82" customFormat="1" x14ac:dyDescent="0.25"/>
    <row r="1306" s="82" customFormat="1" x14ac:dyDescent="0.25"/>
    <row r="1307" s="82" customFormat="1" x14ac:dyDescent="0.25"/>
    <row r="1308" s="82" customFormat="1" x14ac:dyDescent="0.25"/>
    <row r="1309" s="82" customFormat="1" x14ac:dyDescent="0.25"/>
    <row r="1310" s="82" customFormat="1" x14ac:dyDescent="0.25"/>
    <row r="1311" s="82" customFormat="1" x14ac:dyDescent="0.25"/>
    <row r="1312" s="82" customFormat="1" x14ac:dyDescent="0.25"/>
    <row r="1313" s="82" customFormat="1" x14ac:dyDescent="0.25"/>
    <row r="1314" s="82" customFormat="1" x14ac:dyDescent="0.25"/>
    <row r="1315" s="82" customFormat="1" x14ac:dyDescent="0.25"/>
    <row r="1316" s="82" customFormat="1" x14ac:dyDescent="0.25"/>
    <row r="1317" s="82" customFormat="1" x14ac:dyDescent="0.25"/>
    <row r="1318" s="82" customFormat="1" x14ac:dyDescent="0.25"/>
    <row r="1319" s="82" customFormat="1" x14ac:dyDescent="0.25"/>
    <row r="1320" s="82" customFormat="1" x14ac:dyDescent="0.25"/>
    <row r="1321" s="82" customFormat="1" x14ac:dyDescent="0.25"/>
    <row r="1322" s="82" customFormat="1" x14ac:dyDescent="0.25"/>
    <row r="1323" s="82" customFormat="1" x14ac:dyDescent="0.25"/>
    <row r="1324" s="82" customFormat="1" x14ac:dyDescent="0.25"/>
    <row r="1325" s="82" customFormat="1" x14ac:dyDescent="0.25"/>
    <row r="1326" s="82" customFormat="1" x14ac:dyDescent="0.25"/>
    <row r="1327" s="82" customFormat="1" x14ac:dyDescent="0.25"/>
    <row r="1328" s="82" customFormat="1" x14ac:dyDescent="0.25"/>
    <row r="1329" s="82" customFormat="1" x14ac:dyDescent="0.25"/>
    <row r="1330" s="82" customFormat="1" x14ac:dyDescent="0.25"/>
    <row r="1331" s="82" customFormat="1" x14ac:dyDescent="0.25"/>
    <row r="1332" s="82" customFormat="1" x14ac:dyDescent="0.25"/>
    <row r="1333" s="82" customFormat="1" x14ac:dyDescent="0.25"/>
    <row r="1334" s="82" customFormat="1" x14ac:dyDescent="0.25"/>
    <row r="1335" s="82" customFormat="1" x14ac:dyDescent="0.25"/>
    <row r="1336" s="82" customFormat="1" x14ac:dyDescent="0.25"/>
    <row r="1337" s="82" customFormat="1" x14ac:dyDescent="0.25"/>
    <row r="1338" s="82" customFormat="1" x14ac:dyDescent="0.25"/>
    <row r="1339" s="82" customFormat="1" x14ac:dyDescent="0.25"/>
    <row r="1340" s="82" customFormat="1" x14ac:dyDescent="0.25"/>
    <row r="1341" s="82" customFormat="1" x14ac:dyDescent="0.25"/>
    <row r="1342" s="82" customFormat="1" x14ac:dyDescent="0.25"/>
    <row r="1343" s="82" customFormat="1" x14ac:dyDescent="0.25"/>
    <row r="1344" s="82" customFormat="1" x14ac:dyDescent="0.25"/>
    <row r="1345" s="82" customFormat="1" x14ac:dyDescent="0.25"/>
    <row r="1346" s="82" customFormat="1" x14ac:dyDescent="0.25"/>
    <row r="1347" s="82" customFormat="1" x14ac:dyDescent="0.25"/>
  </sheetData>
  <sheetProtection algorithmName="SHA-512" hashValue="goYBblpDCAc85Zh2zB6haodizRLM03s7BL/4dKjyW0+AY+EH4u0nfzo1TmhKSF3O0NVq2r+uK6QfJVj6yPLB8Q==" saltValue="/9I7FjOaiHxneu5U401Nng==" spinCount="100000" sheet="1" selectLockedCells="1"/>
  <mergeCells count="11">
    <mergeCell ref="R23:S23"/>
    <mergeCell ref="M23:N23"/>
    <mergeCell ref="U19:V19"/>
    <mergeCell ref="C24:C25"/>
    <mergeCell ref="D18:D19"/>
    <mergeCell ref="C22:C23"/>
    <mergeCell ref="B3:C3"/>
    <mergeCell ref="C18:C19"/>
    <mergeCell ref="C20:C21"/>
    <mergeCell ref="B2:AF2"/>
    <mergeCell ref="D3:I4"/>
  </mergeCells>
  <dataValidations count="1">
    <dataValidation type="list" allowBlank="1" showInputMessage="1" showErrorMessage="1" sqref="D8:D15" xr:uid="{00000000-0002-0000-0A00-000000000000}">
      <formula1>$P$24:$P$25</formula1>
    </dataValidation>
  </dataValidations>
  <hyperlinks>
    <hyperlink ref="B3" location="'Calculator Index'!A1" display="Return to Index" xr:uid="{00000000-0004-0000-0A00-000000000000}"/>
    <hyperlink ref="B3:C3" location="'Project Summary'!A1" display="Return to Project Summary" xr:uid="{00000000-0004-0000-0A00-000001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M1373"/>
  <sheetViews>
    <sheetView zoomScale="90" zoomScaleNormal="90" workbookViewId="0">
      <selection activeCell="D8" sqref="D8:J8"/>
    </sheetView>
  </sheetViews>
  <sheetFormatPr defaultRowHeight="15" x14ac:dyDescent="0.25"/>
  <cols>
    <col min="1" max="1" width="3.7109375" customWidth="1"/>
    <col min="2" max="2" width="6.28515625" customWidth="1"/>
    <col min="3" max="3" width="18.85546875" bestFit="1" customWidth="1"/>
    <col min="4" max="4" width="19" customWidth="1"/>
    <col min="5" max="5" width="22.85546875" customWidth="1"/>
    <col min="6" max="8" width="27.28515625" customWidth="1"/>
    <col min="9" max="9" width="12.7109375" customWidth="1"/>
    <col min="10" max="10" width="14" customWidth="1"/>
    <col min="11" max="11" width="14" hidden="1" customWidth="1"/>
    <col min="12" max="13" width="12.28515625" hidden="1" customWidth="1"/>
    <col min="14" max="14" width="10" hidden="1" customWidth="1"/>
    <col min="15" max="15" width="8.85546875" hidden="1" customWidth="1"/>
    <col min="16" max="17" width="10" hidden="1" customWidth="1"/>
    <col min="18" max="18" width="12.85546875" hidden="1" customWidth="1"/>
    <col min="19" max="21" width="12.140625" hidden="1" customWidth="1"/>
    <col min="22" max="22" width="17.5703125" customWidth="1"/>
    <col min="23" max="23" width="15.28515625" customWidth="1"/>
    <col min="24" max="24" width="13.42578125" customWidth="1"/>
    <col min="25" max="26" width="13.42578125" hidden="1" customWidth="1"/>
    <col min="27" max="27" width="31.85546875" hidden="1" customWidth="1"/>
    <col min="28" max="28" width="7.42578125" style="82" customWidth="1"/>
    <col min="29" max="143" width="9.140625" style="82"/>
  </cols>
  <sheetData>
    <row r="1" spans="1:28" ht="19.5" customHeight="1" x14ac:dyDescent="0.25">
      <c r="A1" s="38"/>
      <c r="B1" s="38"/>
      <c r="C1" s="38"/>
      <c r="D1" s="38"/>
      <c r="E1" s="38"/>
      <c r="F1" s="38"/>
      <c r="G1" s="38"/>
      <c r="H1" s="38"/>
      <c r="I1" s="38"/>
      <c r="J1" s="38"/>
      <c r="K1" s="38"/>
      <c r="L1" s="27"/>
      <c r="M1" s="27"/>
      <c r="N1" s="27"/>
      <c r="O1" s="27"/>
      <c r="P1" s="27"/>
      <c r="Q1" s="27"/>
      <c r="R1" s="27"/>
      <c r="S1" s="27"/>
      <c r="T1" s="27"/>
      <c r="U1" s="27"/>
      <c r="V1" s="38"/>
      <c r="W1" s="38"/>
      <c r="X1" s="38"/>
      <c r="Y1" s="38"/>
      <c r="Z1" s="27" t="s">
        <v>76</v>
      </c>
      <c r="AA1" s="27" t="s">
        <v>477</v>
      </c>
      <c r="AB1" s="83"/>
    </row>
    <row r="2" spans="1:28" ht="27" customHeight="1" x14ac:dyDescent="0.25">
      <c r="A2" s="38"/>
      <c r="B2" s="530" t="s">
        <v>478</v>
      </c>
      <c r="C2" s="531"/>
      <c r="D2" s="531"/>
      <c r="E2" s="531"/>
      <c r="F2" s="531"/>
      <c r="G2" s="531"/>
      <c r="H2" s="531"/>
      <c r="I2" s="531"/>
      <c r="J2" s="531"/>
      <c r="K2" s="531"/>
      <c r="L2" s="531"/>
      <c r="M2" s="531"/>
      <c r="N2" s="531"/>
      <c r="O2" s="531"/>
      <c r="P2" s="531"/>
      <c r="Q2" s="531"/>
      <c r="R2" s="531"/>
      <c r="S2" s="531"/>
      <c r="T2" s="531"/>
      <c r="U2" s="531"/>
      <c r="V2" s="531"/>
      <c r="W2" s="531"/>
      <c r="X2" s="531"/>
      <c r="Y2" s="232"/>
      <c r="Z2" s="27"/>
      <c r="AA2" s="27"/>
      <c r="AB2" s="83"/>
    </row>
    <row r="3" spans="1:28" ht="23.25" customHeight="1" x14ac:dyDescent="0.25">
      <c r="A3" s="38"/>
      <c r="B3" s="505" t="s">
        <v>79</v>
      </c>
      <c r="C3" s="506"/>
      <c r="D3" s="513" t="s">
        <v>479</v>
      </c>
      <c r="E3" s="513"/>
      <c r="F3" s="513"/>
      <c r="G3" s="513"/>
      <c r="H3" s="513"/>
      <c r="I3" s="513"/>
      <c r="J3" s="38"/>
      <c r="K3" s="38"/>
      <c r="L3" s="27"/>
      <c r="M3" s="27"/>
      <c r="N3" s="27"/>
      <c r="O3" s="27"/>
      <c r="P3" s="27"/>
      <c r="Q3" s="27"/>
      <c r="R3" s="27"/>
      <c r="S3" s="27"/>
      <c r="T3" s="27"/>
      <c r="U3" s="27"/>
      <c r="V3" s="38"/>
      <c r="W3" s="38"/>
      <c r="X3" s="38"/>
      <c r="Y3" s="38"/>
      <c r="Z3" s="27"/>
      <c r="AA3" s="27"/>
      <c r="AB3" s="83"/>
    </row>
    <row r="4" spans="1:28" x14ac:dyDescent="0.25">
      <c r="A4" s="38"/>
      <c r="B4" s="38"/>
      <c r="C4" s="38"/>
      <c r="D4" s="513"/>
      <c r="E4" s="513"/>
      <c r="F4" s="513"/>
      <c r="G4" s="513"/>
      <c r="H4" s="513"/>
      <c r="I4" s="513"/>
      <c r="J4" s="38"/>
      <c r="K4" s="38"/>
      <c r="L4" s="27"/>
      <c r="M4" s="27"/>
      <c r="N4" s="27"/>
      <c r="O4" s="27"/>
      <c r="P4" s="27"/>
      <c r="Q4" s="27"/>
      <c r="R4" s="27"/>
      <c r="S4" s="27"/>
      <c r="T4" s="27"/>
      <c r="U4" s="27"/>
      <c r="V4" s="38"/>
      <c r="W4" s="38"/>
      <c r="X4" s="38"/>
      <c r="Y4" s="38"/>
      <c r="Z4" s="27"/>
      <c r="AA4" s="27"/>
      <c r="AB4" s="83"/>
    </row>
    <row r="5" spans="1:28" ht="12.75" customHeight="1" x14ac:dyDescent="0.25">
      <c r="A5" s="38"/>
      <c r="B5" s="38"/>
      <c r="C5" s="38"/>
      <c r="D5" s="38"/>
      <c r="E5" s="38"/>
      <c r="F5" s="38"/>
      <c r="G5" s="38"/>
      <c r="H5" s="38"/>
      <c r="I5" s="38"/>
      <c r="J5" s="38"/>
      <c r="K5" s="27"/>
      <c r="L5" s="27"/>
      <c r="M5" s="27"/>
      <c r="N5" s="27"/>
      <c r="O5" s="27"/>
      <c r="P5" s="27"/>
      <c r="Q5" s="27"/>
      <c r="R5" s="27"/>
      <c r="S5" s="27"/>
      <c r="T5" s="27"/>
      <c r="U5" s="27"/>
      <c r="V5" s="38"/>
      <c r="W5" s="38"/>
      <c r="X5" s="38"/>
      <c r="Y5" s="38"/>
      <c r="Z5" s="27"/>
      <c r="AA5" s="27"/>
      <c r="AB5" s="83"/>
    </row>
    <row r="6" spans="1:28" ht="31.5" customHeight="1" x14ac:dyDescent="0.25">
      <c r="A6" s="38"/>
      <c r="B6" s="152" t="s">
        <v>194</v>
      </c>
      <c r="C6" s="152" t="s">
        <v>82</v>
      </c>
      <c r="D6" s="153" t="s">
        <v>83</v>
      </c>
      <c r="E6" s="153" t="s">
        <v>86</v>
      </c>
      <c r="F6" s="153" t="s">
        <v>87</v>
      </c>
      <c r="G6" s="153" t="s">
        <v>195</v>
      </c>
      <c r="H6" s="153" t="s">
        <v>480</v>
      </c>
      <c r="I6" s="153" t="s">
        <v>481</v>
      </c>
      <c r="J6" s="153" t="s">
        <v>51</v>
      </c>
      <c r="K6" s="153" t="s">
        <v>84</v>
      </c>
      <c r="L6" s="153" t="s">
        <v>482</v>
      </c>
      <c r="M6" s="153" t="s">
        <v>483</v>
      </c>
      <c r="N6" s="153" t="s">
        <v>484</v>
      </c>
      <c r="O6" s="153" t="s">
        <v>485</v>
      </c>
      <c r="P6" s="153" t="s">
        <v>486</v>
      </c>
      <c r="Q6" s="153" t="s">
        <v>487</v>
      </c>
      <c r="R6" s="153" t="s">
        <v>93</v>
      </c>
      <c r="S6" s="153" t="s">
        <v>204</v>
      </c>
      <c r="T6" s="153" t="s">
        <v>205</v>
      </c>
      <c r="U6" s="153" t="s">
        <v>215</v>
      </c>
      <c r="V6" s="153" t="s">
        <v>52</v>
      </c>
      <c r="W6" s="153" t="s">
        <v>53</v>
      </c>
      <c r="X6" s="153" t="s">
        <v>54</v>
      </c>
      <c r="Y6" s="251" t="s">
        <v>97</v>
      </c>
      <c r="Z6" s="251" t="s">
        <v>344</v>
      </c>
      <c r="AA6" s="251" t="s">
        <v>71</v>
      </c>
      <c r="AB6" s="83"/>
    </row>
    <row r="7" spans="1:28" ht="31.5" hidden="1" customHeight="1" x14ac:dyDescent="0.25">
      <c r="A7" s="38"/>
      <c r="B7" s="246" t="s">
        <v>100</v>
      </c>
      <c r="C7" s="246"/>
      <c r="D7" s="245" t="s">
        <v>101</v>
      </c>
      <c r="E7" s="245" t="s">
        <v>104</v>
      </c>
      <c r="F7" s="245" t="s">
        <v>105</v>
      </c>
      <c r="G7" s="245" t="s">
        <v>218</v>
      </c>
      <c r="H7" s="245" t="s">
        <v>103</v>
      </c>
      <c r="I7" s="245" t="s">
        <v>488</v>
      </c>
      <c r="J7" s="245" t="s">
        <v>51</v>
      </c>
      <c r="K7" s="245" t="s">
        <v>102</v>
      </c>
      <c r="L7" s="245"/>
      <c r="M7" s="245"/>
      <c r="N7" s="245"/>
      <c r="O7" s="245"/>
      <c r="P7" s="245"/>
      <c r="Q7" s="245"/>
      <c r="R7" s="245"/>
      <c r="S7" s="245"/>
      <c r="T7" s="245"/>
      <c r="U7" s="245" t="s">
        <v>108</v>
      </c>
      <c r="V7" s="245" t="s">
        <v>109</v>
      </c>
      <c r="W7" s="245" t="s">
        <v>110</v>
      </c>
      <c r="X7" s="245" t="s">
        <v>111</v>
      </c>
      <c r="Y7" s="252" t="s">
        <v>112</v>
      </c>
      <c r="Z7" s="252" t="s">
        <v>114</v>
      </c>
      <c r="AA7" s="252" t="s">
        <v>113</v>
      </c>
      <c r="AB7" s="83"/>
    </row>
    <row r="8" spans="1:28" ht="20.25" customHeight="1" x14ac:dyDescent="0.25">
      <c r="A8" s="38"/>
      <c r="B8" s="220">
        <v>1</v>
      </c>
      <c r="C8" s="9" t="s">
        <v>63</v>
      </c>
      <c r="D8" s="11"/>
      <c r="E8" s="41"/>
      <c r="F8" s="11"/>
      <c r="G8" s="11"/>
      <c r="H8" s="11"/>
      <c r="I8" s="11"/>
      <c r="J8" s="11"/>
      <c r="K8" s="92" t="str">
        <f t="shared" ref="K8:K15" si="0">IF(D8=$F$28,$G$28,IF(D8=$F$29,$G$29,""))</f>
        <v/>
      </c>
      <c r="L8" s="92" t="str">
        <f>IF(I8="", "", IF(I8=$C$24, $D$20, $F$20))</f>
        <v/>
      </c>
      <c r="M8" s="92" t="str">
        <f t="shared" ref="M8:M15" si="1">IF(I8="", "", IF(I8=$C$24, $E$20, $G$20))</f>
        <v/>
      </c>
      <c r="N8" s="98" t="str">
        <f>IF(I8="", "", IF(I8=$C$24, $D$21, $F$21))</f>
        <v/>
      </c>
      <c r="O8" s="98" t="str">
        <f t="shared" ref="O8:O15" si="2">IF(I8="", "", IF(I8=$C$24, $E$21, $G$21))</f>
        <v/>
      </c>
      <c r="P8" s="99" t="str">
        <f>IF(I8="", "", IF(I8=$C$24, $D$22, $F$22))</f>
        <v/>
      </c>
      <c r="Q8" s="99" t="str">
        <f t="shared" ref="Q8:Q15" si="3">IF(I8="", "", IF(I8=$C$24, $E$22, $G$22))</f>
        <v/>
      </c>
      <c r="R8" s="92">
        <f>$P$20</f>
        <v>0.9</v>
      </c>
      <c r="S8" s="99" t="e">
        <f>(($M$20*($N$20/N8))+L8*($L$20-($M$20/P8)))*$O$20</f>
        <v>#VALUE!</v>
      </c>
      <c r="T8" s="99" t="e">
        <f>(($M$20*($N$20/O8))+M8*($L$20-($M$20/Q8)))*$O$20</f>
        <v>#VALUE!</v>
      </c>
      <c r="U8" s="99" t="str">
        <f t="shared" ref="U8:U15" si="4">IFERROR(ROUND(IF(W8="", "", (W8/(12*365))),6),"")</f>
        <v/>
      </c>
      <c r="V8" s="416" t="str">
        <f t="shared" ref="V8:V15" si="5">IFERROR(ROUND(IF(W8="", "", (W8/(12*365))*R8),6),"")</f>
        <v/>
      </c>
      <c r="W8" s="416" t="str">
        <f>IFERROR(ROUND(IF(J8="", "", (S8-T8)*J8),4),"")</f>
        <v/>
      </c>
      <c r="X8" s="39" t="str">
        <f>IF(AND(I8="", J8=""), "", $C$28*J8)</f>
        <v/>
      </c>
      <c r="Y8" s="258">
        <f t="shared" ref="Y8:Y15" si="6">H8</f>
        <v>0</v>
      </c>
      <c r="Z8" s="258" t="str">
        <f t="shared" ref="Z8:Z15" si="7">IF(W8&gt;0,"Yes","No")</f>
        <v>Yes</v>
      </c>
      <c r="AA8" s="258" t="s">
        <v>489</v>
      </c>
      <c r="AB8" s="83"/>
    </row>
    <row r="9" spans="1:28" ht="21" customHeight="1" x14ac:dyDescent="0.25">
      <c r="A9" s="38"/>
      <c r="B9" s="220">
        <v>2</v>
      </c>
      <c r="C9" s="9" t="s">
        <v>63</v>
      </c>
      <c r="D9" s="11"/>
      <c r="E9" s="41"/>
      <c r="F9" s="11"/>
      <c r="G9" s="11"/>
      <c r="H9" s="11"/>
      <c r="I9" s="11"/>
      <c r="J9" s="11"/>
      <c r="K9" s="92" t="str">
        <f t="shared" si="0"/>
        <v/>
      </c>
      <c r="L9" s="92" t="str">
        <f t="shared" ref="L9:L15" si="8">IF(I9="", "", IF(I9=$C$24, $D$20, $F$20))</f>
        <v/>
      </c>
      <c r="M9" s="92" t="str">
        <f t="shared" si="1"/>
        <v/>
      </c>
      <c r="N9" s="98" t="str">
        <f t="shared" ref="N9:N15" si="9">IF(I9="", "", IF(I9=$C$24, $D$21, $F$21))</f>
        <v/>
      </c>
      <c r="O9" s="98" t="str">
        <f t="shared" si="2"/>
        <v/>
      </c>
      <c r="P9" s="99" t="str">
        <f t="shared" ref="P9:P15" si="10">IF(I9="", "", IF(I9=$C$24, $D$22, $F$22))</f>
        <v/>
      </c>
      <c r="Q9" s="99" t="str">
        <f t="shared" si="3"/>
        <v/>
      </c>
      <c r="R9" s="92">
        <f t="shared" ref="R9:R15" si="11">$P$20</f>
        <v>0.9</v>
      </c>
      <c r="S9" s="99" t="e">
        <f t="shared" ref="S9:S15" si="12">(($M$20*($N$20/N9))+L9*($L$20-($M$20/P9)))*$O$20</f>
        <v>#VALUE!</v>
      </c>
      <c r="T9" s="99" t="e">
        <f t="shared" ref="T9:T15" si="13">(($M$20*($N$20/O9))+M9*($L$20-($M$20/Q9)))*$O$20</f>
        <v>#VALUE!</v>
      </c>
      <c r="U9" s="99" t="str">
        <f t="shared" si="4"/>
        <v/>
      </c>
      <c r="V9" s="416" t="str">
        <f t="shared" si="5"/>
        <v/>
      </c>
      <c r="W9" s="416" t="str">
        <f t="shared" ref="W9:W15" si="14">IFERROR(ROUND(IF(J9="", "", (S9-T9)*J9),4),"")</f>
        <v/>
      </c>
      <c r="X9" s="39" t="str">
        <f t="shared" ref="X9:X15" si="15">IF(AND(I9="", J9=""), "", $C$28*J9)</f>
        <v/>
      </c>
      <c r="Y9" s="258">
        <f t="shared" si="6"/>
        <v>0</v>
      </c>
      <c r="Z9" s="258" t="str">
        <f t="shared" si="7"/>
        <v>Yes</v>
      </c>
      <c r="AA9" s="258" t="s">
        <v>489</v>
      </c>
      <c r="AB9" s="83"/>
    </row>
    <row r="10" spans="1:28" ht="21" customHeight="1" x14ac:dyDescent="0.25">
      <c r="A10" s="38"/>
      <c r="B10" s="220">
        <v>3</v>
      </c>
      <c r="C10" s="9" t="s">
        <v>63</v>
      </c>
      <c r="D10" s="11"/>
      <c r="E10" s="41"/>
      <c r="F10" s="11"/>
      <c r="G10" s="11"/>
      <c r="H10" s="11"/>
      <c r="I10" s="11"/>
      <c r="J10" s="11"/>
      <c r="K10" s="92" t="str">
        <f t="shared" si="0"/>
        <v/>
      </c>
      <c r="L10" s="92" t="str">
        <f t="shared" si="8"/>
        <v/>
      </c>
      <c r="M10" s="92" t="str">
        <f t="shared" si="1"/>
        <v/>
      </c>
      <c r="N10" s="98" t="str">
        <f t="shared" si="9"/>
        <v/>
      </c>
      <c r="O10" s="98" t="str">
        <f t="shared" si="2"/>
        <v/>
      </c>
      <c r="P10" s="99" t="str">
        <f t="shared" si="10"/>
        <v/>
      </c>
      <c r="Q10" s="99" t="str">
        <f t="shared" si="3"/>
        <v/>
      </c>
      <c r="R10" s="92">
        <f t="shared" si="11"/>
        <v>0.9</v>
      </c>
      <c r="S10" s="99" t="e">
        <f t="shared" si="12"/>
        <v>#VALUE!</v>
      </c>
      <c r="T10" s="99" t="e">
        <f t="shared" si="13"/>
        <v>#VALUE!</v>
      </c>
      <c r="U10" s="99" t="str">
        <f t="shared" si="4"/>
        <v/>
      </c>
      <c r="V10" s="416" t="str">
        <f t="shared" si="5"/>
        <v/>
      </c>
      <c r="W10" s="416" t="str">
        <f t="shared" si="14"/>
        <v/>
      </c>
      <c r="X10" s="39" t="str">
        <f t="shared" si="15"/>
        <v/>
      </c>
      <c r="Y10" s="258">
        <f t="shared" si="6"/>
        <v>0</v>
      </c>
      <c r="Z10" s="258" t="str">
        <f t="shared" si="7"/>
        <v>Yes</v>
      </c>
      <c r="AA10" s="258" t="s">
        <v>489</v>
      </c>
      <c r="AB10" s="83"/>
    </row>
    <row r="11" spans="1:28" ht="21" customHeight="1" x14ac:dyDescent="0.25">
      <c r="A11" s="38"/>
      <c r="B11" s="220">
        <v>4</v>
      </c>
      <c r="C11" s="9" t="s">
        <v>63</v>
      </c>
      <c r="D11" s="11"/>
      <c r="E11" s="41"/>
      <c r="F11" s="11"/>
      <c r="G11" s="11"/>
      <c r="H11" s="11"/>
      <c r="I11" s="11"/>
      <c r="J11" s="11"/>
      <c r="K11" s="92" t="str">
        <f t="shared" si="0"/>
        <v/>
      </c>
      <c r="L11" s="92" t="str">
        <f t="shared" si="8"/>
        <v/>
      </c>
      <c r="M11" s="92" t="str">
        <f t="shared" si="1"/>
        <v/>
      </c>
      <c r="N11" s="98" t="str">
        <f t="shared" si="9"/>
        <v/>
      </c>
      <c r="O11" s="98" t="str">
        <f t="shared" si="2"/>
        <v/>
      </c>
      <c r="P11" s="99" t="str">
        <f t="shared" si="10"/>
        <v/>
      </c>
      <c r="Q11" s="99" t="str">
        <f t="shared" si="3"/>
        <v/>
      </c>
      <c r="R11" s="92">
        <f t="shared" si="11"/>
        <v>0.9</v>
      </c>
      <c r="S11" s="99" t="e">
        <f t="shared" si="12"/>
        <v>#VALUE!</v>
      </c>
      <c r="T11" s="99" t="e">
        <f t="shared" si="13"/>
        <v>#VALUE!</v>
      </c>
      <c r="U11" s="99" t="str">
        <f t="shared" si="4"/>
        <v/>
      </c>
      <c r="V11" s="416" t="str">
        <f t="shared" si="5"/>
        <v/>
      </c>
      <c r="W11" s="416" t="str">
        <f t="shared" si="14"/>
        <v/>
      </c>
      <c r="X11" s="39" t="str">
        <f t="shared" si="15"/>
        <v/>
      </c>
      <c r="Y11" s="258">
        <f t="shared" si="6"/>
        <v>0</v>
      </c>
      <c r="Z11" s="258" t="str">
        <f t="shared" si="7"/>
        <v>Yes</v>
      </c>
      <c r="AA11" s="258" t="s">
        <v>489</v>
      </c>
      <c r="AB11" s="83"/>
    </row>
    <row r="12" spans="1:28" ht="21" customHeight="1" x14ac:dyDescent="0.25">
      <c r="A12" s="38"/>
      <c r="B12" s="220">
        <v>5</v>
      </c>
      <c r="C12" s="9" t="s">
        <v>63</v>
      </c>
      <c r="D12" s="11"/>
      <c r="E12" s="41"/>
      <c r="F12" s="11"/>
      <c r="G12" s="11"/>
      <c r="H12" s="11"/>
      <c r="I12" s="11"/>
      <c r="J12" s="11"/>
      <c r="K12" s="92" t="str">
        <f t="shared" si="0"/>
        <v/>
      </c>
      <c r="L12" s="92" t="str">
        <f t="shared" si="8"/>
        <v/>
      </c>
      <c r="M12" s="92" t="str">
        <f t="shared" si="1"/>
        <v/>
      </c>
      <c r="N12" s="98" t="str">
        <f t="shared" si="9"/>
        <v/>
      </c>
      <c r="O12" s="98" t="str">
        <f t="shared" si="2"/>
        <v/>
      </c>
      <c r="P12" s="99" t="str">
        <f t="shared" si="10"/>
        <v/>
      </c>
      <c r="Q12" s="99" t="str">
        <f t="shared" si="3"/>
        <v/>
      </c>
      <c r="R12" s="92">
        <f t="shared" si="11"/>
        <v>0.9</v>
      </c>
      <c r="S12" s="99" t="e">
        <f t="shared" si="12"/>
        <v>#VALUE!</v>
      </c>
      <c r="T12" s="99" t="e">
        <f t="shared" si="13"/>
        <v>#VALUE!</v>
      </c>
      <c r="U12" s="99" t="str">
        <f t="shared" si="4"/>
        <v/>
      </c>
      <c r="V12" s="416" t="str">
        <f t="shared" si="5"/>
        <v/>
      </c>
      <c r="W12" s="416" t="str">
        <f t="shared" si="14"/>
        <v/>
      </c>
      <c r="X12" s="39" t="str">
        <f t="shared" si="15"/>
        <v/>
      </c>
      <c r="Y12" s="258">
        <f t="shared" si="6"/>
        <v>0</v>
      </c>
      <c r="Z12" s="258" t="str">
        <f t="shared" si="7"/>
        <v>Yes</v>
      </c>
      <c r="AA12" s="258" t="s">
        <v>489</v>
      </c>
      <c r="AB12" s="83"/>
    </row>
    <row r="13" spans="1:28" ht="21" customHeight="1" x14ac:dyDescent="0.25">
      <c r="A13" s="38"/>
      <c r="B13" s="220">
        <v>6</v>
      </c>
      <c r="C13" s="9" t="s">
        <v>63</v>
      </c>
      <c r="D13" s="11"/>
      <c r="E13" s="41"/>
      <c r="F13" s="11"/>
      <c r="G13" s="11"/>
      <c r="H13" s="11"/>
      <c r="I13" s="11"/>
      <c r="J13" s="11"/>
      <c r="K13" s="92" t="str">
        <f t="shared" si="0"/>
        <v/>
      </c>
      <c r="L13" s="92" t="str">
        <f t="shared" si="8"/>
        <v/>
      </c>
      <c r="M13" s="92" t="str">
        <f t="shared" si="1"/>
        <v/>
      </c>
      <c r="N13" s="98" t="str">
        <f t="shared" si="9"/>
        <v/>
      </c>
      <c r="O13" s="98" t="str">
        <f t="shared" si="2"/>
        <v/>
      </c>
      <c r="P13" s="99" t="str">
        <f t="shared" si="10"/>
        <v/>
      </c>
      <c r="Q13" s="99" t="str">
        <f t="shared" si="3"/>
        <v/>
      </c>
      <c r="R13" s="92">
        <f t="shared" si="11"/>
        <v>0.9</v>
      </c>
      <c r="S13" s="99" t="e">
        <f t="shared" si="12"/>
        <v>#VALUE!</v>
      </c>
      <c r="T13" s="99" t="e">
        <f t="shared" si="13"/>
        <v>#VALUE!</v>
      </c>
      <c r="U13" s="99" t="str">
        <f t="shared" si="4"/>
        <v/>
      </c>
      <c r="V13" s="416" t="str">
        <f t="shared" si="5"/>
        <v/>
      </c>
      <c r="W13" s="416" t="str">
        <f t="shared" si="14"/>
        <v/>
      </c>
      <c r="X13" s="39" t="str">
        <f t="shared" si="15"/>
        <v/>
      </c>
      <c r="Y13" s="258">
        <f t="shared" si="6"/>
        <v>0</v>
      </c>
      <c r="Z13" s="258" t="str">
        <f t="shared" si="7"/>
        <v>Yes</v>
      </c>
      <c r="AA13" s="258" t="s">
        <v>489</v>
      </c>
      <c r="AB13" s="83"/>
    </row>
    <row r="14" spans="1:28" ht="21" customHeight="1" x14ac:dyDescent="0.25">
      <c r="A14" s="38"/>
      <c r="B14" s="220">
        <v>7</v>
      </c>
      <c r="C14" s="9" t="s">
        <v>63</v>
      </c>
      <c r="D14" s="11"/>
      <c r="E14" s="41"/>
      <c r="F14" s="11"/>
      <c r="G14" s="11"/>
      <c r="H14" s="11"/>
      <c r="I14" s="11"/>
      <c r="J14" s="11"/>
      <c r="K14" s="92" t="str">
        <f t="shared" si="0"/>
        <v/>
      </c>
      <c r="L14" s="92" t="str">
        <f t="shared" si="8"/>
        <v/>
      </c>
      <c r="M14" s="92" t="str">
        <f t="shared" si="1"/>
        <v/>
      </c>
      <c r="N14" s="98" t="str">
        <f t="shared" si="9"/>
        <v/>
      </c>
      <c r="O14" s="98" t="str">
        <f t="shared" si="2"/>
        <v/>
      </c>
      <c r="P14" s="99" t="str">
        <f t="shared" si="10"/>
        <v/>
      </c>
      <c r="Q14" s="99" t="str">
        <f t="shared" si="3"/>
        <v/>
      </c>
      <c r="R14" s="92">
        <f t="shared" si="11"/>
        <v>0.9</v>
      </c>
      <c r="S14" s="99" t="e">
        <f t="shared" si="12"/>
        <v>#VALUE!</v>
      </c>
      <c r="T14" s="99" t="e">
        <f t="shared" si="13"/>
        <v>#VALUE!</v>
      </c>
      <c r="U14" s="99" t="str">
        <f t="shared" si="4"/>
        <v/>
      </c>
      <c r="V14" s="416" t="str">
        <f t="shared" si="5"/>
        <v/>
      </c>
      <c r="W14" s="416" t="str">
        <f t="shared" si="14"/>
        <v/>
      </c>
      <c r="X14" s="39" t="str">
        <f t="shared" si="15"/>
        <v/>
      </c>
      <c r="Y14" s="258">
        <f t="shared" si="6"/>
        <v>0</v>
      </c>
      <c r="Z14" s="258" t="str">
        <f t="shared" si="7"/>
        <v>Yes</v>
      </c>
      <c r="AA14" s="258" t="s">
        <v>489</v>
      </c>
      <c r="AB14" s="83"/>
    </row>
    <row r="15" spans="1:28" ht="21" customHeight="1" x14ac:dyDescent="0.25">
      <c r="A15" s="38"/>
      <c r="B15" s="220">
        <v>8</v>
      </c>
      <c r="C15" s="9" t="s">
        <v>63</v>
      </c>
      <c r="D15" s="11"/>
      <c r="E15" s="41"/>
      <c r="F15" s="11"/>
      <c r="G15" s="11"/>
      <c r="H15" s="11"/>
      <c r="I15" s="11"/>
      <c r="J15" s="11"/>
      <c r="K15" s="92" t="str">
        <f t="shared" si="0"/>
        <v/>
      </c>
      <c r="L15" s="92" t="str">
        <f t="shared" si="8"/>
        <v/>
      </c>
      <c r="M15" s="92" t="str">
        <f t="shared" si="1"/>
        <v/>
      </c>
      <c r="N15" s="98" t="str">
        <f t="shared" si="9"/>
        <v/>
      </c>
      <c r="O15" s="98" t="str">
        <f t="shared" si="2"/>
        <v/>
      </c>
      <c r="P15" s="99" t="str">
        <f t="shared" si="10"/>
        <v/>
      </c>
      <c r="Q15" s="99" t="str">
        <f t="shared" si="3"/>
        <v/>
      </c>
      <c r="R15" s="92">
        <f t="shared" si="11"/>
        <v>0.9</v>
      </c>
      <c r="S15" s="99" t="e">
        <f t="shared" si="12"/>
        <v>#VALUE!</v>
      </c>
      <c r="T15" s="99" t="e">
        <f t="shared" si="13"/>
        <v>#VALUE!</v>
      </c>
      <c r="U15" s="99" t="str">
        <f t="shared" si="4"/>
        <v/>
      </c>
      <c r="V15" s="416" t="str">
        <f t="shared" si="5"/>
        <v/>
      </c>
      <c r="W15" s="416" t="str">
        <f t="shared" si="14"/>
        <v/>
      </c>
      <c r="X15" s="39" t="str">
        <f t="shared" si="15"/>
        <v/>
      </c>
      <c r="Y15" s="258">
        <f t="shared" si="6"/>
        <v>0</v>
      </c>
      <c r="Z15" s="258" t="str">
        <f t="shared" si="7"/>
        <v>Yes</v>
      </c>
      <c r="AA15" s="258" t="s">
        <v>489</v>
      </c>
      <c r="AB15" s="83"/>
    </row>
    <row r="16" spans="1:28" hidden="1" x14ac:dyDescent="0.25">
      <c r="J16">
        <f>SUM(J8:J15)</f>
        <v>0</v>
      </c>
      <c r="K16">
        <f t="shared" ref="K16:X16" si="16">SUM(K8:K15)</f>
        <v>0</v>
      </c>
      <c r="L16">
        <f t="shared" si="16"/>
        <v>0</v>
      </c>
      <c r="M16">
        <f t="shared" si="16"/>
        <v>0</v>
      </c>
      <c r="N16">
        <f t="shared" si="16"/>
        <v>0</v>
      </c>
      <c r="O16">
        <f t="shared" si="16"/>
        <v>0</v>
      </c>
      <c r="P16">
        <f t="shared" si="16"/>
        <v>0</v>
      </c>
      <c r="Q16">
        <f t="shared" si="16"/>
        <v>0</v>
      </c>
      <c r="R16">
        <f t="shared" si="16"/>
        <v>7.2000000000000011</v>
      </c>
      <c r="S16" t="e">
        <f t="shared" si="16"/>
        <v>#VALUE!</v>
      </c>
      <c r="T16" t="e">
        <f t="shared" si="16"/>
        <v>#VALUE!</v>
      </c>
      <c r="U16">
        <f t="shared" si="16"/>
        <v>0</v>
      </c>
      <c r="V16">
        <f t="shared" si="16"/>
        <v>0</v>
      </c>
      <c r="W16">
        <f t="shared" si="16"/>
        <v>0</v>
      </c>
      <c r="X16">
        <f t="shared" si="16"/>
        <v>0</v>
      </c>
      <c r="AB16" s="83"/>
    </row>
    <row r="17" spans="1:28" hidden="1" x14ac:dyDescent="0.25">
      <c r="AB17" s="83"/>
    </row>
    <row r="18" spans="1:28" hidden="1" x14ac:dyDescent="0.25">
      <c r="A18" s="27"/>
      <c r="C18" s="527" t="s">
        <v>459</v>
      </c>
      <c r="D18" s="540" t="s">
        <v>490</v>
      </c>
      <c r="E18" s="540"/>
      <c r="F18" s="541" t="s">
        <v>491</v>
      </c>
      <c r="G18" s="542"/>
      <c r="H18" s="543"/>
      <c r="AB18" s="83"/>
    </row>
    <row r="19" spans="1:28" ht="44.25" hidden="1" customHeight="1" x14ac:dyDescent="0.25">
      <c r="A19" s="27"/>
      <c r="C19" s="527"/>
      <c r="D19" s="222" t="s">
        <v>460</v>
      </c>
      <c r="E19" s="222" t="s">
        <v>461</v>
      </c>
      <c r="F19" s="222" t="s">
        <v>460</v>
      </c>
      <c r="G19" s="222" t="s">
        <v>461</v>
      </c>
      <c r="H19" s="222"/>
      <c r="L19" s="222" t="s">
        <v>464</v>
      </c>
      <c r="M19" s="222" t="s">
        <v>440</v>
      </c>
      <c r="N19" s="222" t="s">
        <v>492</v>
      </c>
      <c r="O19" s="222" t="s">
        <v>465</v>
      </c>
      <c r="P19" s="222" t="s">
        <v>93</v>
      </c>
      <c r="AB19" s="83"/>
    </row>
    <row r="20" spans="1:28" hidden="1" x14ac:dyDescent="0.25">
      <c r="A20" s="27"/>
      <c r="C20" s="105" t="s">
        <v>469</v>
      </c>
      <c r="D20" s="6">
        <v>1.03</v>
      </c>
      <c r="E20" s="6">
        <v>1</v>
      </c>
      <c r="F20" s="6">
        <v>2</v>
      </c>
      <c r="G20" s="6">
        <v>1.6</v>
      </c>
      <c r="H20" s="6"/>
      <c r="L20" s="6">
        <v>12</v>
      </c>
      <c r="M20" s="6">
        <v>100</v>
      </c>
      <c r="N20" s="6">
        <v>7.3200000000000001E-2</v>
      </c>
      <c r="O20" s="6">
        <v>365</v>
      </c>
      <c r="P20" s="6">
        <v>0.9</v>
      </c>
      <c r="AB20" s="83"/>
    </row>
    <row r="21" spans="1:28" hidden="1" x14ac:dyDescent="0.25">
      <c r="A21" s="27"/>
      <c r="C21" s="105" t="s">
        <v>474</v>
      </c>
      <c r="D21" s="6">
        <v>0.68</v>
      </c>
      <c r="E21" s="6">
        <v>0.71</v>
      </c>
      <c r="F21" s="6">
        <v>0.65</v>
      </c>
      <c r="G21" s="6">
        <v>0.71</v>
      </c>
      <c r="H21" s="6"/>
      <c r="AB21" s="83"/>
    </row>
    <row r="22" spans="1:28" hidden="1" x14ac:dyDescent="0.25">
      <c r="A22" s="27"/>
      <c r="C22" s="6" t="s">
        <v>475</v>
      </c>
      <c r="D22" s="6">
        <v>45</v>
      </c>
      <c r="E22" s="6">
        <v>50</v>
      </c>
      <c r="F22" s="6">
        <v>90</v>
      </c>
      <c r="G22" s="6">
        <v>90</v>
      </c>
      <c r="H22" s="6"/>
      <c r="AB22" s="83"/>
    </row>
    <row r="23" spans="1:28" hidden="1" x14ac:dyDescent="0.25">
      <c r="A23" s="27"/>
      <c r="AB23" s="83"/>
    </row>
    <row r="24" spans="1:28" hidden="1" x14ac:dyDescent="0.25">
      <c r="A24" s="27"/>
      <c r="C24" t="s">
        <v>490</v>
      </c>
      <c r="AB24" s="83"/>
    </row>
    <row r="25" spans="1:28" hidden="1" x14ac:dyDescent="0.25">
      <c r="A25" s="27"/>
      <c r="C25" t="s">
        <v>491</v>
      </c>
      <c r="AB25" s="83"/>
    </row>
    <row r="26" spans="1:28" hidden="1" x14ac:dyDescent="0.25">
      <c r="A26" s="27"/>
      <c r="AB26" s="83"/>
    </row>
    <row r="27" spans="1:28" hidden="1" x14ac:dyDescent="0.25">
      <c r="A27" s="27"/>
      <c r="C27" s="221" t="s">
        <v>54</v>
      </c>
      <c r="F27" s="14" t="s">
        <v>83</v>
      </c>
      <c r="G27" s="267" t="s">
        <v>84</v>
      </c>
      <c r="H27" s="267"/>
      <c r="AB27" s="83"/>
    </row>
    <row r="28" spans="1:28" hidden="1" x14ac:dyDescent="0.25">
      <c r="A28" s="27"/>
      <c r="C28" s="106">
        <f>350*'Project Summary'!M12</f>
        <v>175</v>
      </c>
      <c r="D28" s="6" t="s">
        <v>476</v>
      </c>
      <c r="F28" s="19" t="s">
        <v>124</v>
      </c>
      <c r="G28" s="19" t="s">
        <v>124</v>
      </c>
      <c r="H28" s="28"/>
      <c r="AB28" s="83"/>
    </row>
    <row r="29" spans="1:28" hidden="1" x14ac:dyDescent="0.25">
      <c r="A29" s="27"/>
      <c r="F29" s="19" t="s">
        <v>129</v>
      </c>
      <c r="G29" s="19" t="s">
        <v>130</v>
      </c>
      <c r="H29" s="28"/>
      <c r="AB29" s="83"/>
    </row>
    <row r="30" spans="1:28" hidden="1" x14ac:dyDescent="0.25">
      <c r="A30" s="27"/>
      <c r="C30" s="45" t="s">
        <v>268</v>
      </c>
      <c r="AB30" s="83"/>
    </row>
    <row r="31" spans="1:28" hidden="1" x14ac:dyDescent="0.25">
      <c r="A31" s="27"/>
      <c r="C31" s="5">
        <v>12</v>
      </c>
      <c r="D31" t="s">
        <v>417</v>
      </c>
      <c r="AB31" s="83"/>
    </row>
    <row r="32" spans="1:28" s="82" customFormat="1"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B32" s="83"/>
    </row>
    <row r="33" spans="1:28" s="82" customFormat="1" x14ac:dyDescent="0.25">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B33" s="83"/>
    </row>
    <row r="34" spans="1:28" s="82" customFormat="1" x14ac:dyDescent="0.25"/>
    <row r="35" spans="1:28" s="82" customFormat="1" x14ac:dyDescent="0.25"/>
    <row r="36" spans="1:28" s="82" customFormat="1" x14ac:dyDescent="0.25"/>
    <row r="37" spans="1:28" s="82" customFormat="1" x14ac:dyDescent="0.25"/>
    <row r="38" spans="1:28" s="82" customFormat="1" x14ac:dyDescent="0.25"/>
    <row r="39" spans="1:28" s="82" customFormat="1" x14ac:dyDescent="0.25"/>
    <row r="40" spans="1:28" s="82" customFormat="1" x14ac:dyDescent="0.25"/>
    <row r="41" spans="1:28" s="82" customFormat="1" x14ac:dyDescent="0.25"/>
    <row r="42" spans="1:28" s="82" customFormat="1" x14ac:dyDescent="0.25"/>
    <row r="43" spans="1:28" s="82" customFormat="1" x14ac:dyDescent="0.25"/>
    <row r="44" spans="1:28" s="82" customFormat="1" x14ac:dyDescent="0.25"/>
    <row r="45" spans="1:28" s="82" customFormat="1" x14ac:dyDescent="0.25"/>
    <row r="46" spans="1:28" s="82" customFormat="1" x14ac:dyDescent="0.25"/>
    <row r="47" spans="1:28" s="82" customFormat="1" x14ac:dyDescent="0.25"/>
    <row r="48" spans="1:2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row r="1181" s="82" customFormat="1" x14ac:dyDescent="0.25"/>
    <row r="1182" s="82" customFormat="1" x14ac:dyDescent="0.25"/>
    <row r="1183" s="82" customFormat="1" x14ac:dyDescent="0.25"/>
    <row r="1184" s="82" customFormat="1" x14ac:dyDescent="0.25"/>
    <row r="1185" s="82" customFormat="1" x14ac:dyDescent="0.25"/>
    <row r="1186" s="82" customFormat="1" x14ac:dyDescent="0.25"/>
    <row r="1187" s="82" customFormat="1" x14ac:dyDescent="0.25"/>
    <row r="1188" s="82" customFormat="1" x14ac:dyDescent="0.25"/>
    <row r="1189" s="82" customFormat="1" x14ac:dyDescent="0.25"/>
    <row r="1190" s="82" customFormat="1" x14ac:dyDescent="0.25"/>
    <row r="1191" s="82" customFormat="1" x14ac:dyDescent="0.25"/>
    <row r="1192" s="82" customFormat="1" x14ac:dyDescent="0.25"/>
    <row r="1193" s="82" customFormat="1" x14ac:dyDescent="0.25"/>
    <row r="1194" s="82" customFormat="1" x14ac:dyDescent="0.25"/>
    <row r="1195" s="82" customFormat="1" x14ac:dyDescent="0.25"/>
    <row r="1196" s="82" customFormat="1" x14ac:dyDescent="0.25"/>
    <row r="1197" s="82" customFormat="1" x14ac:dyDescent="0.25"/>
    <row r="1198" s="82" customFormat="1" x14ac:dyDescent="0.25"/>
    <row r="1199" s="82" customFormat="1" x14ac:dyDescent="0.25"/>
    <row r="1200" s="82" customFormat="1" x14ac:dyDescent="0.25"/>
    <row r="1201" s="82" customFormat="1" x14ac:dyDescent="0.25"/>
    <row r="1202" s="82" customFormat="1" x14ac:dyDescent="0.25"/>
    <row r="1203" s="82" customFormat="1" x14ac:dyDescent="0.25"/>
    <row r="1204" s="82" customFormat="1" x14ac:dyDescent="0.25"/>
    <row r="1205" s="82" customFormat="1" x14ac:dyDescent="0.25"/>
    <row r="1206" s="82" customFormat="1" x14ac:dyDescent="0.25"/>
    <row r="1207" s="82" customFormat="1" x14ac:dyDescent="0.25"/>
    <row r="1208" s="82" customFormat="1" x14ac:dyDescent="0.25"/>
    <row r="1209" s="82" customFormat="1" x14ac:dyDescent="0.25"/>
    <row r="1210" s="82" customFormat="1" x14ac:dyDescent="0.25"/>
    <row r="1211" s="82" customFormat="1" x14ac:dyDescent="0.25"/>
    <row r="1212" s="82" customFormat="1" x14ac:dyDescent="0.25"/>
    <row r="1213" s="82" customFormat="1" x14ac:dyDescent="0.25"/>
    <row r="1214" s="82" customFormat="1" x14ac:dyDescent="0.25"/>
    <row r="1215" s="82" customFormat="1" x14ac:dyDescent="0.25"/>
    <row r="1216" s="82" customFormat="1" x14ac:dyDescent="0.25"/>
    <row r="1217" s="82" customFormat="1" x14ac:dyDescent="0.25"/>
    <row r="1218" s="82" customFormat="1" x14ac:dyDescent="0.25"/>
    <row r="1219" s="82" customFormat="1" x14ac:dyDescent="0.25"/>
    <row r="1220" s="82" customFormat="1" x14ac:dyDescent="0.25"/>
    <row r="1221" s="82" customFormat="1" x14ac:dyDescent="0.25"/>
    <row r="1222" s="82" customFormat="1" x14ac:dyDescent="0.25"/>
    <row r="1223" s="82" customFormat="1" x14ac:dyDescent="0.25"/>
    <row r="1224" s="82" customFormat="1" x14ac:dyDescent="0.25"/>
    <row r="1225" s="82" customFormat="1" x14ac:dyDescent="0.25"/>
    <row r="1226" s="82" customFormat="1" x14ac:dyDescent="0.25"/>
    <row r="1227" s="82" customFormat="1" x14ac:dyDescent="0.25"/>
    <row r="1228" s="82" customFormat="1" x14ac:dyDescent="0.25"/>
    <row r="1229" s="82" customFormat="1" x14ac:dyDescent="0.25"/>
    <row r="1230" s="82" customFormat="1" x14ac:dyDescent="0.25"/>
    <row r="1231" s="82" customFormat="1" x14ac:dyDescent="0.25"/>
    <row r="1232" s="82" customFormat="1" x14ac:dyDescent="0.25"/>
    <row r="1233" s="82" customFormat="1" x14ac:dyDescent="0.25"/>
    <row r="1234" s="82" customFormat="1" x14ac:dyDescent="0.25"/>
    <row r="1235" s="82" customFormat="1" x14ac:dyDescent="0.25"/>
    <row r="1236" s="82" customFormat="1" x14ac:dyDescent="0.25"/>
    <row r="1237" s="82" customFormat="1" x14ac:dyDescent="0.25"/>
    <row r="1238" s="82" customFormat="1" x14ac:dyDescent="0.25"/>
    <row r="1239" s="82" customFormat="1" x14ac:dyDescent="0.25"/>
    <row r="1240" s="82" customFormat="1" x14ac:dyDescent="0.25"/>
    <row r="1241" s="82" customFormat="1" x14ac:dyDescent="0.25"/>
    <row r="1242" s="82" customFormat="1" x14ac:dyDescent="0.25"/>
    <row r="1243" s="82" customFormat="1" x14ac:dyDescent="0.25"/>
    <row r="1244" s="82" customFormat="1" x14ac:dyDescent="0.25"/>
    <row r="1245" s="82" customFormat="1" x14ac:dyDescent="0.25"/>
    <row r="1246" s="82" customFormat="1" x14ac:dyDescent="0.25"/>
    <row r="1247" s="82" customFormat="1" x14ac:dyDescent="0.25"/>
    <row r="1248" s="82" customFormat="1" x14ac:dyDescent="0.25"/>
    <row r="1249" s="82" customFormat="1" x14ac:dyDescent="0.25"/>
    <row r="1250" s="82" customFormat="1" x14ac:dyDescent="0.25"/>
    <row r="1251" s="82" customFormat="1" x14ac:dyDescent="0.25"/>
    <row r="1252" s="82" customFormat="1" x14ac:dyDescent="0.25"/>
    <row r="1253" s="82" customFormat="1" x14ac:dyDescent="0.25"/>
    <row r="1254" s="82" customFormat="1" x14ac:dyDescent="0.25"/>
    <row r="1255" s="82" customFormat="1" x14ac:dyDescent="0.25"/>
    <row r="1256" s="82" customFormat="1" x14ac:dyDescent="0.25"/>
    <row r="1257" s="82" customFormat="1" x14ac:dyDescent="0.25"/>
    <row r="1258" s="82" customFormat="1" x14ac:dyDescent="0.25"/>
    <row r="1259" s="82" customFormat="1" x14ac:dyDescent="0.25"/>
    <row r="1260" s="82" customFormat="1" x14ac:dyDescent="0.25"/>
    <row r="1261" s="82" customFormat="1" x14ac:dyDescent="0.25"/>
    <row r="1262" s="82" customFormat="1" x14ac:dyDescent="0.25"/>
    <row r="1263" s="82" customFormat="1" x14ac:dyDescent="0.25"/>
    <row r="1264" s="82" customFormat="1" x14ac:dyDescent="0.25"/>
    <row r="1265" s="82" customFormat="1" x14ac:dyDescent="0.25"/>
    <row r="1266" s="82" customFormat="1" x14ac:dyDescent="0.25"/>
    <row r="1267" s="82" customFormat="1" x14ac:dyDescent="0.25"/>
    <row r="1268" s="82" customFormat="1" x14ac:dyDescent="0.25"/>
    <row r="1269" s="82" customFormat="1" x14ac:dyDescent="0.25"/>
    <row r="1270" s="82" customFormat="1" x14ac:dyDescent="0.25"/>
    <row r="1271" s="82" customFormat="1" x14ac:dyDescent="0.25"/>
    <row r="1272" s="82" customFormat="1" x14ac:dyDescent="0.25"/>
    <row r="1273" s="82" customFormat="1" x14ac:dyDescent="0.25"/>
    <row r="1274" s="82" customFormat="1" x14ac:dyDescent="0.25"/>
    <row r="1275" s="82" customFormat="1" x14ac:dyDescent="0.25"/>
    <row r="1276" s="82" customFormat="1" x14ac:dyDescent="0.25"/>
    <row r="1277" s="82" customFormat="1" x14ac:dyDescent="0.25"/>
    <row r="1278" s="82" customFormat="1" x14ac:dyDescent="0.25"/>
    <row r="1279" s="82" customFormat="1" x14ac:dyDescent="0.25"/>
    <row r="1280" s="82" customFormat="1" x14ac:dyDescent="0.25"/>
    <row r="1281" s="82" customFormat="1" x14ac:dyDescent="0.25"/>
    <row r="1282" s="82" customFormat="1" x14ac:dyDescent="0.25"/>
    <row r="1283" s="82" customFormat="1" x14ac:dyDescent="0.25"/>
    <row r="1284" s="82" customFormat="1" x14ac:dyDescent="0.25"/>
    <row r="1285" s="82" customFormat="1" x14ac:dyDescent="0.25"/>
    <row r="1286" s="82" customFormat="1" x14ac:dyDescent="0.25"/>
    <row r="1287" s="82" customFormat="1" x14ac:dyDescent="0.25"/>
    <row r="1288" s="82" customFormat="1" x14ac:dyDescent="0.25"/>
    <row r="1289" s="82" customFormat="1" x14ac:dyDescent="0.25"/>
    <row r="1290" s="82" customFormat="1" x14ac:dyDescent="0.25"/>
    <row r="1291" s="82" customFormat="1" x14ac:dyDescent="0.25"/>
    <row r="1292" s="82" customFormat="1" x14ac:dyDescent="0.25"/>
    <row r="1293" s="82" customFormat="1" x14ac:dyDescent="0.25"/>
    <row r="1294" s="82" customFormat="1" x14ac:dyDescent="0.25"/>
    <row r="1295" s="82" customFormat="1" x14ac:dyDescent="0.25"/>
    <row r="1296" s="82" customFormat="1" x14ac:dyDescent="0.25"/>
    <row r="1297" s="82" customFormat="1" x14ac:dyDescent="0.25"/>
    <row r="1298" s="82" customFormat="1" x14ac:dyDescent="0.25"/>
    <row r="1299" s="82" customFormat="1" x14ac:dyDescent="0.25"/>
    <row r="1300" s="82" customFormat="1" x14ac:dyDescent="0.25"/>
    <row r="1301" s="82" customFormat="1" x14ac:dyDescent="0.25"/>
    <row r="1302" s="82" customFormat="1" x14ac:dyDescent="0.25"/>
    <row r="1303" s="82" customFormat="1" x14ac:dyDescent="0.25"/>
    <row r="1304" s="82" customFormat="1" x14ac:dyDescent="0.25"/>
    <row r="1305" s="82" customFormat="1" x14ac:dyDescent="0.25"/>
    <row r="1306" s="82" customFormat="1" x14ac:dyDescent="0.25"/>
    <row r="1307" s="82" customFormat="1" x14ac:dyDescent="0.25"/>
    <row r="1308" s="82" customFormat="1" x14ac:dyDescent="0.25"/>
    <row r="1309" s="82" customFormat="1" x14ac:dyDescent="0.25"/>
    <row r="1310" s="82" customFormat="1" x14ac:dyDescent="0.25"/>
    <row r="1311" s="82" customFormat="1" x14ac:dyDescent="0.25"/>
    <row r="1312" s="82" customFormat="1" x14ac:dyDescent="0.25"/>
    <row r="1313" s="82" customFormat="1" x14ac:dyDescent="0.25"/>
    <row r="1314" s="82" customFormat="1" x14ac:dyDescent="0.25"/>
    <row r="1315" s="82" customFormat="1" x14ac:dyDescent="0.25"/>
    <row r="1316" s="82" customFormat="1" x14ac:dyDescent="0.25"/>
    <row r="1317" s="82" customFormat="1" x14ac:dyDescent="0.25"/>
    <row r="1318" s="82" customFormat="1" x14ac:dyDescent="0.25"/>
    <row r="1319" s="82" customFormat="1" x14ac:dyDescent="0.25"/>
    <row r="1320" s="82" customFormat="1" x14ac:dyDescent="0.25"/>
    <row r="1321" s="82" customFormat="1" x14ac:dyDescent="0.25"/>
    <row r="1322" s="82" customFormat="1" x14ac:dyDescent="0.25"/>
    <row r="1323" s="82" customFormat="1" x14ac:dyDescent="0.25"/>
    <row r="1324" s="82" customFormat="1" x14ac:dyDescent="0.25"/>
    <row r="1325" s="82" customFormat="1" x14ac:dyDescent="0.25"/>
    <row r="1326" s="82" customFormat="1" x14ac:dyDescent="0.25"/>
    <row r="1327" s="82" customFormat="1" x14ac:dyDescent="0.25"/>
    <row r="1328" s="82" customFormat="1" x14ac:dyDescent="0.25"/>
    <row r="1329" s="82" customFormat="1" x14ac:dyDescent="0.25"/>
    <row r="1330" s="82" customFormat="1" x14ac:dyDescent="0.25"/>
    <row r="1331" s="82" customFormat="1" x14ac:dyDescent="0.25"/>
    <row r="1332" s="82" customFormat="1" x14ac:dyDescent="0.25"/>
    <row r="1333" s="82" customFormat="1" x14ac:dyDescent="0.25"/>
    <row r="1334" s="82" customFormat="1" x14ac:dyDescent="0.25"/>
    <row r="1335" s="82" customFormat="1" x14ac:dyDescent="0.25"/>
    <row r="1336" s="82" customFormat="1" x14ac:dyDescent="0.25"/>
    <row r="1337" s="82" customFormat="1" x14ac:dyDescent="0.25"/>
    <row r="1338" s="82" customFormat="1" x14ac:dyDescent="0.25"/>
    <row r="1339" s="82" customFormat="1" x14ac:dyDescent="0.25"/>
    <row r="1340" s="82" customFormat="1" x14ac:dyDescent="0.25"/>
    <row r="1341" s="82" customFormat="1" x14ac:dyDescent="0.25"/>
    <row r="1342" s="82" customFormat="1" x14ac:dyDescent="0.25"/>
    <row r="1343" s="82" customFormat="1" x14ac:dyDescent="0.25"/>
    <row r="1344" s="82" customFormat="1" x14ac:dyDescent="0.25"/>
    <row r="1345" s="82" customFormat="1" x14ac:dyDescent="0.25"/>
    <row r="1346" s="82" customFormat="1" x14ac:dyDescent="0.25"/>
    <row r="1347" s="82" customFormat="1" x14ac:dyDescent="0.25"/>
    <row r="1348" s="82" customFormat="1" x14ac:dyDescent="0.25"/>
    <row r="1349" s="82" customFormat="1" x14ac:dyDescent="0.25"/>
    <row r="1350" s="82" customFormat="1" x14ac:dyDescent="0.25"/>
    <row r="1351" s="82" customFormat="1" x14ac:dyDescent="0.25"/>
    <row r="1352" s="82" customFormat="1" x14ac:dyDescent="0.25"/>
    <row r="1353" s="82" customFormat="1" x14ac:dyDescent="0.25"/>
    <row r="1354" s="82" customFormat="1" x14ac:dyDescent="0.25"/>
    <row r="1355" s="82" customFormat="1" x14ac:dyDescent="0.25"/>
    <row r="1356" s="82" customFormat="1" x14ac:dyDescent="0.25"/>
    <row r="1357" s="82" customFormat="1" x14ac:dyDescent="0.25"/>
    <row r="1358" s="82" customFormat="1" x14ac:dyDescent="0.25"/>
    <row r="1359" s="82" customFormat="1" x14ac:dyDescent="0.25"/>
    <row r="1360" s="82" customFormat="1" x14ac:dyDescent="0.25"/>
    <row r="1361" s="82" customFormat="1" x14ac:dyDescent="0.25"/>
    <row r="1362" s="82" customFormat="1" x14ac:dyDescent="0.25"/>
    <row r="1363" s="82" customFormat="1" x14ac:dyDescent="0.25"/>
    <row r="1364" s="82" customFormat="1" x14ac:dyDescent="0.25"/>
    <row r="1365" s="82" customFormat="1" x14ac:dyDescent="0.25"/>
    <row r="1366" s="82" customFormat="1" x14ac:dyDescent="0.25"/>
    <row r="1367" s="82" customFormat="1" x14ac:dyDescent="0.25"/>
    <row r="1368" s="82" customFormat="1" x14ac:dyDescent="0.25"/>
    <row r="1369" s="82" customFormat="1" x14ac:dyDescent="0.25"/>
    <row r="1370" s="82" customFormat="1" x14ac:dyDescent="0.25"/>
    <row r="1371" s="82" customFormat="1" x14ac:dyDescent="0.25"/>
    <row r="1372" s="82" customFormat="1" x14ac:dyDescent="0.25"/>
    <row r="1373" s="82" customFormat="1" x14ac:dyDescent="0.25"/>
  </sheetData>
  <sheetProtection algorithmName="SHA-512" hashValue="016eFyXOr5YtLpLiVlNMWo9LQTjYmmONVrsCzNW/KpBeTWxpHxtaDDNOrRmjIabK3Hl9e4IXIxUObTBMHX5VWw==" saltValue="KA2uc/2qpfcu329tpOOP6g==" spinCount="100000" sheet="1" selectLockedCells="1"/>
  <mergeCells count="6">
    <mergeCell ref="B3:C3"/>
    <mergeCell ref="C18:C19"/>
    <mergeCell ref="D18:E18"/>
    <mergeCell ref="B2:X2"/>
    <mergeCell ref="D3:I4"/>
    <mergeCell ref="F18:H18"/>
  </mergeCells>
  <phoneticPr fontId="38" type="noConversion"/>
  <dataValidations count="2">
    <dataValidation type="list" allowBlank="1" showInputMessage="1" showErrorMessage="1" sqref="I8:I15" xr:uid="{00000000-0002-0000-0B00-000000000000}">
      <formula1>$C$24:$C$25</formula1>
    </dataValidation>
    <dataValidation type="list" allowBlank="1" showInputMessage="1" showErrorMessage="1" sqref="D8:D15" xr:uid="{00000000-0002-0000-0B00-000001000000}">
      <formula1>$F$28:$F$29</formula1>
    </dataValidation>
  </dataValidations>
  <hyperlinks>
    <hyperlink ref="B3" location="'Calculator Index'!A1" display="Return to Index" xr:uid="{00000000-0004-0000-0B00-000000000000}"/>
    <hyperlink ref="B3:C3" location="'Project Summary'!A1" display="Return to Project Summary" xr:uid="{00000000-0004-0000-0B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S1172"/>
  <sheetViews>
    <sheetView zoomScale="90" zoomScaleNormal="90" workbookViewId="0">
      <selection activeCell="D8" sqref="D8:J8"/>
    </sheetView>
  </sheetViews>
  <sheetFormatPr defaultRowHeight="15" x14ac:dyDescent="0.25"/>
  <cols>
    <col min="1" max="1" width="3.7109375" customWidth="1"/>
    <col min="2" max="2" width="5.5703125" customWidth="1"/>
    <col min="3" max="3" width="25" customWidth="1"/>
    <col min="4" max="4" width="19" customWidth="1"/>
    <col min="5" max="5" width="21.42578125" customWidth="1"/>
    <col min="6" max="6" width="20.5703125" customWidth="1"/>
    <col min="7" max="8" width="13.42578125" customWidth="1"/>
    <col min="9" max="9" width="16.85546875" customWidth="1"/>
    <col min="10" max="10" width="10.7109375" customWidth="1"/>
    <col min="11" max="11" width="17.28515625" hidden="1" customWidth="1"/>
    <col min="12" max="12" width="11.85546875" hidden="1" customWidth="1"/>
    <col min="13" max="13" width="16.140625" hidden="1" customWidth="1"/>
    <col min="14" max="15" width="12.42578125" hidden="1" customWidth="1"/>
    <col min="16" max="16" width="13.85546875" hidden="1" customWidth="1"/>
    <col min="17" max="17" width="14.42578125" hidden="1" customWidth="1"/>
    <col min="18" max="18" width="22.5703125" hidden="1" customWidth="1"/>
    <col min="19" max="20" width="10.140625" hidden="1" customWidth="1"/>
    <col min="21" max="22" width="11.28515625" hidden="1" customWidth="1"/>
    <col min="23" max="24" width="10" hidden="1" customWidth="1"/>
    <col min="25" max="26" width="29.85546875" hidden="1" customWidth="1"/>
    <col min="27" max="27" width="16.5703125" customWidth="1"/>
    <col min="28" max="31" width="16.5703125" hidden="1" customWidth="1"/>
    <col min="32" max="32" width="16.5703125" customWidth="1"/>
    <col min="33" max="33" width="13.140625" customWidth="1"/>
    <col min="34" max="34" width="14.7109375" hidden="1" customWidth="1"/>
    <col min="35" max="35" width="9.140625" hidden="1" customWidth="1"/>
    <col min="36" max="36" width="7.5703125" style="82" customWidth="1"/>
    <col min="37" max="175" width="9.140625" style="82"/>
  </cols>
  <sheetData>
    <row r="1" spans="1:36" ht="19.5" customHeight="1" x14ac:dyDescent="0.25">
      <c r="A1" s="38"/>
      <c r="B1" s="38"/>
      <c r="C1" s="38"/>
      <c r="D1" s="38"/>
      <c r="E1" s="38"/>
      <c r="F1" s="38"/>
      <c r="G1" s="38"/>
      <c r="H1" s="38"/>
      <c r="I1" s="38"/>
      <c r="J1" s="38"/>
      <c r="K1" s="38"/>
      <c r="L1" s="27"/>
      <c r="M1" s="27"/>
      <c r="N1" s="27"/>
      <c r="O1" s="27"/>
      <c r="P1" s="27"/>
      <c r="Q1" s="27"/>
      <c r="R1" s="27"/>
      <c r="S1" s="27"/>
      <c r="T1" s="27"/>
      <c r="U1" s="27"/>
      <c r="V1" s="27"/>
      <c r="W1" s="27"/>
      <c r="X1" s="27"/>
      <c r="Y1" s="27"/>
      <c r="Z1" s="27"/>
      <c r="AA1" s="38"/>
      <c r="AB1" s="27"/>
      <c r="AC1" s="27"/>
      <c r="AD1" s="27"/>
      <c r="AE1" s="27"/>
      <c r="AF1" s="38"/>
      <c r="AG1" s="38"/>
      <c r="AH1" s="27" t="s">
        <v>76</v>
      </c>
      <c r="AI1" s="27" t="s">
        <v>493</v>
      </c>
      <c r="AJ1" s="83"/>
    </row>
    <row r="2" spans="1:36" ht="27" customHeight="1" x14ac:dyDescent="0.25">
      <c r="A2" s="38"/>
      <c r="B2" s="544" t="s">
        <v>494</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27"/>
      <c r="AI2" s="27"/>
      <c r="AJ2" s="83"/>
    </row>
    <row r="3" spans="1:36" ht="23.25" customHeight="1" x14ac:dyDescent="0.25">
      <c r="A3" s="38"/>
      <c r="B3" s="505" t="s">
        <v>79</v>
      </c>
      <c r="C3" s="506"/>
      <c r="D3" s="545" t="s">
        <v>495</v>
      </c>
      <c r="E3" s="545"/>
      <c r="F3" s="545"/>
      <c r="G3" s="545"/>
      <c r="H3" s="268"/>
      <c r="I3" s="268"/>
      <c r="J3" s="38"/>
      <c r="K3" s="38"/>
      <c r="L3" s="27"/>
      <c r="M3" s="27"/>
      <c r="N3" s="27"/>
      <c r="O3" s="27"/>
      <c r="P3" s="27"/>
      <c r="Q3" s="27"/>
      <c r="R3" s="27"/>
      <c r="S3" s="27"/>
      <c r="T3" s="27"/>
      <c r="U3" s="27"/>
      <c r="V3" s="27"/>
      <c r="W3" s="27"/>
      <c r="X3" s="27"/>
      <c r="Y3" s="27"/>
      <c r="Z3" s="27"/>
      <c r="AA3" s="38"/>
      <c r="AB3" s="27"/>
      <c r="AC3" s="27"/>
      <c r="AD3" s="27"/>
      <c r="AE3" s="27"/>
      <c r="AF3" s="38"/>
      <c r="AG3" s="38"/>
      <c r="AH3" s="27"/>
      <c r="AI3" s="27"/>
      <c r="AJ3" s="83"/>
    </row>
    <row r="4" spans="1:36" ht="10.5" customHeight="1" x14ac:dyDescent="0.25">
      <c r="A4" s="38"/>
      <c r="B4" s="38"/>
      <c r="C4" s="38"/>
      <c r="D4" s="513"/>
      <c r="E4" s="513"/>
      <c r="F4" s="513"/>
      <c r="G4" s="513"/>
      <c r="H4" s="268"/>
      <c r="I4" s="268"/>
      <c r="J4" s="38"/>
      <c r="K4" s="38"/>
      <c r="L4" s="27"/>
      <c r="M4" s="27"/>
      <c r="N4" s="27"/>
      <c r="O4" s="27"/>
      <c r="P4" s="27"/>
      <c r="Q4" s="27"/>
      <c r="R4" s="27"/>
      <c r="S4" s="27"/>
      <c r="T4" s="27"/>
      <c r="U4" s="27"/>
      <c r="V4" s="27"/>
      <c r="W4" s="27"/>
      <c r="X4" s="27"/>
      <c r="Y4" s="27"/>
      <c r="Z4" s="27"/>
      <c r="AA4" s="38"/>
      <c r="AB4" s="27"/>
      <c r="AC4" s="27"/>
      <c r="AD4" s="27"/>
      <c r="AE4" s="27"/>
      <c r="AF4" s="38"/>
      <c r="AG4" s="38"/>
      <c r="AH4" s="27"/>
      <c r="AI4" s="27"/>
      <c r="AJ4" s="83"/>
    </row>
    <row r="5" spans="1:36" ht="12.75" customHeight="1" x14ac:dyDescent="0.25">
      <c r="A5" s="38"/>
      <c r="B5" s="38"/>
      <c r="C5" s="38"/>
      <c r="D5" s="38"/>
      <c r="E5" s="38"/>
      <c r="F5" s="38"/>
      <c r="G5" s="38"/>
      <c r="H5" s="38"/>
      <c r="I5" s="38"/>
      <c r="J5" s="38"/>
      <c r="K5" s="38"/>
      <c r="L5" s="27"/>
      <c r="M5" s="27"/>
      <c r="N5" s="27"/>
      <c r="O5" s="27"/>
      <c r="P5" s="27"/>
      <c r="Q5" s="27"/>
      <c r="R5" s="27"/>
      <c r="S5" s="27"/>
      <c r="T5" s="27"/>
      <c r="U5" s="27"/>
      <c r="V5" s="27"/>
      <c r="W5" s="27"/>
      <c r="X5" s="27"/>
      <c r="Y5" s="27"/>
      <c r="Z5" s="27"/>
      <c r="AA5" s="38"/>
      <c r="AB5" s="27"/>
      <c r="AC5" s="27"/>
      <c r="AD5" s="27"/>
      <c r="AE5" s="27"/>
      <c r="AF5" s="38"/>
      <c r="AG5" s="38"/>
      <c r="AH5" s="27"/>
      <c r="AI5" s="27"/>
      <c r="AJ5" s="83"/>
    </row>
    <row r="6" spans="1:36" ht="30" x14ac:dyDescent="0.25">
      <c r="A6" s="38"/>
      <c r="B6" s="153" t="s">
        <v>194</v>
      </c>
      <c r="C6" s="153" t="s">
        <v>82</v>
      </c>
      <c r="D6" s="153" t="s">
        <v>83</v>
      </c>
      <c r="E6" s="153" t="s">
        <v>86</v>
      </c>
      <c r="F6" s="153" t="s">
        <v>87</v>
      </c>
      <c r="G6" s="153" t="s">
        <v>439</v>
      </c>
      <c r="H6" s="153" t="s">
        <v>195</v>
      </c>
      <c r="I6" s="153" t="s">
        <v>496</v>
      </c>
      <c r="J6" s="153" t="s">
        <v>51</v>
      </c>
      <c r="K6" s="153" t="s">
        <v>84</v>
      </c>
      <c r="L6" s="153" t="s">
        <v>497</v>
      </c>
      <c r="M6" s="153" t="s">
        <v>498</v>
      </c>
      <c r="N6" s="153" t="s">
        <v>499</v>
      </c>
      <c r="O6" s="153" t="s">
        <v>500</v>
      </c>
      <c r="P6" s="153" t="s">
        <v>501</v>
      </c>
      <c r="Q6" s="153" t="s">
        <v>502</v>
      </c>
      <c r="R6" s="153" t="s">
        <v>503</v>
      </c>
      <c r="S6" s="153" t="s">
        <v>504</v>
      </c>
      <c r="T6" s="153" t="s">
        <v>505</v>
      </c>
      <c r="U6" s="153" t="s">
        <v>506</v>
      </c>
      <c r="V6" s="153" t="s">
        <v>507</v>
      </c>
      <c r="W6" s="153" t="s">
        <v>346</v>
      </c>
      <c r="X6" s="153" t="s">
        <v>93</v>
      </c>
      <c r="Y6" s="153" t="s">
        <v>71</v>
      </c>
      <c r="Z6" s="153" t="s">
        <v>215</v>
      </c>
      <c r="AA6" s="153" t="s">
        <v>508</v>
      </c>
      <c r="AB6" s="153" t="s">
        <v>509</v>
      </c>
      <c r="AC6" s="153" t="s">
        <v>510</v>
      </c>
      <c r="AD6" s="153" t="s">
        <v>511</v>
      </c>
      <c r="AE6" s="153" t="s">
        <v>512</v>
      </c>
      <c r="AF6" s="153" t="s">
        <v>513</v>
      </c>
      <c r="AG6" s="153" t="s">
        <v>54</v>
      </c>
      <c r="AH6" s="153" t="s">
        <v>97</v>
      </c>
      <c r="AJ6" s="83"/>
    </row>
    <row r="7" spans="1:36" ht="23.25" hidden="1" customHeight="1" x14ac:dyDescent="0.25">
      <c r="A7" s="38"/>
      <c r="B7" s="245" t="s">
        <v>100</v>
      </c>
      <c r="C7" s="245"/>
      <c r="D7" s="245" t="s">
        <v>101</v>
      </c>
      <c r="E7" s="245" t="s">
        <v>104</v>
      </c>
      <c r="F7" s="245" t="s">
        <v>105</v>
      </c>
      <c r="G7" s="245" t="s">
        <v>457</v>
      </c>
      <c r="H7" s="245" t="s">
        <v>218</v>
      </c>
      <c r="I7" s="245" t="s">
        <v>103</v>
      </c>
      <c r="J7" s="245" t="s">
        <v>51</v>
      </c>
      <c r="K7" s="245" t="s">
        <v>102</v>
      </c>
      <c r="L7" s="245"/>
      <c r="M7" s="245"/>
      <c r="N7" s="245"/>
      <c r="O7" s="245"/>
      <c r="P7" s="245"/>
      <c r="Q7" s="245"/>
      <c r="R7" s="245"/>
      <c r="S7" s="245"/>
      <c r="T7" s="245"/>
      <c r="U7" s="245"/>
      <c r="V7" s="245"/>
      <c r="W7" s="245"/>
      <c r="X7" s="245"/>
      <c r="Y7" s="245" t="s">
        <v>113</v>
      </c>
      <c r="Z7" s="245" t="s">
        <v>108</v>
      </c>
      <c r="AA7" s="245" t="s">
        <v>109</v>
      </c>
      <c r="AB7" s="245"/>
      <c r="AC7" s="245"/>
      <c r="AD7" s="245"/>
      <c r="AE7" s="245"/>
      <c r="AF7" s="245" t="s">
        <v>110</v>
      </c>
      <c r="AG7" s="245" t="s">
        <v>111</v>
      </c>
      <c r="AH7" s="245" t="s">
        <v>112</v>
      </c>
      <c r="AJ7" s="83"/>
    </row>
    <row r="8" spans="1:36" ht="21" customHeight="1" x14ac:dyDescent="0.25">
      <c r="A8" s="38"/>
      <c r="B8" s="220">
        <v>1</v>
      </c>
      <c r="C8" s="220" t="s">
        <v>514</v>
      </c>
      <c r="D8" s="41"/>
      <c r="E8" s="41"/>
      <c r="F8" s="11"/>
      <c r="G8" s="41"/>
      <c r="H8" s="41"/>
      <c r="I8" s="41"/>
      <c r="J8" s="41"/>
      <c r="K8" s="41" t="str">
        <f t="shared" ref="K8:K15" si="0">IF(D8=$C$27,$D$27,IF(D8=$C$28,$D$28,""))</f>
        <v/>
      </c>
      <c r="L8" s="15" t="str">
        <f t="shared" ref="L8:L15" si="1">IFERROR(VLOOKUP(G8, $C$20:$M$23, 4, FALSE), "")</f>
        <v/>
      </c>
      <c r="M8" s="15">
        <v>3.0800000000000001E-2</v>
      </c>
      <c r="N8" s="107" t="str">
        <f t="shared" ref="N8:N15" si="2">IFERROR(VLOOKUP(G8, $C$20:$M$23, 9, FALSE), "")</f>
        <v/>
      </c>
      <c r="O8" s="107" t="str">
        <f t="shared" ref="O8:O15" si="3">IFERROR(VLOOKUP(G8, $C$20:$M$23, 5, FALSE), "")</f>
        <v/>
      </c>
      <c r="P8" s="108" t="str">
        <f t="shared" ref="P8:P15" si="4">IFERROR(VLOOKUP(G8, $C$20:$M$23, 2, FALSE), "")</f>
        <v/>
      </c>
      <c r="Q8" s="109" t="str">
        <f t="shared" ref="Q8:Q15" si="5">IFERROR(VLOOKUP(G8, $C$20:$M$23, 6, FALSE), "")</f>
        <v/>
      </c>
      <c r="R8" s="107">
        <v>0.4</v>
      </c>
      <c r="S8" s="15">
        <v>12</v>
      </c>
      <c r="T8" s="15">
        <v>0.25</v>
      </c>
      <c r="U8" s="110" t="str">
        <f t="shared" ref="U8:U15" si="6">IFERROR(VLOOKUP(G8, $C$20:$M$23, 3, FALSE), "")</f>
        <v/>
      </c>
      <c r="V8" s="15" t="str">
        <f t="shared" ref="V8:V15" si="7">IFERROR(VLOOKUP(G8, $C$20:$M$23, 7, FALSE), "")</f>
        <v/>
      </c>
      <c r="W8" s="15">
        <v>4380</v>
      </c>
      <c r="X8" s="111">
        <f>$J$27</f>
        <v>0.9</v>
      </c>
      <c r="Y8" s="111" t="str">
        <f t="shared" ref="Y8:Y15" si="8">IFERROR(VLOOKUP(G8, $C$20:$O$23, 13, FALSE), "")</f>
        <v/>
      </c>
      <c r="Z8" s="111" t="str">
        <f t="shared" ref="Z8:Z15" si="9">IFERROR(ROUND(IF(J8="", "", (AF8/W8)),6), "")</f>
        <v/>
      </c>
      <c r="AA8" s="417" t="str">
        <f>IFERROR(ROUND(IF(J8="", "", (AF8/W8)*X8),6), "")</f>
        <v/>
      </c>
      <c r="AB8" s="417" t="str">
        <f>IFERROR(L8*M8*(1/O8-1/N8), "")</f>
        <v/>
      </c>
      <c r="AC8" s="417" t="str">
        <f>IFERROR((P8*(1-R8)+R8*U8*G8*(M8/O8))*(S8-(L8/(U8*G8))), "")</f>
        <v/>
      </c>
      <c r="AD8" s="417" t="str">
        <f>IFERROR((Q8*(1-R8)+R8*V8*G8*(M8/N8))*(S8-(L8/(V8*G8))), "")</f>
        <v/>
      </c>
      <c r="AE8" s="417" t="str">
        <f>IFERROR(AC8-AD8, "")</f>
        <v/>
      </c>
      <c r="AF8" s="417" t="str">
        <f>IFERROR(ROUND((AB8+AE8)*365,4), "")</f>
        <v/>
      </c>
      <c r="AG8" s="112" t="str">
        <f>IFERROR(IF(J8="", "", VLOOKUP(G8, $C$20:$N$23, 12, FALSE)*J8), "")</f>
        <v/>
      </c>
      <c r="AH8" s="112">
        <f>I8</f>
        <v>0</v>
      </c>
      <c r="AJ8" s="83"/>
    </row>
    <row r="9" spans="1:36" ht="21" customHeight="1" x14ac:dyDescent="0.25">
      <c r="A9" s="38"/>
      <c r="B9" s="220">
        <v>2</v>
      </c>
      <c r="C9" s="220" t="s">
        <v>514</v>
      </c>
      <c r="D9" s="41"/>
      <c r="E9" s="41"/>
      <c r="F9" s="11"/>
      <c r="G9" s="41"/>
      <c r="H9" s="41"/>
      <c r="I9" s="41"/>
      <c r="J9" s="41"/>
      <c r="K9" s="41" t="str">
        <f t="shared" si="0"/>
        <v/>
      </c>
      <c r="L9" s="15" t="str">
        <f t="shared" si="1"/>
        <v/>
      </c>
      <c r="M9" s="15">
        <v>3.0800000000000001E-2</v>
      </c>
      <c r="N9" s="107" t="str">
        <f t="shared" si="2"/>
        <v/>
      </c>
      <c r="O9" s="107" t="str">
        <f t="shared" si="3"/>
        <v/>
      </c>
      <c r="P9" s="108" t="str">
        <f t="shared" si="4"/>
        <v/>
      </c>
      <c r="Q9" s="109" t="str">
        <f t="shared" si="5"/>
        <v/>
      </c>
      <c r="R9" s="107">
        <v>0.4</v>
      </c>
      <c r="S9" s="15">
        <v>12</v>
      </c>
      <c r="T9" s="15">
        <v>0.25</v>
      </c>
      <c r="U9" s="110" t="str">
        <f t="shared" si="6"/>
        <v/>
      </c>
      <c r="V9" s="15" t="str">
        <f t="shared" si="7"/>
        <v/>
      </c>
      <c r="W9" s="15">
        <v>4380</v>
      </c>
      <c r="X9" s="111">
        <f t="shared" ref="X9:X15" si="10">$J$27</f>
        <v>0.9</v>
      </c>
      <c r="Y9" s="111" t="str">
        <f t="shared" si="8"/>
        <v/>
      </c>
      <c r="Z9" s="111" t="str">
        <f t="shared" si="9"/>
        <v/>
      </c>
      <c r="AA9" s="417" t="str">
        <f t="shared" ref="AA9:AA15" si="11">IFERROR(ROUND(IF(J9="", "", (AF9/W9)*X9),6), "")</f>
        <v/>
      </c>
      <c r="AB9" s="417" t="str">
        <f t="shared" ref="AB9:AB15" si="12">IFERROR(L9*M9*(1/O9-1/N9), "")</f>
        <v/>
      </c>
      <c r="AC9" s="417" t="str">
        <f t="shared" ref="AC9:AC15" si="13">IFERROR((P9*(1-R9)+R9*U9*G9*(M9/O9))*(S9-(L9/(U9*G9))), "")</f>
        <v/>
      </c>
      <c r="AD9" s="417" t="str">
        <f t="shared" ref="AD9:AD15" si="14">IFERROR((Q9*(1-R9)+R9*V9*G9*(M9/N9))*(S9-(L9/(V9*G9))), "")</f>
        <v/>
      </c>
      <c r="AE9" s="417" t="str">
        <f t="shared" ref="AE9:AE15" si="15">IFERROR(AC9-AD9, "")</f>
        <v/>
      </c>
      <c r="AF9" s="417" t="str">
        <f t="shared" ref="AF9:AF15" si="16">IFERROR(ROUND((AB9+AE9)*365,4), "")</f>
        <v/>
      </c>
      <c r="AG9" s="112" t="str">
        <f t="shared" ref="AG9:AG15" si="17">IFERROR(IF(J9="", "", VLOOKUP(G9, $C$20:$N$23, 12, FALSE)*J9), "")</f>
        <v/>
      </c>
      <c r="AH9" s="112">
        <f t="shared" ref="AH9:AH15" si="18">I9</f>
        <v>0</v>
      </c>
      <c r="AJ9" s="83"/>
    </row>
    <row r="10" spans="1:36" ht="21" customHeight="1" x14ac:dyDescent="0.25">
      <c r="A10" s="38"/>
      <c r="B10" s="220">
        <v>3</v>
      </c>
      <c r="C10" s="220" t="s">
        <v>514</v>
      </c>
      <c r="D10" s="41"/>
      <c r="E10" s="41"/>
      <c r="F10" s="11"/>
      <c r="G10" s="41"/>
      <c r="H10" s="41"/>
      <c r="I10" s="41"/>
      <c r="J10" s="41"/>
      <c r="K10" s="41" t="str">
        <f t="shared" si="0"/>
        <v/>
      </c>
      <c r="L10" s="15" t="str">
        <f t="shared" si="1"/>
        <v/>
      </c>
      <c r="M10" s="15">
        <v>3.0800000000000001E-2</v>
      </c>
      <c r="N10" s="107" t="str">
        <f t="shared" si="2"/>
        <v/>
      </c>
      <c r="O10" s="107" t="str">
        <f t="shared" si="3"/>
        <v/>
      </c>
      <c r="P10" s="108" t="str">
        <f t="shared" si="4"/>
        <v/>
      </c>
      <c r="Q10" s="109" t="str">
        <f t="shared" si="5"/>
        <v/>
      </c>
      <c r="R10" s="107">
        <v>0.4</v>
      </c>
      <c r="S10" s="15">
        <v>12</v>
      </c>
      <c r="T10" s="15">
        <v>0.25</v>
      </c>
      <c r="U10" s="110" t="str">
        <f t="shared" si="6"/>
        <v/>
      </c>
      <c r="V10" s="15" t="str">
        <f t="shared" si="7"/>
        <v/>
      </c>
      <c r="W10" s="15">
        <v>4380</v>
      </c>
      <c r="X10" s="111">
        <f t="shared" si="10"/>
        <v>0.9</v>
      </c>
      <c r="Y10" s="111" t="str">
        <f t="shared" si="8"/>
        <v/>
      </c>
      <c r="Z10" s="111" t="str">
        <f t="shared" si="9"/>
        <v/>
      </c>
      <c r="AA10" s="417" t="str">
        <f t="shared" si="11"/>
        <v/>
      </c>
      <c r="AB10" s="417" t="str">
        <f t="shared" si="12"/>
        <v/>
      </c>
      <c r="AC10" s="417" t="str">
        <f t="shared" si="13"/>
        <v/>
      </c>
      <c r="AD10" s="417" t="str">
        <f t="shared" si="14"/>
        <v/>
      </c>
      <c r="AE10" s="417" t="str">
        <f t="shared" si="15"/>
        <v/>
      </c>
      <c r="AF10" s="417" t="str">
        <f t="shared" si="16"/>
        <v/>
      </c>
      <c r="AG10" s="112" t="str">
        <f t="shared" si="17"/>
        <v/>
      </c>
      <c r="AH10" s="112">
        <f t="shared" si="18"/>
        <v>0</v>
      </c>
      <c r="AJ10" s="83"/>
    </row>
    <row r="11" spans="1:36" ht="21" customHeight="1" x14ac:dyDescent="0.25">
      <c r="A11" s="38"/>
      <c r="B11" s="220">
        <v>4</v>
      </c>
      <c r="C11" s="220" t="s">
        <v>514</v>
      </c>
      <c r="D11" s="41"/>
      <c r="E11" s="41"/>
      <c r="F11" s="11"/>
      <c r="G11" s="41"/>
      <c r="H11" s="41"/>
      <c r="I11" s="41"/>
      <c r="J11" s="41"/>
      <c r="K11" s="41" t="str">
        <f t="shared" si="0"/>
        <v/>
      </c>
      <c r="L11" s="15" t="str">
        <f t="shared" si="1"/>
        <v/>
      </c>
      <c r="M11" s="15">
        <v>3.0800000000000001E-2</v>
      </c>
      <c r="N11" s="107" t="str">
        <f t="shared" si="2"/>
        <v/>
      </c>
      <c r="O11" s="107" t="str">
        <f t="shared" si="3"/>
        <v/>
      </c>
      <c r="P11" s="108" t="str">
        <f t="shared" si="4"/>
        <v/>
      </c>
      <c r="Q11" s="109" t="str">
        <f t="shared" si="5"/>
        <v/>
      </c>
      <c r="R11" s="107">
        <v>0.4</v>
      </c>
      <c r="S11" s="15">
        <v>12</v>
      </c>
      <c r="T11" s="15">
        <v>0.25</v>
      </c>
      <c r="U11" s="110" t="str">
        <f t="shared" si="6"/>
        <v/>
      </c>
      <c r="V11" s="15" t="str">
        <f t="shared" si="7"/>
        <v/>
      </c>
      <c r="W11" s="15">
        <v>4380</v>
      </c>
      <c r="X11" s="111">
        <f t="shared" si="10"/>
        <v>0.9</v>
      </c>
      <c r="Y11" s="111" t="str">
        <f t="shared" si="8"/>
        <v/>
      </c>
      <c r="Z11" s="111" t="str">
        <f t="shared" si="9"/>
        <v/>
      </c>
      <c r="AA11" s="417" t="str">
        <f t="shared" si="11"/>
        <v/>
      </c>
      <c r="AB11" s="417" t="str">
        <f t="shared" si="12"/>
        <v/>
      </c>
      <c r="AC11" s="417" t="str">
        <f t="shared" si="13"/>
        <v/>
      </c>
      <c r="AD11" s="417" t="str">
        <f t="shared" si="14"/>
        <v/>
      </c>
      <c r="AE11" s="417" t="str">
        <f t="shared" si="15"/>
        <v/>
      </c>
      <c r="AF11" s="417" t="str">
        <f t="shared" si="16"/>
        <v/>
      </c>
      <c r="AG11" s="112" t="str">
        <f t="shared" si="17"/>
        <v/>
      </c>
      <c r="AH11" s="112">
        <f t="shared" si="18"/>
        <v>0</v>
      </c>
      <c r="AJ11" s="83"/>
    </row>
    <row r="12" spans="1:36" ht="21" customHeight="1" x14ac:dyDescent="0.25">
      <c r="A12" s="38"/>
      <c r="B12" s="220">
        <v>5</v>
      </c>
      <c r="C12" s="220" t="s">
        <v>514</v>
      </c>
      <c r="D12" s="41"/>
      <c r="E12" s="41"/>
      <c r="F12" s="11"/>
      <c r="G12" s="41"/>
      <c r="H12" s="41"/>
      <c r="I12" s="41"/>
      <c r="J12" s="41"/>
      <c r="K12" s="41" t="str">
        <f t="shared" si="0"/>
        <v/>
      </c>
      <c r="L12" s="15" t="str">
        <f t="shared" si="1"/>
        <v/>
      </c>
      <c r="M12" s="15">
        <v>3.0800000000000001E-2</v>
      </c>
      <c r="N12" s="107" t="str">
        <f t="shared" si="2"/>
        <v/>
      </c>
      <c r="O12" s="107" t="str">
        <f t="shared" si="3"/>
        <v/>
      </c>
      <c r="P12" s="108" t="str">
        <f t="shared" si="4"/>
        <v/>
      </c>
      <c r="Q12" s="109" t="str">
        <f t="shared" si="5"/>
        <v/>
      </c>
      <c r="R12" s="107">
        <v>0.4</v>
      </c>
      <c r="S12" s="15">
        <v>12</v>
      </c>
      <c r="T12" s="15">
        <v>0.25</v>
      </c>
      <c r="U12" s="110" t="str">
        <f t="shared" si="6"/>
        <v/>
      </c>
      <c r="V12" s="15" t="str">
        <f t="shared" si="7"/>
        <v/>
      </c>
      <c r="W12" s="15">
        <v>4380</v>
      </c>
      <c r="X12" s="111">
        <f t="shared" si="10"/>
        <v>0.9</v>
      </c>
      <c r="Y12" s="111" t="str">
        <f t="shared" si="8"/>
        <v/>
      </c>
      <c r="Z12" s="111" t="str">
        <f t="shared" si="9"/>
        <v/>
      </c>
      <c r="AA12" s="417" t="str">
        <f t="shared" si="11"/>
        <v/>
      </c>
      <c r="AB12" s="417" t="str">
        <f t="shared" si="12"/>
        <v/>
      </c>
      <c r="AC12" s="417" t="str">
        <f t="shared" si="13"/>
        <v/>
      </c>
      <c r="AD12" s="417" t="str">
        <f t="shared" si="14"/>
        <v/>
      </c>
      <c r="AE12" s="417" t="str">
        <f t="shared" si="15"/>
        <v/>
      </c>
      <c r="AF12" s="417" t="str">
        <f t="shared" si="16"/>
        <v/>
      </c>
      <c r="AG12" s="112" t="str">
        <f t="shared" si="17"/>
        <v/>
      </c>
      <c r="AH12" s="112">
        <f t="shared" si="18"/>
        <v>0</v>
      </c>
      <c r="AJ12" s="83"/>
    </row>
    <row r="13" spans="1:36" ht="21" customHeight="1" x14ac:dyDescent="0.25">
      <c r="A13" s="38"/>
      <c r="B13" s="220">
        <v>6</v>
      </c>
      <c r="C13" s="220" t="s">
        <v>514</v>
      </c>
      <c r="D13" s="41"/>
      <c r="E13" s="41"/>
      <c r="F13" s="11"/>
      <c r="G13" s="41"/>
      <c r="H13" s="41"/>
      <c r="I13" s="41"/>
      <c r="J13" s="41"/>
      <c r="K13" s="41" t="str">
        <f t="shared" si="0"/>
        <v/>
      </c>
      <c r="L13" s="15" t="str">
        <f t="shared" si="1"/>
        <v/>
      </c>
      <c r="M13" s="15">
        <v>3.0800000000000001E-2</v>
      </c>
      <c r="N13" s="107" t="str">
        <f t="shared" si="2"/>
        <v/>
      </c>
      <c r="O13" s="107" t="str">
        <f t="shared" si="3"/>
        <v/>
      </c>
      <c r="P13" s="108" t="str">
        <f t="shared" si="4"/>
        <v/>
      </c>
      <c r="Q13" s="109" t="str">
        <f t="shared" si="5"/>
        <v/>
      </c>
      <c r="R13" s="107">
        <v>0.4</v>
      </c>
      <c r="S13" s="15">
        <v>12</v>
      </c>
      <c r="T13" s="15">
        <v>0.25</v>
      </c>
      <c r="U13" s="110" t="str">
        <f t="shared" si="6"/>
        <v/>
      </c>
      <c r="V13" s="15" t="str">
        <f t="shared" si="7"/>
        <v/>
      </c>
      <c r="W13" s="15">
        <v>4380</v>
      </c>
      <c r="X13" s="111">
        <f t="shared" si="10"/>
        <v>0.9</v>
      </c>
      <c r="Y13" s="111" t="str">
        <f t="shared" si="8"/>
        <v/>
      </c>
      <c r="Z13" s="111" t="str">
        <f t="shared" si="9"/>
        <v/>
      </c>
      <c r="AA13" s="417" t="str">
        <f t="shared" si="11"/>
        <v/>
      </c>
      <c r="AB13" s="417" t="str">
        <f t="shared" si="12"/>
        <v/>
      </c>
      <c r="AC13" s="417" t="str">
        <f t="shared" si="13"/>
        <v/>
      </c>
      <c r="AD13" s="417" t="str">
        <f t="shared" si="14"/>
        <v/>
      </c>
      <c r="AE13" s="417" t="str">
        <f t="shared" si="15"/>
        <v/>
      </c>
      <c r="AF13" s="417" t="str">
        <f t="shared" si="16"/>
        <v/>
      </c>
      <c r="AG13" s="112" t="str">
        <f t="shared" si="17"/>
        <v/>
      </c>
      <c r="AH13" s="112">
        <f t="shared" si="18"/>
        <v>0</v>
      </c>
      <c r="AJ13" s="83"/>
    </row>
    <row r="14" spans="1:36" ht="21" customHeight="1" x14ac:dyDescent="0.25">
      <c r="A14" s="38"/>
      <c r="B14" s="220">
        <v>7</v>
      </c>
      <c r="C14" s="220" t="s">
        <v>514</v>
      </c>
      <c r="D14" s="41"/>
      <c r="E14" s="41"/>
      <c r="F14" s="11"/>
      <c r="G14" s="41"/>
      <c r="H14" s="41"/>
      <c r="I14" s="41"/>
      <c r="J14" s="41"/>
      <c r="K14" s="41" t="str">
        <f t="shared" si="0"/>
        <v/>
      </c>
      <c r="L14" s="15" t="str">
        <f t="shared" si="1"/>
        <v/>
      </c>
      <c r="M14" s="15">
        <v>3.0800000000000001E-2</v>
      </c>
      <c r="N14" s="107" t="str">
        <f t="shared" si="2"/>
        <v/>
      </c>
      <c r="O14" s="107" t="str">
        <f t="shared" si="3"/>
        <v/>
      </c>
      <c r="P14" s="108" t="str">
        <f t="shared" si="4"/>
        <v/>
      </c>
      <c r="Q14" s="109" t="str">
        <f t="shared" si="5"/>
        <v/>
      </c>
      <c r="R14" s="107">
        <v>0.4</v>
      </c>
      <c r="S14" s="15">
        <v>12</v>
      </c>
      <c r="T14" s="15">
        <v>0.25</v>
      </c>
      <c r="U14" s="110" t="str">
        <f t="shared" si="6"/>
        <v/>
      </c>
      <c r="V14" s="15" t="str">
        <f t="shared" si="7"/>
        <v/>
      </c>
      <c r="W14" s="15">
        <v>4380</v>
      </c>
      <c r="X14" s="111">
        <f t="shared" si="10"/>
        <v>0.9</v>
      </c>
      <c r="Y14" s="111" t="str">
        <f t="shared" si="8"/>
        <v/>
      </c>
      <c r="Z14" s="111" t="str">
        <f t="shared" si="9"/>
        <v/>
      </c>
      <c r="AA14" s="417" t="str">
        <f t="shared" si="11"/>
        <v/>
      </c>
      <c r="AB14" s="417" t="str">
        <f t="shared" si="12"/>
        <v/>
      </c>
      <c r="AC14" s="417" t="str">
        <f t="shared" si="13"/>
        <v/>
      </c>
      <c r="AD14" s="417" t="str">
        <f t="shared" si="14"/>
        <v/>
      </c>
      <c r="AE14" s="417" t="str">
        <f t="shared" si="15"/>
        <v/>
      </c>
      <c r="AF14" s="417" t="str">
        <f t="shared" si="16"/>
        <v/>
      </c>
      <c r="AG14" s="112" t="str">
        <f t="shared" si="17"/>
        <v/>
      </c>
      <c r="AH14" s="112">
        <f t="shared" si="18"/>
        <v>0</v>
      </c>
      <c r="AJ14" s="83"/>
    </row>
    <row r="15" spans="1:36" ht="21" customHeight="1" x14ac:dyDescent="0.25">
      <c r="A15" s="38"/>
      <c r="B15" s="220">
        <v>8</v>
      </c>
      <c r="C15" s="220" t="s">
        <v>514</v>
      </c>
      <c r="D15" s="41"/>
      <c r="E15" s="41"/>
      <c r="F15" s="11"/>
      <c r="G15" s="41"/>
      <c r="H15" s="41"/>
      <c r="I15" s="41"/>
      <c r="J15" s="41"/>
      <c r="K15" s="41" t="str">
        <f t="shared" si="0"/>
        <v/>
      </c>
      <c r="L15" s="15" t="str">
        <f t="shared" si="1"/>
        <v/>
      </c>
      <c r="M15" s="15">
        <v>3.0800000000000001E-2</v>
      </c>
      <c r="N15" s="107" t="str">
        <f t="shared" si="2"/>
        <v/>
      </c>
      <c r="O15" s="107" t="str">
        <f t="shared" si="3"/>
        <v/>
      </c>
      <c r="P15" s="108" t="str">
        <f t="shared" si="4"/>
        <v/>
      </c>
      <c r="Q15" s="109" t="str">
        <f t="shared" si="5"/>
        <v/>
      </c>
      <c r="R15" s="107">
        <v>0.4</v>
      </c>
      <c r="S15" s="15">
        <v>12</v>
      </c>
      <c r="T15" s="15">
        <v>0.25</v>
      </c>
      <c r="U15" s="110" t="str">
        <f t="shared" si="6"/>
        <v/>
      </c>
      <c r="V15" s="15" t="str">
        <f t="shared" si="7"/>
        <v/>
      </c>
      <c r="W15" s="15">
        <v>4380</v>
      </c>
      <c r="X15" s="111">
        <f t="shared" si="10"/>
        <v>0.9</v>
      </c>
      <c r="Y15" s="111" t="str">
        <f t="shared" si="8"/>
        <v/>
      </c>
      <c r="Z15" s="111" t="str">
        <f t="shared" si="9"/>
        <v/>
      </c>
      <c r="AA15" s="417" t="str">
        <f t="shared" si="11"/>
        <v/>
      </c>
      <c r="AB15" s="417" t="str">
        <f t="shared" si="12"/>
        <v/>
      </c>
      <c r="AC15" s="417" t="str">
        <f t="shared" si="13"/>
        <v/>
      </c>
      <c r="AD15" s="417" t="str">
        <f t="shared" si="14"/>
        <v/>
      </c>
      <c r="AE15" s="417" t="str">
        <f t="shared" si="15"/>
        <v/>
      </c>
      <c r="AF15" s="417" t="str">
        <f t="shared" si="16"/>
        <v/>
      </c>
      <c r="AG15" s="112" t="str">
        <f t="shared" si="17"/>
        <v/>
      </c>
      <c r="AH15" s="112">
        <f t="shared" si="18"/>
        <v>0</v>
      </c>
      <c r="AJ15" s="83"/>
    </row>
    <row r="16" spans="1:36" hidden="1" x14ac:dyDescent="0.25">
      <c r="A16" s="27"/>
      <c r="J16">
        <f>SUM(J8:J15)</f>
        <v>0</v>
      </c>
      <c r="K16">
        <f t="shared" ref="K16:AG16" si="19">SUM(K8:K15)</f>
        <v>0</v>
      </c>
      <c r="L16">
        <f t="shared" si="19"/>
        <v>0</v>
      </c>
      <c r="M16">
        <f t="shared" si="19"/>
        <v>0.24639999999999998</v>
      </c>
      <c r="N16">
        <f t="shared" si="19"/>
        <v>0</v>
      </c>
      <c r="O16">
        <f t="shared" si="19"/>
        <v>0</v>
      </c>
      <c r="P16">
        <f t="shared" si="19"/>
        <v>0</v>
      </c>
      <c r="Q16">
        <f t="shared" si="19"/>
        <v>0</v>
      </c>
      <c r="R16">
        <f t="shared" si="19"/>
        <v>3.1999999999999997</v>
      </c>
      <c r="S16">
        <f t="shared" si="19"/>
        <v>96</v>
      </c>
      <c r="T16">
        <f t="shared" si="19"/>
        <v>2</v>
      </c>
      <c r="U16">
        <f t="shared" si="19"/>
        <v>0</v>
      </c>
      <c r="V16">
        <f t="shared" si="19"/>
        <v>0</v>
      </c>
      <c r="W16">
        <f t="shared" si="19"/>
        <v>35040</v>
      </c>
      <c r="X16">
        <f t="shared" si="19"/>
        <v>7.2000000000000011</v>
      </c>
      <c r="Y16">
        <f t="shared" si="19"/>
        <v>0</v>
      </c>
      <c r="Z16">
        <f t="shared" si="19"/>
        <v>0</v>
      </c>
      <c r="AA16">
        <f t="shared" si="19"/>
        <v>0</v>
      </c>
      <c r="AB16">
        <f t="shared" si="19"/>
        <v>0</v>
      </c>
      <c r="AC16">
        <f t="shared" si="19"/>
        <v>0</v>
      </c>
      <c r="AD16">
        <f t="shared" si="19"/>
        <v>0</v>
      </c>
      <c r="AE16">
        <f t="shared" si="19"/>
        <v>0</v>
      </c>
      <c r="AF16">
        <f t="shared" si="19"/>
        <v>0</v>
      </c>
      <c r="AG16">
        <f t="shared" si="19"/>
        <v>0</v>
      </c>
      <c r="AJ16" s="83"/>
    </row>
    <row r="17" spans="1:36" hidden="1" x14ac:dyDescent="0.25">
      <c r="A17" s="27"/>
      <c r="AJ17" s="83"/>
    </row>
    <row r="18" spans="1:36" hidden="1" x14ac:dyDescent="0.25">
      <c r="A18" s="27"/>
      <c r="D18" s="540" t="s">
        <v>460</v>
      </c>
      <c r="E18" s="540"/>
      <c r="F18" s="540"/>
      <c r="G18" s="540"/>
      <c r="H18" s="541" t="s">
        <v>515</v>
      </c>
      <c r="I18" s="542"/>
      <c r="J18" s="542"/>
      <c r="K18" s="542"/>
      <c r="L18" s="233" t="s">
        <v>516</v>
      </c>
      <c r="M18" s="233"/>
      <c r="N18" s="231"/>
      <c r="AJ18" s="83"/>
    </row>
    <row r="19" spans="1:36" ht="45" hidden="1" x14ac:dyDescent="0.25">
      <c r="A19" s="27"/>
      <c r="C19" s="222" t="s">
        <v>439</v>
      </c>
      <c r="D19" s="222" t="s">
        <v>517</v>
      </c>
      <c r="E19" s="222" t="s">
        <v>518</v>
      </c>
      <c r="F19" s="222" t="s">
        <v>519</v>
      </c>
      <c r="G19" s="113" t="s">
        <v>520</v>
      </c>
      <c r="H19" s="222" t="s">
        <v>517</v>
      </c>
      <c r="I19" s="222" t="s">
        <v>518</v>
      </c>
      <c r="J19" s="222" t="s">
        <v>519</v>
      </c>
      <c r="K19" s="222" t="s">
        <v>521</v>
      </c>
      <c r="L19" s="222" t="s">
        <v>522</v>
      </c>
      <c r="M19" s="222" t="s">
        <v>523</v>
      </c>
      <c r="N19" s="222" t="s">
        <v>54</v>
      </c>
      <c r="O19" s="222" t="s">
        <v>524</v>
      </c>
      <c r="AJ19" s="83"/>
    </row>
    <row r="20" spans="1:36" hidden="1" x14ac:dyDescent="0.25">
      <c r="A20" s="27"/>
      <c r="C20" s="6">
        <v>3</v>
      </c>
      <c r="D20" s="23">
        <v>1</v>
      </c>
      <c r="E20" s="166">
        <v>23.3</v>
      </c>
      <c r="F20" s="30">
        <v>100</v>
      </c>
      <c r="G20" s="167">
        <v>0.3</v>
      </c>
      <c r="H20" s="165">
        <v>0.4</v>
      </c>
      <c r="I20" s="166">
        <v>16.7</v>
      </c>
      <c r="J20" s="6">
        <v>100</v>
      </c>
      <c r="K20" s="164">
        <v>0.5</v>
      </c>
      <c r="L20" s="163">
        <v>1.95</v>
      </c>
      <c r="M20" s="163">
        <v>9504</v>
      </c>
      <c r="N20" s="76">
        <f>125*'Project Summary'!M12</f>
        <v>62.5</v>
      </c>
      <c r="O20" s="4" t="s">
        <v>525</v>
      </c>
      <c r="AJ20" s="83"/>
    </row>
    <row r="21" spans="1:36" hidden="1" x14ac:dyDescent="0.25">
      <c r="A21" s="27"/>
      <c r="C21" s="6">
        <v>4</v>
      </c>
      <c r="D21" s="23">
        <v>1.325</v>
      </c>
      <c r="E21" s="166">
        <v>23.3</v>
      </c>
      <c r="F21" s="30">
        <v>128</v>
      </c>
      <c r="G21" s="167">
        <v>0.3</v>
      </c>
      <c r="H21" s="165">
        <v>0.53</v>
      </c>
      <c r="I21" s="166">
        <v>16.7</v>
      </c>
      <c r="J21" s="6">
        <v>128</v>
      </c>
      <c r="K21" s="164">
        <v>0.5</v>
      </c>
      <c r="L21" s="163">
        <v>2.59</v>
      </c>
      <c r="M21" s="163">
        <v>12619</v>
      </c>
      <c r="N21" s="76">
        <f>185*'Project Summary'!M12</f>
        <v>92.5</v>
      </c>
      <c r="O21" s="4" t="s">
        <v>525</v>
      </c>
      <c r="AJ21" s="83"/>
    </row>
    <row r="22" spans="1:36" hidden="1" x14ac:dyDescent="0.25">
      <c r="A22" s="27"/>
      <c r="C22" s="6">
        <v>5</v>
      </c>
      <c r="D22" s="23">
        <v>1.675</v>
      </c>
      <c r="E22" s="166">
        <v>23.3</v>
      </c>
      <c r="F22" s="30">
        <v>160</v>
      </c>
      <c r="G22" s="167">
        <v>0.3</v>
      </c>
      <c r="H22" s="165">
        <v>0.67</v>
      </c>
      <c r="I22" s="166">
        <v>16.7</v>
      </c>
      <c r="J22" s="6">
        <v>160</v>
      </c>
      <c r="K22" s="164">
        <v>0.5</v>
      </c>
      <c r="L22" s="163">
        <v>3.25</v>
      </c>
      <c r="M22" s="163">
        <v>15801</v>
      </c>
      <c r="N22" s="76">
        <f>250*'Project Summary'!M12</f>
        <v>125</v>
      </c>
      <c r="O22" s="4" t="s">
        <v>525</v>
      </c>
      <c r="AJ22" s="83"/>
    </row>
    <row r="23" spans="1:36" hidden="1" x14ac:dyDescent="0.25">
      <c r="A23" s="27"/>
      <c r="C23" s="6">
        <v>6</v>
      </c>
      <c r="D23" s="23">
        <v>2</v>
      </c>
      <c r="E23" s="166">
        <v>23.3</v>
      </c>
      <c r="F23" s="30">
        <v>192</v>
      </c>
      <c r="G23" s="167">
        <v>0.3</v>
      </c>
      <c r="H23" s="165">
        <v>0.8</v>
      </c>
      <c r="I23" s="166">
        <v>16.7</v>
      </c>
      <c r="J23" s="6">
        <v>192</v>
      </c>
      <c r="K23" s="164">
        <v>0.5</v>
      </c>
      <c r="L23" s="163">
        <v>3.89</v>
      </c>
      <c r="M23" s="163">
        <v>18497</v>
      </c>
      <c r="N23" s="76">
        <f>300*'Project Summary'!M12</f>
        <v>150</v>
      </c>
      <c r="O23" s="4" t="s">
        <v>525</v>
      </c>
      <c r="AJ23" s="83"/>
    </row>
    <row r="24" spans="1:36" hidden="1" x14ac:dyDescent="0.25">
      <c r="A24" s="27"/>
      <c r="AJ24" s="83"/>
    </row>
    <row r="25" spans="1:36" hidden="1" x14ac:dyDescent="0.25">
      <c r="A25" s="27"/>
      <c r="AJ25" s="83"/>
    </row>
    <row r="26" spans="1:36" hidden="1" x14ac:dyDescent="0.25">
      <c r="A26" s="27"/>
      <c r="C26" s="14" t="s">
        <v>83</v>
      </c>
      <c r="D26" s="14" t="s">
        <v>84</v>
      </c>
      <c r="F26" s="269" t="s">
        <v>268</v>
      </c>
      <c r="G26" s="270"/>
      <c r="J26" s="14" t="s">
        <v>93</v>
      </c>
      <c r="K26" s="267"/>
      <c r="AJ26" s="83"/>
    </row>
    <row r="27" spans="1:36" hidden="1" x14ac:dyDescent="0.25">
      <c r="A27" s="27"/>
      <c r="C27" s="19" t="s">
        <v>124</v>
      </c>
      <c r="D27" s="19" t="s">
        <v>124</v>
      </c>
      <c r="F27" s="5">
        <v>12</v>
      </c>
      <c r="G27" s="5" t="s">
        <v>417</v>
      </c>
      <c r="J27" s="19">
        <v>0.9</v>
      </c>
      <c r="K27" s="28"/>
      <c r="AJ27" s="83"/>
    </row>
    <row r="28" spans="1:36" hidden="1" x14ac:dyDescent="0.25">
      <c r="A28" s="27"/>
      <c r="C28" s="19" t="s">
        <v>129</v>
      </c>
      <c r="D28" s="19" t="s">
        <v>130</v>
      </c>
      <c r="AJ28" s="83"/>
    </row>
    <row r="29" spans="1:36" s="82" customFormat="1"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J29" s="83"/>
    </row>
    <row r="30" spans="1:36" s="82" customFormat="1"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J30" s="83"/>
    </row>
    <row r="31" spans="1:36" s="82" customFormat="1" x14ac:dyDescent="0.25"/>
    <row r="32" spans="1:36" s="82" customFormat="1" x14ac:dyDescent="0.25"/>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sheetData>
  <sheetProtection algorithmName="SHA-512" hashValue="yJ7LdB18wVhiqMlpXn19xOtHrUnGgqxu20qHilWTAPGFGbxlPEQe0UAmKGtDkbCCXNPNPzIgzacOoqdr4Z6eIA==" saltValue="6HN++fAOkunwom/Sh0tABQ==" spinCount="100000" sheet="1" selectLockedCells="1"/>
  <mergeCells count="5">
    <mergeCell ref="B2:AG2"/>
    <mergeCell ref="D3:G4"/>
    <mergeCell ref="B3:C3"/>
    <mergeCell ref="D18:G18"/>
    <mergeCell ref="H18:K18"/>
  </mergeCells>
  <dataValidations count="2">
    <dataValidation type="list" allowBlank="1" showInputMessage="1" showErrorMessage="1" sqref="G8:I15" xr:uid="{00000000-0002-0000-0C00-000000000000}">
      <formula1>$C$20:$C$23</formula1>
    </dataValidation>
    <dataValidation type="list" allowBlank="1" showInputMessage="1" showErrorMessage="1" sqref="D8:D15" xr:uid="{00000000-0002-0000-0C00-000001000000}">
      <formula1>$C$27:$C$28</formula1>
    </dataValidation>
  </dataValidations>
  <hyperlinks>
    <hyperlink ref="B3" location="'Calculator Index'!A1" display="Return to Index" xr:uid="{00000000-0004-0000-0C00-000000000000}"/>
    <hyperlink ref="B3:C3" location="'Project Summary'!A1" display="Return to Project Summary" xr:uid="{00000000-0004-0000-0C00-000001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I1180"/>
  <sheetViews>
    <sheetView topLeftCell="A3" zoomScale="90" zoomScaleNormal="90" workbookViewId="0">
      <selection activeCell="D8" sqref="D8"/>
    </sheetView>
  </sheetViews>
  <sheetFormatPr defaultColWidth="9.140625" defaultRowHeight="15" x14ac:dyDescent="0.25"/>
  <cols>
    <col min="1" max="1" width="3.7109375" customWidth="1"/>
    <col min="2" max="2" width="5.85546875" customWidth="1"/>
    <col min="3" max="3" width="22.42578125" bestFit="1" customWidth="1"/>
    <col min="4" max="4" width="20.7109375" customWidth="1"/>
    <col min="5" max="5" width="25.7109375" customWidth="1"/>
    <col min="6" max="9" width="24.7109375" customWidth="1"/>
    <col min="10" max="10" width="24.7109375" hidden="1" customWidth="1"/>
    <col min="11" max="11" width="18.28515625" hidden="1" customWidth="1"/>
    <col min="12" max="12" width="15" hidden="1" customWidth="1"/>
    <col min="13" max="13" width="23.5703125" hidden="1" customWidth="1"/>
    <col min="14" max="14" width="11.42578125" hidden="1" customWidth="1"/>
    <col min="15" max="15" width="8.42578125" hidden="1" customWidth="1"/>
    <col min="16" max="16" width="10.140625" hidden="1" customWidth="1"/>
    <col min="17" max="17" width="10" hidden="1" customWidth="1"/>
    <col min="18" max="18" width="11.85546875" customWidth="1"/>
    <col min="19" max="20" width="12.42578125" hidden="1" customWidth="1"/>
    <col min="21" max="22" width="15.42578125" hidden="1" customWidth="1"/>
    <col min="23" max="23" width="16" hidden="1" customWidth="1"/>
    <col min="24" max="24" width="17.140625" customWidth="1"/>
    <col min="25" max="25" width="18" customWidth="1"/>
    <col min="26" max="26" width="14.140625" customWidth="1"/>
    <col min="27" max="28" width="14.140625" hidden="1" customWidth="1"/>
    <col min="29" max="29" width="32.140625" hidden="1" customWidth="1"/>
    <col min="30" max="30" width="7.7109375" style="82" customWidth="1"/>
    <col min="31" max="165" width="9.140625" style="82"/>
  </cols>
  <sheetData>
    <row r="1" spans="1:30" ht="19.5" customHeight="1" x14ac:dyDescent="0.25">
      <c r="A1" s="38"/>
      <c r="B1" s="38"/>
      <c r="C1" s="38"/>
      <c r="D1" s="38"/>
      <c r="E1" s="38"/>
      <c r="F1" s="38"/>
      <c r="G1" s="38"/>
      <c r="H1" s="38"/>
      <c r="I1" s="38"/>
      <c r="J1" s="27"/>
      <c r="K1" s="27"/>
      <c r="L1" s="27"/>
      <c r="M1" s="27"/>
      <c r="N1" s="27"/>
      <c r="O1" s="27"/>
      <c r="P1" s="27"/>
      <c r="Q1" s="27"/>
      <c r="R1" s="38"/>
      <c r="S1" s="27"/>
      <c r="T1" s="27"/>
      <c r="U1" s="27"/>
      <c r="V1" s="27"/>
      <c r="W1" s="27"/>
      <c r="X1" s="38"/>
      <c r="Y1" s="38"/>
      <c r="Z1" s="38"/>
      <c r="AA1" s="38"/>
      <c r="AB1" s="27" t="s">
        <v>76</v>
      </c>
      <c r="AC1" s="27" t="s">
        <v>526</v>
      </c>
      <c r="AD1" s="83"/>
    </row>
    <row r="2" spans="1:30" ht="27" customHeight="1" x14ac:dyDescent="0.25">
      <c r="A2" s="38"/>
      <c r="B2" s="544" t="s">
        <v>527</v>
      </c>
      <c r="C2" s="544"/>
      <c r="D2" s="544"/>
      <c r="E2" s="544"/>
      <c r="F2" s="544"/>
      <c r="G2" s="544"/>
      <c r="H2" s="544"/>
      <c r="I2" s="544"/>
      <c r="J2" s="544"/>
      <c r="K2" s="544"/>
      <c r="L2" s="544"/>
      <c r="M2" s="544"/>
      <c r="N2" s="544"/>
      <c r="O2" s="544"/>
      <c r="P2" s="544"/>
      <c r="Q2" s="544"/>
      <c r="R2" s="544"/>
      <c r="S2" s="544"/>
      <c r="T2" s="544"/>
      <c r="U2" s="544"/>
      <c r="V2" s="544"/>
      <c r="W2" s="544"/>
      <c r="X2" s="544"/>
      <c r="Y2" s="544"/>
      <c r="Z2" s="544"/>
      <c r="AA2" s="232"/>
      <c r="AB2" s="27"/>
      <c r="AC2" s="27"/>
      <c r="AD2" s="83"/>
    </row>
    <row r="3" spans="1:30" ht="23.25" customHeight="1" x14ac:dyDescent="0.25">
      <c r="A3" s="38"/>
      <c r="B3" s="505" t="s">
        <v>528</v>
      </c>
      <c r="C3" s="506"/>
      <c r="D3" s="545" t="s">
        <v>529</v>
      </c>
      <c r="E3" s="545"/>
      <c r="F3" s="545"/>
      <c r="G3" s="268"/>
      <c r="H3" s="268"/>
      <c r="I3" s="38"/>
      <c r="J3" s="27"/>
      <c r="K3" s="114"/>
      <c r="L3" s="27"/>
      <c r="M3" s="27"/>
      <c r="N3" s="27"/>
      <c r="O3" s="27"/>
      <c r="P3" s="27"/>
      <c r="Q3" s="27"/>
      <c r="R3" s="38"/>
      <c r="S3" s="27"/>
      <c r="T3" s="27"/>
      <c r="U3" s="27"/>
      <c r="V3" s="27"/>
      <c r="W3" s="27"/>
      <c r="X3" s="38"/>
      <c r="Y3" s="38"/>
      <c r="Z3" s="38"/>
      <c r="AA3" s="38"/>
      <c r="AB3" s="27"/>
      <c r="AC3" s="27"/>
      <c r="AD3" s="83"/>
    </row>
    <row r="4" spans="1:30" ht="24.75" customHeight="1" x14ac:dyDescent="0.25">
      <c r="A4" s="38"/>
      <c r="B4" s="38"/>
      <c r="C4" s="38"/>
      <c r="D4" s="513"/>
      <c r="E4" s="513"/>
      <c r="F4" s="513"/>
      <c r="G4" s="268"/>
      <c r="H4" s="268"/>
      <c r="I4" s="38"/>
      <c r="J4" s="27"/>
      <c r="K4" s="27"/>
      <c r="L4" s="27"/>
      <c r="M4" s="27"/>
      <c r="N4" s="27"/>
      <c r="O4" s="27"/>
      <c r="P4" s="27"/>
      <c r="Q4" s="27"/>
      <c r="R4" s="38"/>
      <c r="S4" s="27"/>
      <c r="T4" s="27"/>
      <c r="U4" s="27"/>
      <c r="V4" s="27"/>
      <c r="W4" s="27"/>
      <c r="X4" s="38"/>
      <c r="Y4" s="38"/>
      <c r="Z4" s="38"/>
      <c r="AA4" s="38"/>
      <c r="AB4" s="27"/>
      <c r="AC4" s="27"/>
      <c r="AD4" s="83"/>
    </row>
    <row r="5" spans="1:30" ht="12.75" customHeight="1" x14ac:dyDescent="0.25">
      <c r="A5" s="38"/>
      <c r="B5" s="38"/>
      <c r="C5" s="38"/>
      <c r="D5" s="38"/>
      <c r="E5" s="38"/>
      <c r="F5" s="38"/>
      <c r="G5" s="38"/>
      <c r="H5" s="38"/>
      <c r="I5" s="38"/>
      <c r="J5" s="27"/>
      <c r="K5" s="27"/>
      <c r="L5" s="27"/>
      <c r="M5" s="27"/>
      <c r="N5" s="27"/>
      <c r="O5" s="27"/>
      <c r="P5" s="27"/>
      <c r="Q5" s="27"/>
      <c r="R5" s="38"/>
      <c r="S5" s="27"/>
      <c r="T5" s="27"/>
      <c r="U5" s="27"/>
      <c r="V5" s="27"/>
      <c r="W5" s="27"/>
      <c r="X5" s="38"/>
      <c r="Y5" s="38"/>
      <c r="Z5" s="38"/>
      <c r="AA5" s="38"/>
      <c r="AB5" s="27"/>
      <c r="AC5" s="27"/>
      <c r="AD5" s="83"/>
    </row>
    <row r="6" spans="1:30" ht="32.25" customHeight="1" x14ac:dyDescent="0.25">
      <c r="A6" s="38"/>
      <c r="B6" s="153" t="s">
        <v>194</v>
      </c>
      <c r="C6" s="153" t="s">
        <v>82</v>
      </c>
      <c r="D6" s="153" t="s">
        <v>83</v>
      </c>
      <c r="E6" s="153" t="s">
        <v>86</v>
      </c>
      <c r="F6" s="153" t="s">
        <v>87</v>
      </c>
      <c r="G6" s="153" t="s">
        <v>195</v>
      </c>
      <c r="H6" s="153" t="s">
        <v>196</v>
      </c>
      <c r="I6" s="153" t="s">
        <v>530</v>
      </c>
      <c r="J6" s="153" t="s">
        <v>84</v>
      </c>
      <c r="K6" s="153" t="s">
        <v>531</v>
      </c>
      <c r="L6" s="153" t="s">
        <v>532</v>
      </c>
      <c r="M6" s="153" t="s">
        <v>533</v>
      </c>
      <c r="N6" s="153" t="s">
        <v>534</v>
      </c>
      <c r="O6" s="153" t="s">
        <v>535</v>
      </c>
      <c r="P6" s="153" t="s">
        <v>93</v>
      </c>
      <c r="Q6" s="153" t="s">
        <v>346</v>
      </c>
      <c r="R6" s="153" t="s">
        <v>51</v>
      </c>
      <c r="S6" s="153" t="s">
        <v>536</v>
      </c>
      <c r="T6" s="153" t="s">
        <v>537</v>
      </c>
      <c r="U6" s="153" t="s">
        <v>513</v>
      </c>
      <c r="V6" s="153" t="s">
        <v>215</v>
      </c>
      <c r="W6" s="153" t="s">
        <v>508</v>
      </c>
      <c r="X6" s="153" t="s">
        <v>383</v>
      </c>
      <c r="Y6" s="153" t="s">
        <v>96</v>
      </c>
      <c r="Z6" s="153" t="s">
        <v>54</v>
      </c>
      <c r="AA6" s="154" t="s">
        <v>97</v>
      </c>
      <c r="AB6" s="154" t="s">
        <v>217</v>
      </c>
      <c r="AC6" s="154" t="s">
        <v>71</v>
      </c>
      <c r="AD6" s="83"/>
    </row>
    <row r="7" spans="1:30" ht="26.25" hidden="1" customHeight="1" x14ac:dyDescent="0.25">
      <c r="A7" s="38"/>
      <c r="B7" s="245" t="s">
        <v>100</v>
      </c>
      <c r="C7" s="245"/>
      <c r="D7" s="245" t="s">
        <v>101</v>
      </c>
      <c r="E7" s="245" t="s">
        <v>104</v>
      </c>
      <c r="F7" s="245" t="s">
        <v>105</v>
      </c>
      <c r="G7" s="245" t="s">
        <v>218</v>
      </c>
      <c r="H7" s="245" t="s">
        <v>103</v>
      </c>
      <c r="I7" s="245" t="s">
        <v>538</v>
      </c>
      <c r="J7" s="245" t="s">
        <v>102</v>
      </c>
      <c r="K7" s="245"/>
      <c r="L7" s="245"/>
      <c r="M7" s="245"/>
      <c r="N7" s="245"/>
      <c r="O7" s="245"/>
      <c r="P7" s="245"/>
      <c r="Q7" s="245"/>
      <c r="R7" s="245" t="s">
        <v>51</v>
      </c>
      <c r="S7" s="245"/>
      <c r="T7" s="245"/>
      <c r="U7" s="245"/>
      <c r="V7" s="245" t="s">
        <v>108</v>
      </c>
      <c r="W7" s="245"/>
      <c r="X7" s="245" t="s">
        <v>109</v>
      </c>
      <c r="Y7" s="245" t="s">
        <v>110</v>
      </c>
      <c r="Z7" s="245" t="s">
        <v>111</v>
      </c>
      <c r="AA7" s="245" t="s">
        <v>112</v>
      </c>
      <c r="AB7" s="245" t="s">
        <v>114</v>
      </c>
      <c r="AC7" s="245" t="s">
        <v>113</v>
      </c>
      <c r="AD7" s="83"/>
    </row>
    <row r="8" spans="1:30" ht="18.75" customHeight="1" x14ac:dyDescent="0.25">
      <c r="A8" s="38"/>
      <c r="B8" s="220">
        <v>1</v>
      </c>
      <c r="C8" s="220" t="s">
        <v>539</v>
      </c>
      <c r="D8" s="49"/>
      <c r="E8" s="41"/>
      <c r="F8" s="11"/>
      <c r="G8" s="11"/>
      <c r="H8" s="11"/>
      <c r="I8" s="11"/>
      <c r="J8" s="182" t="str">
        <f>IF(D8=$C$28,$D$28,IF(D8=$C$29,$D$29,""))</f>
        <v/>
      </c>
      <c r="K8" s="182" t="str">
        <f t="shared" ref="K8:K15" si="0">IF(I8="", "", IF(I8=$F$28, $D$19, $J$19))</f>
        <v/>
      </c>
      <c r="L8" s="18">
        <v>15</v>
      </c>
      <c r="M8" s="125">
        <v>0.16700000000000001</v>
      </c>
      <c r="N8" s="99">
        <v>150</v>
      </c>
      <c r="O8" s="99">
        <v>365</v>
      </c>
      <c r="P8" s="92">
        <f>$I$28</f>
        <v>0.9</v>
      </c>
      <c r="Q8" s="99" t="str">
        <f>IF(K8="", "", O8*K8)</f>
        <v/>
      </c>
      <c r="R8" s="49"/>
      <c r="S8" s="180" t="str">
        <f t="shared" ref="S8:S15" si="1">IF($R8="", "", IF($I8=$F$28, $R8*$O8*(($N8*$M8/$D$21)+($D$20*($K8-($N8/$D$22)))), $R8*$O8*(($N8*$M8/$J$21)+($J$20*($K8-($N8/$J$22))))))</f>
        <v/>
      </c>
      <c r="T8" s="180" t="str">
        <f t="shared" ref="T8:T15" si="2">IF($R8="", "", IF($I8=$C$17, $R8*$O8*(($N8*$M8/$E$21)+($E$20*($K8-($N8/$E$22)))), $R8*$O8*(($N8*$M8/$K$21)+($K$20*($K8-($N8/$K$22))))))</f>
        <v/>
      </c>
      <c r="U8" s="115" t="str">
        <f t="shared" ref="U8:U15" si="3">IFERROR(S8-T8,"")</f>
        <v/>
      </c>
      <c r="V8" s="115" t="str">
        <f>IFERROR(ROUND(IF(U8="", "", (U8/(K8*O8))*R8),6),"")</f>
        <v/>
      </c>
      <c r="W8" s="115" t="str">
        <f>IF(U8="", "", U8/(K8*O8)*P8)</f>
        <v/>
      </c>
      <c r="X8" s="416" t="str">
        <f>IFERROR(ROUND(IF($R8="","",$R8*$W8),6),"")</f>
        <v/>
      </c>
      <c r="Y8" s="416" t="str">
        <f>IFERROR(ROUND(IF($R8="","",$R8*$U8),4),"")</f>
        <v/>
      </c>
      <c r="Z8" s="116" t="str">
        <f>IF(R8="", "", $C$25*R8)</f>
        <v/>
      </c>
      <c r="AA8" s="116">
        <f t="shared" ref="AA8:AA15" si="4">H8</f>
        <v>0</v>
      </c>
      <c r="AB8" s="116" t="str">
        <f>IF(Y8&gt;0,"Yes","No")</f>
        <v>Yes</v>
      </c>
      <c r="AC8" s="56" t="s">
        <v>540</v>
      </c>
      <c r="AD8" s="83"/>
    </row>
    <row r="9" spans="1:30" ht="18.75" customHeight="1" x14ac:dyDescent="0.25">
      <c r="A9" s="38"/>
      <c r="B9" s="220">
        <v>2</v>
      </c>
      <c r="C9" s="220" t="s">
        <v>539</v>
      </c>
      <c r="D9" s="49"/>
      <c r="E9" s="41"/>
      <c r="F9" s="11"/>
      <c r="G9" s="11"/>
      <c r="H9" s="11"/>
      <c r="I9" s="11"/>
      <c r="J9" s="182" t="str">
        <f t="shared" ref="J9:J15" si="5">IF(D9=$C$28,$D$28,IF(D9=$C$29,$D$29,""))</f>
        <v/>
      </c>
      <c r="K9" s="182" t="str">
        <f t="shared" si="0"/>
        <v/>
      </c>
      <c r="L9" s="18">
        <v>15</v>
      </c>
      <c r="M9" s="125">
        <v>0.16700000000000001</v>
      </c>
      <c r="N9" s="99">
        <v>150</v>
      </c>
      <c r="O9" s="99">
        <v>365</v>
      </c>
      <c r="P9" s="92">
        <f t="shared" ref="P9:P15" si="6">$I$28</f>
        <v>0.9</v>
      </c>
      <c r="Q9" s="99" t="str">
        <f t="shared" ref="Q9:Q15" si="7">IF(K9="", "", O9*K9)</f>
        <v/>
      </c>
      <c r="R9" s="49"/>
      <c r="S9" s="180" t="str">
        <f t="shared" si="1"/>
        <v/>
      </c>
      <c r="T9" s="180" t="str">
        <f t="shared" si="2"/>
        <v/>
      </c>
      <c r="U9" s="115" t="str">
        <f t="shared" si="3"/>
        <v/>
      </c>
      <c r="V9" s="115" t="str">
        <f t="shared" ref="V9:V15" si="8">IFERROR(ROUND(IF(U9="", "", (U9/(K9*O9))*R9),6),"")</f>
        <v/>
      </c>
      <c r="W9" s="115" t="str">
        <f t="shared" ref="W9:W15" si="9">IF(U9="", "", U9/(K9*O9)*P9)</f>
        <v/>
      </c>
      <c r="X9" s="416" t="str">
        <f t="shared" ref="X9:X15" si="10">IFERROR(ROUND(IF($R9="","",$R9*$W9),6),"")</f>
        <v/>
      </c>
      <c r="Y9" s="416" t="str">
        <f t="shared" ref="Y9:Y15" si="11">IFERROR(ROUND(IF($R9="","",$R9*$U9),4),"")</f>
        <v/>
      </c>
      <c r="Z9" s="116" t="str">
        <f t="shared" ref="Z9:Z15" si="12">IF(R9="", "", $C$25*R9)</f>
        <v/>
      </c>
      <c r="AA9" s="116">
        <f t="shared" si="4"/>
        <v>0</v>
      </c>
      <c r="AB9" s="116" t="str">
        <f t="shared" ref="AB9:AB15" si="13">IF(Y9&gt;0,"Yes","No")</f>
        <v>Yes</v>
      </c>
      <c r="AC9" s="56" t="s">
        <v>540</v>
      </c>
      <c r="AD9" s="83"/>
    </row>
    <row r="10" spans="1:30" ht="18.75" customHeight="1" x14ac:dyDescent="0.25">
      <c r="A10" s="38"/>
      <c r="B10" s="220">
        <v>3</v>
      </c>
      <c r="C10" s="220" t="s">
        <v>539</v>
      </c>
      <c r="D10" s="49"/>
      <c r="E10" s="41"/>
      <c r="F10" s="11"/>
      <c r="G10" s="11"/>
      <c r="H10" s="11"/>
      <c r="I10" s="11"/>
      <c r="J10" s="182" t="str">
        <f t="shared" si="5"/>
        <v/>
      </c>
      <c r="K10" s="182" t="str">
        <f t="shared" si="0"/>
        <v/>
      </c>
      <c r="L10" s="18">
        <v>15</v>
      </c>
      <c r="M10" s="125">
        <v>0.16700000000000001</v>
      </c>
      <c r="N10" s="99">
        <v>150</v>
      </c>
      <c r="O10" s="99">
        <v>365</v>
      </c>
      <c r="P10" s="92">
        <f t="shared" si="6"/>
        <v>0.9</v>
      </c>
      <c r="Q10" s="99" t="str">
        <f t="shared" si="7"/>
        <v/>
      </c>
      <c r="R10" s="49"/>
      <c r="S10" s="100" t="str">
        <f t="shared" si="1"/>
        <v/>
      </c>
      <c r="T10" s="100" t="str">
        <f t="shared" si="2"/>
        <v/>
      </c>
      <c r="U10" s="115" t="str">
        <f t="shared" si="3"/>
        <v/>
      </c>
      <c r="V10" s="115" t="str">
        <f t="shared" si="8"/>
        <v/>
      </c>
      <c r="W10" s="115" t="str">
        <f t="shared" si="9"/>
        <v/>
      </c>
      <c r="X10" s="416" t="str">
        <f t="shared" si="10"/>
        <v/>
      </c>
      <c r="Y10" s="416" t="str">
        <f t="shared" si="11"/>
        <v/>
      </c>
      <c r="Z10" s="116" t="str">
        <f t="shared" si="12"/>
        <v/>
      </c>
      <c r="AA10" s="116">
        <f t="shared" si="4"/>
        <v>0</v>
      </c>
      <c r="AB10" s="116" t="str">
        <f t="shared" si="13"/>
        <v>Yes</v>
      </c>
      <c r="AC10" s="56" t="s">
        <v>540</v>
      </c>
      <c r="AD10" s="83"/>
    </row>
    <row r="11" spans="1:30" ht="18.75" customHeight="1" x14ac:dyDescent="0.25">
      <c r="A11" s="38"/>
      <c r="B11" s="220">
        <v>4</v>
      </c>
      <c r="C11" s="220" t="s">
        <v>539</v>
      </c>
      <c r="D11" s="49"/>
      <c r="E11" s="41"/>
      <c r="F11" s="11"/>
      <c r="G11" s="11"/>
      <c r="H11" s="11"/>
      <c r="I11" s="11"/>
      <c r="J11" s="182" t="str">
        <f t="shared" si="5"/>
        <v/>
      </c>
      <c r="K11" s="182" t="str">
        <f t="shared" si="0"/>
        <v/>
      </c>
      <c r="L11" s="18">
        <v>15</v>
      </c>
      <c r="M11" s="125">
        <v>0.16700000000000001</v>
      </c>
      <c r="N11" s="99">
        <v>150</v>
      </c>
      <c r="O11" s="99">
        <v>365</v>
      </c>
      <c r="P11" s="92">
        <f t="shared" si="6"/>
        <v>0.9</v>
      </c>
      <c r="Q11" s="99" t="str">
        <f t="shared" si="7"/>
        <v/>
      </c>
      <c r="R11" s="49"/>
      <c r="S11" s="100" t="str">
        <f t="shared" si="1"/>
        <v/>
      </c>
      <c r="T11" s="100" t="str">
        <f t="shared" si="2"/>
        <v/>
      </c>
      <c r="U11" s="115" t="str">
        <f t="shared" si="3"/>
        <v/>
      </c>
      <c r="V11" s="115" t="str">
        <f t="shared" si="8"/>
        <v/>
      </c>
      <c r="W11" s="115" t="str">
        <f t="shared" si="9"/>
        <v/>
      </c>
      <c r="X11" s="416" t="str">
        <f t="shared" si="10"/>
        <v/>
      </c>
      <c r="Y11" s="416" t="str">
        <f t="shared" si="11"/>
        <v/>
      </c>
      <c r="Z11" s="116" t="str">
        <f t="shared" si="12"/>
        <v/>
      </c>
      <c r="AA11" s="116">
        <f t="shared" si="4"/>
        <v>0</v>
      </c>
      <c r="AB11" s="116" t="str">
        <f t="shared" si="13"/>
        <v>Yes</v>
      </c>
      <c r="AC11" s="56" t="s">
        <v>540</v>
      </c>
      <c r="AD11" s="83"/>
    </row>
    <row r="12" spans="1:30" ht="18.75" customHeight="1" x14ac:dyDescent="0.25">
      <c r="A12" s="38"/>
      <c r="B12" s="220">
        <v>5</v>
      </c>
      <c r="C12" s="220" t="s">
        <v>539</v>
      </c>
      <c r="D12" s="49"/>
      <c r="E12" s="41"/>
      <c r="F12" s="11"/>
      <c r="G12" s="11"/>
      <c r="H12" s="11"/>
      <c r="I12" s="11"/>
      <c r="J12" s="182" t="str">
        <f t="shared" si="5"/>
        <v/>
      </c>
      <c r="K12" s="182" t="str">
        <f t="shared" si="0"/>
        <v/>
      </c>
      <c r="L12" s="18">
        <v>15</v>
      </c>
      <c r="M12" s="125">
        <v>0.16700000000000001</v>
      </c>
      <c r="N12" s="99">
        <v>150</v>
      </c>
      <c r="O12" s="99">
        <v>365</v>
      </c>
      <c r="P12" s="92">
        <f t="shared" si="6"/>
        <v>0.9</v>
      </c>
      <c r="Q12" s="99" t="str">
        <f t="shared" si="7"/>
        <v/>
      </c>
      <c r="R12" s="49"/>
      <c r="S12" s="100" t="str">
        <f t="shared" si="1"/>
        <v/>
      </c>
      <c r="T12" s="100" t="str">
        <f t="shared" si="2"/>
        <v/>
      </c>
      <c r="U12" s="115" t="str">
        <f t="shared" si="3"/>
        <v/>
      </c>
      <c r="V12" s="115" t="str">
        <f t="shared" si="8"/>
        <v/>
      </c>
      <c r="W12" s="115" t="str">
        <f t="shared" si="9"/>
        <v/>
      </c>
      <c r="X12" s="416" t="str">
        <f t="shared" si="10"/>
        <v/>
      </c>
      <c r="Y12" s="416" t="str">
        <f t="shared" si="11"/>
        <v/>
      </c>
      <c r="Z12" s="116" t="str">
        <f t="shared" si="12"/>
        <v/>
      </c>
      <c r="AA12" s="116">
        <f t="shared" si="4"/>
        <v>0</v>
      </c>
      <c r="AB12" s="116" t="str">
        <f t="shared" si="13"/>
        <v>Yes</v>
      </c>
      <c r="AC12" s="56" t="s">
        <v>540</v>
      </c>
      <c r="AD12" s="83"/>
    </row>
    <row r="13" spans="1:30" ht="18.75" customHeight="1" x14ac:dyDescent="0.25">
      <c r="A13" s="38"/>
      <c r="B13" s="220">
        <v>6</v>
      </c>
      <c r="C13" s="220" t="s">
        <v>539</v>
      </c>
      <c r="D13" s="49"/>
      <c r="E13" s="41"/>
      <c r="F13" s="11"/>
      <c r="G13" s="11"/>
      <c r="H13" s="11"/>
      <c r="I13" s="11"/>
      <c r="J13" s="182" t="str">
        <f t="shared" si="5"/>
        <v/>
      </c>
      <c r="K13" s="182" t="str">
        <f t="shared" si="0"/>
        <v/>
      </c>
      <c r="L13" s="18">
        <v>15</v>
      </c>
      <c r="M13" s="125">
        <v>0.16700000000000001</v>
      </c>
      <c r="N13" s="99">
        <v>150</v>
      </c>
      <c r="O13" s="99">
        <v>365</v>
      </c>
      <c r="P13" s="92">
        <f t="shared" si="6"/>
        <v>0.9</v>
      </c>
      <c r="Q13" s="99" t="str">
        <f t="shared" si="7"/>
        <v/>
      </c>
      <c r="R13" s="49"/>
      <c r="S13" s="100" t="str">
        <f t="shared" si="1"/>
        <v/>
      </c>
      <c r="T13" s="100" t="str">
        <f t="shared" si="2"/>
        <v/>
      </c>
      <c r="U13" s="115" t="str">
        <f t="shared" si="3"/>
        <v/>
      </c>
      <c r="V13" s="115" t="str">
        <f t="shared" si="8"/>
        <v/>
      </c>
      <c r="W13" s="115" t="str">
        <f t="shared" si="9"/>
        <v/>
      </c>
      <c r="X13" s="416" t="str">
        <f t="shared" si="10"/>
        <v/>
      </c>
      <c r="Y13" s="416" t="str">
        <f t="shared" si="11"/>
        <v/>
      </c>
      <c r="Z13" s="116" t="str">
        <f t="shared" si="12"/>
        <v/>
      </c>
      <c r="AA13" s="116">
        <f t="shared" si="4"/>
        <v>0</v>
      </c>
      <c r="AB13" s="116" t="str">
        <f t="shared" si="13"/>
        <v>Yes</v>
      </c>
      <c r="AC13" s="56" t="s">
        <v>540</v>
      </c>
      <c r="AD13" s="83"/>
    </row>
    <row r="14" spans="1:30" ht="18.75" customHeight="1" x14ac:dyDescent="0.25">
      <c r="A14" s="38"/>
      <c r="B14" s="220">
        <v>7</v>
      </c>
      <c r="C14" s="220" t="s">
        <v>539</v>
      </c>
      <c r="D14" s="49"/>
      <c r="E14" s="41"/>
      <c r="F14" s="11"/>
      <c r="G14" s="11"/>
      <c r="H14" s="11"/>
      <c r="I14" s="11"/>
      <c r="J14" s="182" t="str">
        <f t="shared" si="5"/>
        <v/>
      </c>
      <c r="K14" s="182" t="str">
        <f t="shared" si="0"/>
        <v/>
      </c>
      <c r="L14" s="18">
        <v>15</v>
      </c>
      <c r="M14" s="125">
        <v>0.16700000000000001</v>
      </c>
      <c r="N14" s="99">
        <v>150</v>
      </c>
      <c r="O14" s="99">
        <v>365</v>
      </c>
      <c r="P14" s="92">
        <f t="shared" si="6"/>
        <v>0.9</v>
      </c>
      <c r="Q14" s="99" t="str">
        <f t="shared" si="7"/>
        <v/>
      </c>
      <c r="R14" s="49"/>
      <c r="S14" s="100" t="str">
        <f t="shared" si="1"/>
        <v/>
      </c>
      <c r="T14" s="100" t="str">
        <f t="shared" si="2"/>
        <v/>
      </c>
      <c r="U14" s="115" t="str">
        <f t="shared" si="3"/>
        <v/>
      </c>
      <c r="V14" s="115" t="str">
        <f t="shared" si="8"/>
        <v/>
      </c>
      <c r="W14" s="115" t="str">
        <f t="shared" si="9"/>
        <v/>
      </c>
      <c r="X14" s="416" t="str">
        <f t="shared" si="10"/>
        <v/>
      </c>
      <c r="Y14" s="416" t="str">
        <f t="shared" si="11"/>
        <v/>
      </c>
      <c r="Z14" s="116" t="str">
        <f t="shared" si="12"/>
        <v/>
      </c>
      <c r="AA14" s="116">
        <f t="shared" si="4"/>
        <v>0</v>
      </c>
      <c r="AB14" s="116" t="str">
        <f t="shared" si="13"/>
        <v>Yes</v>
      </c>
      <c r="AC14" s="56" t="s">
        <v>540</v>
      </c>
      <c r="AD14" s="83"/>
    </row>
    <row r="15" spans="1:30" ht="18.75" customHeight="1" x14ac:dyDescent="0.25">
      <c r="A15" s="38"/>
      <c r="B15" s="220">
        <v>8</v>
      </c>
      <c r="C15" s="220" t="s">
        <v>539</v>
      </c>
      <c r="D15" s="49"/>
      <c r="E15" s="41"/>
      <c r="F15" s="11"/>
      <c r="G15" s="11"/>
      <c r="H15" s="11"/>
      <c r="I15" s="11"/>
      <c r="J15" s="182" t="str">
        <f t="shared" si="5"/>
        <v/>
      </c>
      <c r="K15" s="182" t="str">
        <f t="shared" si="0"/>
        <v/>
      </c>
      <c r="L15" s="18">
        <v>15</v>
      </c>
      <c r="M15" s="125">
        <v>0.16700000000000001</v>
      </c>
      <c r="N15" s="99">
        <v>150</v>
      </c>
      <c r="O15" s="99">
        <v>365</v>
      </c>
      <c r="P15" s="92">
        <f t="shared" si="6"/>
        <v>0.9</v>
      </c>
      <c r="Q15" s="99" t="str">
        <f t="shared" si="7"/>
        <v/>
      </c>
      <c r="R15" s="49"/>
      <c r="S15" s="100" t="str">
        <f t="shared" si="1"/>
        <v/>
      </c>
      <c r="T15" s="100" t="str">
        <f t="shared" si="2"/>
        <v/>
      </c>
      <c r="U15" s="115" t="str">
        <f t="shared" si="3"/>
        <v/>
      </c>
      <c r="V15" s="115" t="str">
        <f t="shared" si="8"/>
        <v/>
      </c>
      <c r="W15" s="115" t="str">
        <f t="shared" si="9"/>
        <v/>
      </c>
      <c r="X15" s="416" t="str">
        <f t="shared" si="10"/>
        <v/>
      </c>
      <c r="Y15" s="416" t="str">
        <f t="shared" si="11"/>
        <v/>
      </c>
      <c r="Z15" s="116" t="str">
        <f t="shared" si="12"/>
        <v/>
      </c>
      <c r="AA15" s="116">
        <f t="shared" si="4"/>
        <v>0</v>
      </c>
      <c r="AB15" s="116" t="str">
        <f t="shared" si="13"/>
        <v>Yes</v>
      </c>
      <c r="AC15" s="56" t="s">
        <v>540</v>
      </c>
      <c r="AD15" s="83"/>
    </row>
    <row r="16" spans="1:30" hidden="1" x14ac:dyDescent="0.25">
      <c r="A16" s="27"/>
      <c r="R16" s="313">
        <f>SUM(R8:R15)</f>
        <v>0</v>
      </c>
      <c r="S16" s="313">
        <f t="shared" ref="S16:Z16" si="14">SUM(S8:S15)</f>
        <v>0</v>
      </c>
      <c r="T16" s="313">
        <f t="shared" si="14"/>
        <v>0</v>
      </c>
      <c r="U16" s="313">
        <f t="shared" si="14"/>
        <v>0</v>
      </c>
      <c r="V16" s="313">
        <f t="shared" si="14"/>
        <v>0</v>
      </c>
      <c r="W16" s="313">
        <f t="shared" si="14"/>
        <v>0</v>
      </c>
      <c r="X16" s="313">
        <f t="shared" si="14"/>
        <v>0</v>
      </c>
      <c r="Y16" s="313">
        <f t="shared" si="14"/>
        <v>0</v>
      </c>
      <c r="Z16" s="313">
        <f t="shared" si="14"/>
        <v>0</v>
      </c>
      <c r="AD16" s="83"/>
    </row>
    <row r="17" spans="1:30" hidden="1" x14ac:dyDescent="0.25">
      <c r="A17" s="27"/>
      <c r="C17" s="172" t="s">
        <v>541</v>
      </c>
      <c r="I17" s="172" t="s">
        <v>542</v>
      </c>
      <c r="J17" s="172"/>
      <c r="AD17" s="83"/>
    </row>
    <row r="18" spans="1:30" ht="30" hidden="1" x14ac:dyDescent="0.25">
      <c r="A18" s="27"/>
      <c r="C18" s="222" t="s">
        <v>543</v>
      </c>
      <c r="D18" s="222" t="s">
        <v>460</v>
      </c>
      <c r="E18" s="222" t="s">
        <v>461</v>
      </c>
      <c r="I18" s="171" t="s">
        <v>543</v>
      </c>
      <c r="J18" s="171" t="s">
        <v>460</v>
      </c>
      <c r="K18" s="171" t="s">
        <v>461</v>
      </c>
      <c r="AD18" s="83"/>
    </row>
    <row r="19" spans="1:30" hidden="1" x14ac:dyDescent="0.25">
      <c r="A19" s="27"/>
      <c r="C19" s="173" t="s">
        <v>544</v>
      </c>
      <c r="D19" s="173">
        <v>16</v>
      </c>
      <c r="E19" s="173">
        <v>16</v>
      </c>
      <c r="F19" s="174"/>
      <c r="G19" s="174"/>
      <c r="H19" s="174"/>
      <c r="I19" s="173" t="s">
        <v>544</v>
      </c>
      <c r="J19" s="173">
        <v>12</v>
      </c>
      <c r="K19" s="173">
        <v>12</v>
      </c>
      <c r="AD19" s="83"/>
    </row>
    <row r="20" spans="1:30" hidden="1" x14ac:dyDescent="0.25">
      <c r="A20" s="27"/>
      <c r="C20" s="117" t="s">
        <v>545</v>
      </c>
      <c r="D20" s="4">
        <v>1.05</v>
      </c>
      <c r="E20" s="147">
        <v>0.8</v>
      </c>
      <c r="I20" s="168" t="s">
        <v>545</v>
      </c>
      <c r="J20" s="169">
        <v>1.35</v>
      </c>
      <c r="K20" s="169">
        <v>1.1000000000000001</v>
      </c>
      <c r="AD20" s="83"/>
    </row>
    <row r="21" spans="1:30" hidden="1" x14ac:dyDescent="0.25">
      <c r="A21" s="27"/>
      <c r="C21" s="8" t="s">
        <v>474</v>
      </c>
      <c r="D21" s="118">
        <v>0.75</v>
      </c>
      <c r="E21" s="148">
        <v>0.83</v>
      </c>
      <c r="I21" s="168" t="s">
        <v>474</v>
      </c>
      <c r="J21" s="170">
        <v>0.7</v>
      </c>
      <c r="K21" s="170">
        <v>0.8</v>
      </c>
      <c r="AD21" s="83"/>
    </row>
    <row r="22" spans="1:30" hidden="1" x14ac:dyDescent="0.25">
      <c r="A22" s="27"/>
      <c r="C22" s="8" t="s">
        <v>546</v>
      </c>
      <c r="D22" s="4">
        <v>65</v>
      </c>
      <c r="E22" s="4">
        <v>70</v>
      </c>
      <c r="I22" s="168" t="s">
        <v>546</v>
      </c>
      <c r="J22" s="169">
        <v>100</v>
      </c>
      <c r="K22" s="169">
        <v>110</v>
      </c>
      <c r="AD22" s="83"/>
    </row>
    <row r="23" spans="1:30" hidden="1" x14ac:dyDescent="0.25">
      <c r="A23" s="27"/>
      <c r="D23" s="119"/>
      <c r="AD23" s="83"/>
    </row>
    <row r="24" spans="1:30" hidden="1" x14ac:dyDescent="0.25">
      <c r="A24" s="27"/>
      <c r="C24" s="223" t="s">
        <v>54</v>
      </c>
      <c r="AD24" s="83"/>
    </row>
    <row r="25" spans="1:30" hidden="1" x14ac:dyDescent="0.25">
      <c r="A25" s="27"/>
      <c r="C25" s="76">
        <f>150*'Project Summary'!M12</f>
        <v>75</v>
      </c>
      <c r="D25" s="4" t="s">
        <v>547</v>
      </c>
      <c r="AD25" s="83"/>
    </row>
    <row r="26" spans="1:30" hidden="1" x14ac:dyDescent="0.25">
      <c r="A26" s="27"/>
      <c r="AD26" s="83"/>
    </row>
    <row r="27" spans="1:30" hidden="1" x14ac:dyDescent="0.25">
      <c r="A27" s="27"/>
      <c r="C27" s="14" t="s">
        <v>83</v>
      </c>
      <c r="D27" s="14" t="s">
        <v>84</v>
      </c>
      <c r="F27" s="175" t="s">
        <v>530</v>
      </c>
      <c r="I27" s="175" t="s">
        <v>93</v>
      </c>
      <c r="J27" s="272"/>
      <c r="AD27" s="83"/>
    </row>
    <row r="28" spans="1:30" hidden="1" x14ac:dyDescent="0.25">
      <c r="A28" s="27"/>
      <c r="C28" s="19" t="s">
        <v>124</v>
      </c>
      <c r="D28" s="19" t="s">
        <v>124</v>
      </c>
      <c r="F28" s="176" t="s">
        <v>541</v>
      </c>
      <c r="I28" s="176">
        <v>0.9</v>
      </c>
      <c r="J28" s="273"/>
      <c r="AD28" s="83"/>
    </row>
    <row r="29" spans="1:30" hidden="1" x14ac:dyDescent="0.25">
      <c r="A29" s="27"/>
      <c r="C29" s="19" t="s">
        <v>129</v>
      </c>
      <c r="D29" s="19" t="s">
        <v>130</v>
      </c>
      <c r="F29" s="176" t="s">
        <v>542</v>
      </c>
      <c r="AD29" s="83"/>
    </row>
    <row r="30" spans="1:30" hidden="1" x14ac:dyDescent="0.25">
      <c r="A30" s="27"/>
      <c r="AD30" s="83"/>
    </row>
    <row r="31" spans="1:30" hidden="1" x14ac:dyDescent="0.25">
      <c r="A31" s="27"/>
      <c r="C31" s="45" t="s">
        <v>268</v>
      </c>
      <c r="AD31" s="83"/>
    </row>
    <row r="32" spans="1:30" hidden="1" x14ac:dyDescent="0.25">
      <c r="A32" s="27"/>
      <c r="C32" s="5">
        <v>12</v>
      </c>
      <c r="D32" s="5" t="s">
        <v>417</v>
      </c>
      <c r="AD32" s="83"/>
    </row>
    <row r="33" spans="1:30" s="82" customFormat="1" ht="17.25" customHeight="1" x14ac:dyDescent="0.25">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D33" s="83"/>
    </row>
    <row r="34" spans="1:30" s="82" customFormat="1" ht="17.25" customHeight="1" x14ac:dyDescent="0.2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D34" s="83"/>
    </row>
    <row r="35" spans="1:30" s="82" customFormat="1" x14ac:dyDescent="0.25"/>
    <row r="36" spans="1:30" s="82" customFormat="1" x14ac:dyDescent="0.25"/>
    <row r="37" spans="1:30" s="82" customFormat="1" x14ac:dyDescent="0.25"/>
    <row r="38" spans="1:30" s="82" customFormat="1" x14ac:dyDescent="0.25"/>
    <row r="39" spans="1:30" s="82" customFormat="1" x14ac:dyDescent="0.25"/>
    <row r="40" spans="1:30" s="82" customFormat="1" x14ac:dyDescent="0.25"/>
    <row r="41" spans="1:30" s="82" customFormat="1" x14ac:dyDescent="0.25"/>
    <row r="42" spans="1:30" s="82" customFormat="1" x14ac:dyDescent="0.25"/>
    <row r="43" spans="1:30" s="82" customFormat="1" x14ac:dyDescent="0.25"/>
    <row r="44" spans="1:30" s="82" customFormat="1" x14ac:dyDescent="0.25"/>
    <row r="45" spans="1:30" s="82" customFormat="1" x14ac:dyDescent="0.25"/>
    <row r="46" spans="1:30" s="82" customFormat="1" x14ac:dyDescent="0.25"/>
    <row r="47" spans="1:30" s="82" customFormat="1" x14ac:dyDescent="0.25"/>
    <row r="48" spans="1:30"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sheetData>
  <sheetProtection algorithmName="SHA-512" hashValue="dZyQS/eZ3STXv4BZCiqCo75lUnI35jyLr49rQJPZIXTw9plgyC6iNsNNF0BWxHQON64YozMUvSKxAn0PmKn9aA==" saltValue="m63XjnNUztmGyZAU2MsoeA==" spinCount="100000" sheet="1" selectLockedCells="1"/>
  <mergeCells count="3">
    <mergeCell ref="B3:C3"/>
    <mergeCell ref="B2:Z2"/>
    <mergeCell ref="D3:F4"/>
  </mergeCells>
  <phoneticPr fontId="38" type="noConversion"/>
  <dataValidations count="2">
    <dataValidation type="list" allowBlank="1" showInputMessage="1" showErrorMessage="1" sqref="D8:D15" xr:uid="{00000000-0002-0000-0D00-000000000000}">
      <formula1>$C$28:$C$29</formula1>
    </dataValidation>
    <dataValidation type="list" allowBlank="1" showInputMessage="1" showErrorMessage="1" sqref="I8:I15" xr:uid="{0DBB0965-BB7D-48AF-8023-43AEF45DB285}">
      <formula1>$F$28:$F$29</formula1>
    </dataValidation>
  </dataValidations>
  <hyperlinks>
    <hyperlink ref="B3" location="'Calculator Index'!A1" display="Return to Index" xr:uid="{00000000-0004-0000-0D00-000000000000}"/>
    <hyperlink ref="B3:C3" location="'Project Summary'!A1" display="Return to Project Summary" xr:uid="{00000000-0004-0000-0D00-000001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D1305"/>
  <sheetViews>
    <sheetView topLeftCell="B1" zoomScale="90" zoomScaleNormal="90" workbookViewId="0">
      <selection activeCell="D11" sqref="D11"/>
    </sheetView>
  </sheetViews>
  <sheetFormatPr defaultRowHeight="15" x14ac:dyDescent="0.25"/>
  <cols>
    <col min="1" max="1" width="3.7109375" customWidth="1"/>
    <col min="2" max="2" width="6.42578125" customWidth="1"/>
    <col min="3" max="3" width="19.42578125" customWidth="1"/>
    <col min="4" max="4" width="22.85546875" customWidth="1"/>
    <col min="5" max="5" width="26" customWidth="1"/>
    <col min="6" max="8" width="26.7109375" customWidth="1"/>
    <col min="9" max="9" width="16.42578125" customWidth="1"/>
    <col min="10" max="10" width="16.42578125" hidden="1" customWidth="1"/>
    <col min="11" max="11" width="16" hidden="1" customWidth="1"/>
    <col min="12" max="12" width="15.42578125" hidden="1" customWidth="1"/>
    <col min="13" max="15" width="13.7109375" hidden="1" customWidth="1"/>
    <col min="16" max="16" width="10.7109375" hidden="1" customWidth="1"/>
    <col min="17" max="18" width="10.5703125" hidden="1" customWidth="1"/>
    <col min="19" max="19" width="13.5703125" customWidth="1"/>
    <col min="20" max="20" width="19.28515625" hidden="1" customWidth="1"/>
    <col min="21" max="21" width="17.5703125" hidden="1" customWidth="1"/>
    <col min="22" max="22" width="19.85546875" hidden="1" customWidth="1"/>
    <col min="23" max="24" width="19.28515625" hidden="1" customWidth="1"/>
    <col min="25" max="26" width="18.28515625" customWidth="1"/>
    <col min="27" max="27" width="13.28515625" customWidth="1"/>
    <col min="28" max="28" width="13.28515625" hidden="1" customWidth="1"/>
    <col min="29" max="30" width="25.42578125" hidden="1" customWidth="1"/>
    <col min="31" max="31" width="7.5703125" customWidth="1"/>
    <col min="32" max="134" width="9.140625" style="82"/>
  </cols>
  <sheetData>
    <row r="1" spans="1:31" ht="19.5" customHeight="1" x14ac:dyDescent="0.25">
      <c r="A1" s="38"/>
      <c r="B1" s="38"/>
      <c r="C1" s="38"/>
      <c r="D1" s="38"/>
      <c r="E1" s="38"/>
      <c r="F1" s="38"/>
      <c r="G1" s="38"/>
      <c r="H1" s="38"/>
      <c r="I1" s="38"/>
      <c r="J1" s="38"/>
      <c r="K1" s="27"/>
      <c r="L1" s="27"/>
      <c r="M1" s="27"/>
      <c r="N1" s="27"/>
      <c r="O1" s="27"/>
      <c r="P1" s="27"/>
      <c r="Q1" s="27"/>
      <c r="R1" s="27"/>
      <c r="S1" s="38"/>
      <c r="T1" s="27"/>
      <c r="U1" s="27"/>
      <c r="V1" s="27"/>
      <c r="W1" s="27"/>
      <c r="X1" s="27"/>
      <c r="Y1" s="38"/>
      <c r="Z1" s="38"/>
      <c r="AA1" s="38"/>
      <c r="AB1" s="27" t="s">
        <v>76</v>
      </c>
      <c r="AC1" s="27" t="s">
        <v>548</v>
      </c>
      <c r="AD1" s="27"/>
      <c r="AE1" s="83"/>
    </row>
    <row r="2" spans="1:31" ht="27" customHeight="1" x14ac:dyDescent="0.25">
      <c r="A2" s="38"/>
      <c r="B2" s="530" t="s">
        <v>549</v>
      </c>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27"/>
      <c r="AC2" s="27"/>
      <c r="AD2" s="27"/>
      <c r="AE2" s="83"/>
    </row>
    <row r="3" spans="1:31" ht="23.25" customHeight="1" x14ac:dyDescent="0.25">
      <c r="A3" s="38"/>
      <c r="B3" s="505" t="s">
        <v>79</v>
      </c>
      <c r="C3" s="506"/>
      <c r="D3" s="521" t="s">
        <v>550</v>
      </c>
      <c r="E3" s="522"/>
      <c r="F3" s="522"/>
      <c r="G3" s="522"/>
      <c r="H3" s="522"/>
      <c r="I3" s="523"/>
      <c r="J3" s="27"/>
      <c r="K3" s="27"/>
      <c r="L3" s="27"/>
      <c r="M3" s="27"/>
      <c r="N3" s="27"/>
      <c r="O3" s="27"/>
      <c r="P3" s="27"/>
      <c r="Q3" s="27"/>
      <c r="R3" s="27"/>
      <c r="S3" s="38"/>
      <c r="T3" s="27"/>
      <c r="U3" s="27"/>
      <c r="V3" s="27"/>
      <c r="W3" s="27"/>
      <c r="X3" s="27"/>
      <c r="Y3" s="38"/>
      <c r="Z3" s="38"/>
      <c r="AA3" s="38"/>
      <c r="AB3" s="27"/>
      <c r="AC3" s="27"/>
      <c r="AD3" s="27"/>
      <c r="AE3" s="83"/>
    </row>
    <row r="4" spans="1:31" x14ac:dyDescent="0.25">
      <c r="A4" s="38"/>
      <c r="B4" s="38"/>
      <c r="C4" s="38"/>
      <c r="D4" s="524"/>
      <c r="E4" s="525"/>
      <c r="F4" s="525"/>
      <c r="G4" s="525"/>
      <c r="H4" s="525"/>
      <c r="I4" s="526"/>
      <c r="J4" s="27"/>
      <c r="K4" s="27"/>
      <c r="L4" s="27"/>
      <c r="M4" s="27"/>
      <c r="N4" s="27"/>
      <c r="O4" s="27"/>
      <c r="P4" s="27"/>
      <c r="Q4" s="27"/>
      <c r="R4" s="27"/>
      <c r="S4" s="38"/>
      <c r="T4" s="27"/>
      <c r="U4" s="27"/>
      <c r="V4" s="27"/>
      <c r="W4" s="27"/>
      <c r="X4" s="27"/>
      <c r="Y4" s="38"/>
      <c r="Z4" s="38"/>
      <c r="AA4" s="38"/>
      <c r="AB4" s="27"/>
      <c r="AC4" s="27"/>
      <c r="AD4" s="27"/>
      <c r="AE4" s="83"/>
    </row>
    <row r="5" spans="1:31" ht="12.75" customHeight="1" x14ac:dyDescent="0.25">
      <c r="A5" s="38"/>
      <c r="B5" s="38"/>
      <c r="C5" s="38"/>
      <c r="D5" s="38"/>
      <c r="E5" s="38"/>
      <c r="F5" s="38"/>
      <c r="G5" s="38"/>
      <c r="H5" s="38"/>
      <c r="I5" s="38"/>
      <c r="J5" s="27"/>
      <c r="K5" s="27"/>
      <c r="L5" s="27"/>
      <c r="M5" s="27"/>
      <c r="N5" s="27"/>
      <c r="O5" s="27"/>
      <c r="P5" s="27"/>
      <c r="Q5" s="27"/>
      <c r="R5" s="27"/>
      <c r="S5" s="38"/>
      <c r="T5" s="27"/>
      <c r="U5" s="27"/>
      <c r="V5" s="27"/>
      <c r="W5" s="27"/>
      <c r="X5" s="27"/>
      <c r="Y5" s="38"/>
      <c r="Z5" s="38"/>
      <c r="AA5" s="38"/>
      <c r="AB5" s="27"/>
      <c r="AC5" s="27"/>
      <c r="AD5" s="27"/>
      <c r="AE5" s="83"/>
    </row>
    <row r="6" spans="1:31" ht="37.5" customHeight="1" x14ac:dyDescent="0.25">
      <c r="A6" s="38"/>
      <c r="B6" s="153" t="s">
        <v>194</v>
      </c>
      <c r="C6" s="153" t="s">
        <v>82</v>
      </c>
      <c r="D6" s="153" t="s">
        <v>83</v>
      </c>
      <c r="E6" s="153" t="s">
        <v>86</v>
      </c>
      <c r="F6" s="153" t="s">
        <v>87</v>
      </c>
      <c r="G6" s="153" t="s">
        <v>195</v>
      </c>
      <c r="H6" s="153" t="s">
        <v>496</v>
      </c>
      <c r="I6" s="153" t="s">
        <v>551</v>
      </c>
      <c r="J6" s="153" t="s">
        <v>84</v>
      </c>
      <c r="K6" s="153" t="s">
        <v>531</v>
      </c>
      <c r="L6" s="153" t="s">
        <v>535</v>
      </c>
      <c r="M6" s="153" t="s">
        <v>532</v>
      </c>
      <c r="N6" s="177" t="s">
        <v>552</v>
      </c>
      <c r="O6" s="153" t="s">
        <v>533</v>
      </c>
      <c r="P6" s="153" t="s">
        <v>534</v>
      </c>
      <c r="Q6" s="153" t="s">
        <v>93</v>
      </c>
      <c r="R6" s="153" t="s">
        <v>346</v>
      </c>
      <c r="S6" s="153" t="s">
        <v>51</v>
      </c>
      <c r="T6" s="153" t="s">
        <v>536</v>
      </c>
      <c r="U6" s="153" t="s">
        <v>537</v>
      </c>
      <c r="V6" s="153" t="s">
        <v>553</v>
      </c>
      <c r="W6" s="153" t="s">
        <v>554</v>
      </c>
      <c r="X6" s="153" t="s">
        <v>215</v>
      </c>
      <c r="Y6" s="153" t="s">
        <v>383</v>
      </c>
      <c r="Z6" s="153" t="s">
        <v>96</v>
      </c>
      <c r="AA6" s="153" t="s">
        <v>54</v>
      </c>
      <c r="AB6" s="153" t="s">
        <v>97</v>
      </c>
      <c r="AC6" s="153" t="s">
        <v>217</v>
      </c>
      <c r="AD6" s="251" t="s">
        <v>71</v>
      </c>
      <c r="AE6" s="83"/>
    </row>
    <row r="7" spans="1:31" ht="37.5" hidden="1" customHeight="1" x14ac:dyDescent="0.25">
      <c r="A7" s="38"/>
      <c r="B7" s="245" t="s">
        <v>100</v>
      </c>
      <c r="C7" s="245"/>
      <c r="D7" s="245" t="s">
        <v>101</v>
      </c>
      <c r="E7" s="245" t="s">
        <v>104</v>
      </c>
      <c r="F7" s="245" t="s">
        <v>105</v>
      </c>
      <c r="G7" s="245" t="s">
        <v>218</v>
      </c>
      <c r="H7" s="245" t="s">
        <v>103</v>
      </c>
      <c r="I7" s="245" t="s">
        <v>555</v>
      </c>
      <c r="J7" s="245" t="s">
        <v>102</v>
      </c>
      <c r="K7" s="245"/>
      <c r="L7" s="245"/>
      <c r="M7" s="245"/>
      <c r="N7" s="271"/>
      <c r="O7" s="245"/>
      <c r="P7" s="245"/>
      <c r="Q7" s="245"/>
      <c r="R7" s="245"/>
      <c r="S7" s="245" t="s">
        <v>51</v>
      </c>
      <c r="T7" s="245"/>
      <c r="U7" s="245"/>
      <c r="V7" s="245"/>
      <c r="W7" s="245"/>
      <c r="X7" s="245" t="s">
        <v>108</v>
      </c>
      <c r="Y7" s="245" t="s">
        <v>109</v>
      </c>
      <c r="Z7" s="245" t="s">
        <v>110</v>
      </c>
      <c r="AA7" s="245" t="s">
        <v>111</v>
      </c>
      <c r="AB7" s="245" t="s">
        <v>112</v>
      </c>
      <c r="AC7" s="245" t="s">
        <v>114</v>
      </c>
      <c r="AD7" s="252" t="s">
        <v>113</v>
      </c>
      <c r="AE7" s="83"/>
    </row>
    <row r="8" spans="1:31" ht="18" customHeight="1" x14ac:dyDescent="0.25">
      <c r="A8" s="38"/>
      <c r="B8" s="220">
        <v>1</v>
      </c>
      <c r="C8" s="220" t="s">
        <v>556</v>
      </c>
      <c r="D8" s="49"/>
      <c r="E8" s="41"/>
      <c r="F8" s="11"/>
      <c r="G8" s="11"/>
      <c r="H8" s="11"/>
      <c r="I8" s="11"/>
      <c r="J8" s="87" t="str">
        <f>IF(D8=$C$23,$D$23,IF(D8=$C$24,$D$24,""))</f>
        <v/>
      </c>
      <c r="K8" s="87">
        <v>12</v>
      </c>
      <c r="L8" s="99">
        <v>365</v>
      </c>
      <c r="M8" s="18">
        <v>15</v>
      </c>
      <c r="N8" s="178">
        <v>1</v>
      </c>
      <c r="O8" s="125">
        <v>0.13900000000000001</v>
      </c>
      <c r="P8" s="99">
        <v>100</v>
      </c>
      <c r="Q8" s="92">
        <f>$F$25</f>
        <v>0.9</v>
      </c>
      <c r="R8" s="99">
        <f t="shared" ref="R8:R15" si="0">L8*K8</f>
        <v>4380</v>
      </c>
      <c r="S8" s="49"/>
      <c r="T8" s="179" t="str">
        <f t="shared" ref="T8:T15" si="1">IF(I8="","",S8*(L8*((P8*O8/$G$20)+($G$19*I8*(K8-(P8/($G$21*I8))-(N8*M8/60)))+(N8*M8/60*I8*$G$22))))</f>
        <v/>
      </c>
      <c r="U8" s="179" t="str">
        <f t="shared" ref="U8:U15" si="2">IF(I8="","",S8*(L8*((P8*O8/$H$20)+($H$19*I8*(K8-(P8/($H$21*I8))-(N8*M8/60)))+(N8*M8/60*I8*$H$22))))</f>
        <v/>
      </c>
      <c r="V8" s="115" t="str">
        <f>IFERROR(T8-U8,"")</f>
        <v/>
      </c>
      <c r="W8" s="115" t="str">
        <f>IFERROR((V8/R8)*Q8,"")</f>
        <v/>
      </c>
      <c r="X8" s="115" t="str">
        <f>IFERROR(ROUND((V8/R8)*S8,6),"")</f>
        <v/>
      </c>
      <c r="Y8" s="416" t="str">
        <f>IFERROR(ROUND(IF(S8="","",$Q8*$W8*S8),6),"")</f>
        <v/>
      </c>
      <c r="Z8" s="416" t="str">
        <f>IFERROR(ROUND(IF($S8="","",$S8*$V8),4),"")</f>
        <v/>
      </c>
      <c r="AA8" s="116" t="str">
        <f>IF(S8="", "", S8*$C$19)</f>
        <v/>
      </c>
      <c r="AB8" s="116" t="str">
        <f>IF(T8="", "", T8*$C$19)</f>
        <v/>
      </c>
      <c r="AC8" s="56" t="str">
        <f>IF(Z8&gt;0,"Yes","No")</f>
        <v>Yes</v>
      </c>
      <c r="AD8" s="56" t="s">
        <v>557</v>
      </c>
      <c r="AE8" s="83"/>
    </row>
    <row r="9" spans="1:31" ht="18" customHeight="1" x14ac:dyDescent="0.25">
      <c r="A9" s="38"/>
      <c r="B9" s="220">
        <v>2</v>
      </c>
      <c r="C9" s="220" t="s">
        <v>556</v>
      </c>
      <c r="D9" s="49"/>
      <c r="E9" s="41"/>
      <c r="F9" s="11"/>
      <c r="G9" s="11"/>
      <c r="H9" s="11"/>
      <c r="I9" s="11"/>
      <c r="J9" s="87" t="str">
        <f t="shared" ref="J9:J15" si="3">IF(D9=$C$23,$D$23,IF(D9=$C$24,$D$24,""))</f>
        <v/>
      </c>
      <c r="K9" s="87">
        <v>12</v>
      </c>
      <c r="L9" s="99">
        <v>365</v>
      </c>
      <c r="M9" s="18">
        <v>15</v>
      </c>
      <c r="N9" s="178">
        <v>1</v>
      </c>
      <c r="O9" s="125">
        <v>0.13900000000000001</v>
      </c>
      <c r="P9" s="99">
        <v>100</v>
      </c>
      <c r="Q9" s="92">
        <f t="shared" ref="Q9:Q15" si="4">$F$25</f>
        <v>0.9</v>
      </c>
      <c r="R9" s="99">
        <f t="shared" si="0"/>
        <v>4380</v>
      </c>
      <c r="S9" s="49"/>
      <c r="T9" s="179" t="str">
        <f t="shared" si="1"/>
        <v/>
      </c>
      <c r="U9" s="179" t="str">
        <f t="shared" si="2"/>
        <v/>
      </c>
      <c r="V9" s="115" t="str">
        <f t="shared" ref="V9:V15" si="5">IFERROR(T9-U9,"")</f>
        <v/>
      </c>
      <c r="W9" s="115" t="str">
        <f t="shared" ref="W9:W15" si="6">IFERROR((V9/R9)*Q9,"")</f>
        <v/>
      </c>
      <c r="X9" s="115" t="str">
        <f t="shared" ref="X9:X15" si="7">IFERROR(ROUND((V9/R9)*S9,6),"")</f>
        <v/>
      </c>
      <c r="Y9" s="416" t="str">
        <f t="shared" ref="Y9:Y15" si="8">IFERROR(ROUND(IF(S9="","",$Q9*$W9*S9),6),"")</f>
        <v/>
      </c>
      <c r="Z9" s="416" t="str">
        <f t="shared" ref="Z9:Z15" si="9">IFERROR(ROUND(IF($S9="","",$S9*$V9),4),"")</f>
        <v/>
      </c>
      <c r="AA9" s="116" t="str">
        <f t="shared" ref="AA9:AB15" si="10">IF(S9="", "", S9*$C$19)</f>
        <v/>
      </c>
      <c r="AB9" s="116" t="str">
        <f t="shared" si="10"/>
        <v/>
      </c>
      <c r="AC9" s="56" t="str">
        <f t="shared" ref="AC9:AC15" si="11">IF(Z9&gt;0,"Yes","No")</f>
        <v>Yes</v>
      </c>
      <c r="AD9" s="56" t="s">
        <v>557</v>
      </c>
      <c r="AE9" s="83"/>
    </row>
    <row r="10" spans="1:31" ht="18" customHeight="1" x14ac:dyDescent="0.25">
      <c r="A10" s="38"/>
      <c r="B10" s="220">
        <v>3</v>
      </c>
      <c r="C10" s="220" t="s">
        <v>556</v>
      </c>
      <c r="D10" s="49"/>
      <c r="E10" s="41"/>
      <c r="F10" s="11"/>
      <c r="G10" s="11"/>
      <c r="H10" s="11"/>
      <c r="I10" s="11"/>
      <c r="J10" s="87" t="str">
        <f t="shared" si="3"/>
        <v/>
      </c>
      <c r="K10" s="87">
        <v>12</v>
      </c>
      <c r="L10" s="99">
        <v>365</v>
      </c>
      <c r="M10" s="18">
        <v>15</v>
      </c>
      <c r="N10" s="178">
        <v>1</v>
      </c>
      <c r="O10" s="125">
        <v>0.13900000000000001</v>
      </c>
      <c r="P10" s="99">
        <v>100</v>
      </c>
      <c r="Q10" s="92">
        <f t="shared" si="4"/>
        <v>0.9</v>
      </c>
      <c r="R10" s="99">
        <f t="shared" si="0"/>
        <v>4380</v>
      </c>
      <c r="S10" s="49"/>
      <c r="T10" s="179" t="str">
        <f t="shared" si="1"/>
        <v/>
      </c>
      <c r="U10" s="179" t="str">
        <f t="shared" si="2"/>
        <v/>
      </c>
      <c r="V10" s="115" t="str">
        <f t="shared" si="5"/>
        <v/>
      </c>
      <c r="W10" s="115" t="str">
        <f t="shared" si="6"/>
        <v/>
      </c>
      <c r="X10" s="115" t="str">
        <f t="shared" si="7"/>
        <v/>
      </c>
      <c r="Y10" s="416" t="str">
        <f t="shared" si="8"/>
        <v/>
      </c>
      <c r="Z10" s="416" t="str">
        <f t="shared" si="9"/>
        <v/>
      </c>
      <c r="AA10" s="116" t="str">
        <f t="shared" si="10"/>
        <v/>
      </c>
      <c r="AB10" s="116" t="str">
        <f t="shared" si="10"/>
        <v/>
      </c>
      <c r="AC10" s="56" t="str">
        <f t="shared" si="11"/>
        <v>Yes</v>
      </c>
      <c r="AD10" s="56" t="s">
        <v>557</v>
      </c>
      <c r="AE10" s="83"/>
    </row>
    <row r="11" spans="1:31" ht="18" customHeight="1" x14ac:dyDescent="0.25">
      <c r="A11" s="38"/>
      <c r="B11" s="220">
        <v>4</v>
      </c>
      <c r="C11" s="220" t="s">
        <v>556</v>
      </c>
      <c r="D11" s="49"/>
      <c r="E11" s="41"/>
      <c r="F11" s="11"/>
      <c r="G11" s="11"/>
      <c r="H11" s="11"/>
      <c r="I11" s="11"/>
      <c r="J11" s="87" t="str">
        <f t="shared" si="3"/>
        <v/>
      </c>
      <c r="K11" s="87">
        <v>12</v>
      </c>
      <c r="L11" s="99">
        <v>365</v>
      </c>
      <c r="M11" s="18">
        <v>15</v>
      </c>
      <c r="N11" s="178">
        <v>1</v>
      </c>
      <c r="O11" s="125">
        <v>0.13900000000000001</v>
      </c>
      <c r="P11" s="99">
        <v>100</v>
      </c>
      <c r="Q11" s="92">
        <f t="shared" si="4"/>
        <v>0.9</v>
      </c>
      <c r="R11" s="99">
        <f t="shared" si="0"/>
        <v>4380</v>
      </c>
      <c r="S11" s="49"/>
      <c r="T11" s="179" t="str">
        <f t="shared" si="1"/>
        <v/>
      </c>
      <c r="U11" s="179" t="str">
        <f t="shared" si="2"/>
        <v/>
      </c>
      <c r="V11" s="115" t="str">
        <f t="shared" si="5"/>
        <v/>
      </c>
      <c r="W11" s="115" t="str">
        <f t="shared" si="6"/>
        <v/>
      </c>
      <c r="X11" s="115" t="str">
        <f t="shared" si="7"/>
        <v/>
      </c>
      <c r="Y11" s="416" t="str">
        <f t="shared" si="8"/>
        <v/>
      </c>
      <c r="Z11" s="416" t="str">
        <f t="shared" si="9"/>
        <v/>
      </c>
      <c r="AA11" s="116" t="str">
        <f t="shared" si="10"/>
        <v/>
      </c>
      <c r="AB11" s="116" t="str">
        <f t="shared" si="10"/>
        <v/>
      </c>
      <c r="AC11" s="56" t="str">
        <f t="shared" si="11"/>
        <v>Yes</v>
      </c>
      <c r="AD11" s="56" t="s">
        <v>557</v>
      </c>
      <c r="AE11" s="83"/>
    </row>
    <row r="12" spans="1:31" ht="18" customHeight="1" x14ac:dyDescent="0.25">
      <c r="A12" s="38"/>
      <c r="B12" s="220">
        <v>5</v>
      </c>
      <c r="C12" s="220" t="s">
        <v>556</v>
      </c>
      <c r="D12" s="49"/>
      <c r="E12" s="41"/>
      <c r="F12" s="11"/>
      <c r="G12" s="11"/>
      <c r="H12" s="11"/>
      <c r="I12" s="11"/>
      <c r="J12" s="87" t="str">
        <f t="shared" si="3"/>
        <v/>
      </c>
      <c r="K12" s="87">
        <v>12</v>
      </c>
      <c r="L12" s="99">
        <v>365</v>
      </c>
      <c r="M12" s="18">
        <v>15</v>
      </c>
      <c r="N12" s="178">
        <v>1</v>
      </c>
      <c r="O12" s="125">
        <v>0.13900000000000001</v>
      </c>
      <c r="P12" s="99">
        <v>100</v>
      </c>
      <c r="Q12" s="92">
        <f t="shared" si="4"/>
        <v>0.9</v>
      </c>
      <c r="R12" s="99">
        <f t="shared" si="0"/>
        <v>4380</v>
      </c>
      <c r="S12" s="49"/>
      <c r="T12" s="179" t="str">
        <f t="shared" si="1"/>
        <v/>
      </c>
      <c r="U12" s="179" t="str">
        <f t="shared" si="2"/>
        <v/>
      </c>
      <c r="V12" s="115" t="str">
        <f t="shared" si="5"/>
        <v/>
      </c>
      <c r="W12" s="115" t="str">
        <f t="shared" si="6"/>
        <v/>
      </c>
      <c r="X12" s="115" t="str">
        <f t="shared" si="7"/>
        <v/>
      </c>
      <c r="Y12" s="416" t="str">
        <f t="shared" si="8"/>
        <v/>
      </c>
      <c r="Z12" s="416" t="str">
        <f t="shared" si="9"/>
        <v/>
      </c>
      <c r="AA12" s="116" t="str">
        <f t="shared" si="10"/>
        <v/>
      </c>
      <c r="AB12" s="116" t="str">
        <f t="shared" si="10"/>
        <v/>
      </c>
      <c r="AC12" s="56" t="str">
        <f t="shared" si="11"/>
        <v>Yes</v>
      </c>
      <c r="AD12" s="56" t="s">
        <v>557</v>
      </c>
      <c r="AE12" s="83"/>
    </row>
    <row r="13" spans="1:31" ht="18" customHeight="1" x14ac:dyDescent="0.25">
      <c r="A13" s="38"/>
      <c r="B13" s="220">
        <v>6</v>
      </c>
      <c r="C13" s="220" t="s">
        <v>556</v>
      </c>
      <c r="D13" s="49"/>
      <c r="E13" s="41"/>
      <c r="F13" s="11"/>
      <c r="G13" s="11"/>
      <c r="H13" s="11"/>
      <c r="I13" s="11"/>
      <c r="J13" s="87" t="str">
        <f t="shared" si="3"/>
        <v/>
      </c>
      <c r="K13" s="87">
        <v>12</v>
      </c>
      <c r="L13" s="99">
        <v>365</v>
      </c>
      <c r="M13" s="18">
        <v>15</v>
      </c>
      <c r="N13" s="178">
        <v>1</v>
      </c>
      <c r="O13" s="125">
        <v>0.13900000000000001</v>
      </c>
      <c r="P13" s="99">
        <v>100</v>
      </c>
      <c r="Q13" s="92">
        <f t="shared" si="4"/>
        <v>0.9</v>
      </c>
      <c r="R13" s="99">
        <f t="shared" si="0"/>
        <v>4380</v>
      </c>
      <c r="S13" s="49"/>
      <c r="T13" s="179" t="str">
        <f t="shared" si="1"/>
        <v/>
      </c>
      <c r="U13" s="179" t="str">
        <f t="shared" si="2"/>
        <v/>
      </c>
      <c r="V13" s="115" t="str">
        <f t="shared" si="5"/>
        <v/>
      </c>
      <c r="W13" s="115" t="str">
        <f t="shared" si="6"/>
        <v/>
      </c>
      <c r="X13" s="115" t="str">
        <f t="shared" si="7"/>
        <v/>
      </c>
      <c r="Y13" s="416" t="str">
        <f t="shared" si="8"/>
        <v/>
      </c>
      <c r="Z13" s="416" t="str">
        <f t="shared" si="9"/>
        <v/>
      </c>
      <c r="AA13" s="116" t="str">
        <f t="shared" si="10"/>
        <v/>
      </c>
      <c r="AB13" s="116" t="str">
        <f t="shared" si="10"/>
        <v/>
      </c>
      <c r="AC13" s="56" t="str">
        <f t="shared" si="11"/>
        <v>Yes</v>
      </c>
      <c r="AD13" s="56" t="s">
        <v>557</v>
      </c>
      <c r="AE13" s="83"/>
    </row>
    <row r="14" spans="1:31" ht="18" customHeight="1" x14ac:dyDescent="0.25">
      <c r="A14" s="38"/>
      <c r="B14" s="220">
        <v>7</v>
      </c>
      <c r="C14" s="220" t="s">
        <v>556</v>
      </c>
      <c r="D14" s="49"/>
      <c r="E14" s="41"/>
      <c r="F14" s="11"/>
      <c r="G14" s="11"/>
      <c r="H14" s="11"/>
      <c r="I14" s="11"/>
      <c r="J14" s="87" t="str">
        <f t="shared" si="3"/>
        <v/>
      </c>
      <c r="K14" s="87">
        <v>12</v>
      </c>
      <c r="L14" s="99">
        <v>365</v>
      </c>
      <c r="M14" s="18">
        <v>15</v>
      </c>
      <c r="N14" s="178">
        <v>1</v>
      </c>
      <c r="O14" s="125">
        <v>0.13900000000000001</v>
      </c>
      <c r="P14" s="99">
        <v>100</v>
      </c>
      <c r="Q14" s="92">
        <f t="shared" si="4"/>
        <v>0.9</v>
      </c>
      <c r="R14" s="99">
        <f t="shared" si="0"/>
        <v>4380</v>
      </c>
      <c r="S14" s="49"/>
      <c r="T14" s="179" t="str">
        <f t="shared" si="1"/>
        <v/>
      </c>
      <c r="U14" s="179" t="str">
        <f t="shared" si="2"/>
        <v/>
      </c>
      <c r="V14" s="115" t="str">
        <f t="shared" si="5"/>
        <v/>
      </c>
      <c r="W14" s="115" t="str">
        <f t="shared" si="6"/>
        <v/>
      </c>
      <c r="X14" s="115" t="str">
        <f t="shared" si="7"/>
        <v/>
      </c>
      <c r="Y14" s="416" t="str">
        <f t="shared" si="8"/>
        <v/>
      </c>
      <c r="Z14" s="416" t="str">
        <f t="shared" si="9"/>
        <v/>
      </c>
      <c r="AA14" s="116" t="str">
        <f t="shared" si="10"/>
        <v/>
      </c>
      <c r="AB14" s="116" t="str">
        <f t="shared" si="10"/>
        <v/>
      </c>
      <c r="AC14" s="56" t="str">
        <f t="shared" si="11"/>
        <v>Yes</v>
      </c>
      <c r="AD14" s="56" t="s">
        <v>557</v>
      </c>
      <c r="AE14" s="83"/>
    </row>
    <row r="15" spans="1:31" ht="18" customHeight="1" x14ac:dyDescent="0.25">
      <c r="A15" s="38"/>
      <c r="B15" s="220">
        <v>8</v>
      </c>
      <c r="C15" s="220" t="s">
        <v>556</v>
      </c>
      <c r="D15" s="49"/>
      <c r="E15" s="41"/>
      <c r="F15" s="11"/>
      <c r="G15" s="11"/>
      <c r="H15" s="11"/>
      <c r="I15" s="11"/>
      <c r="J15" s="87" t="str">
        <f t="shared" si="3"/>
        <v/>
      </c>
      <c r="K15" s="87">
        <v>12</v>
      </c>
      <c r="L15" s="99">
        <v>365</v>
      </c>
      <c r="M15" s="18">
        <v>15</v>
      </c>
      <c r="N15" s="178">
        <v>1</v>
      </c>
      <c r="O15" s="125">
        <v>0.13900000000000001</v>
      </c>
      <c r="P15" s="99">
        <v>100</v>
      </c>
      <c r="Q15" s="92">
        <f t="shared" si="4"/>
        <v>0.9</v>
      </c>
      <c r="R15" s="99">
        <f t="shared" si="0"/>
        <v>4380</v>
      </c>
      <c r="S15" s="49"/>
      <c r="T15" s="179" t="str">
        <f t="shared" si="1"/>
        <v/>
      </c>
      <c r="U15" s="179" t="str">
        <f t="shared" si="2"/>
        <v/>
      </c>
      <c r="V15" s="115" t="str">
        <f t="shared" si="5"/>
        <v/>
      </c>
      <c r="W15" s="115" t="str">
        <f t="shared" si="6"/>
        <v/>
      </c>
      <c r="X15" s="115" t="str">
        <f t="shared" si="7"/>
        <v/>
      </c>
      <c r="Y15" s="416" t="str">
        <f t="shared" si="8"/>
        <v/>
      </c>
      <c r="Z15" s="416" t="str">
        <f t="shared" si="9"/>
        <v/>
      </c>
      <c r="AA15" s="116" t="str">
        <f t="shared" si="10"/>
        <v/>
      </c>
      <c r="AB15" s="116" t="str">
        <f t="shared" si="10"/>
        <v/>
      </c>
      <c r="AC15" s="56" t="str">
        <f t="shared" si="11"/>
        <v>Yes</v>
      </c>
      <c r="AD15" s="56" t="s">
        <v>557</v>
      </c>
      <c r="AE15" s="83"/>
    </row>
    <row r="16" spans="1:31" hidden="1" x14ac:dyDescent="0.25">
      <c r="A16" s="27"/>
      <c r="S16" s="313">
        <f>SUM(S8:S15)</f>
        <v>0</v>
      </c>
      <c r="T16" s="313">
        <f t="shared" ref="T16:AA16" si="12">SUM(T8:T15)</f>
        <v>0</v>
      </c>
      <c r="U16" s="313">
        <f t="shared" si="12"/>
        <v>0</v>
      </c>
      <c r="V16" s="313">
        <f t="shared" si="12"/>
        <v>0</v>
      </c>
      <c r="W16" s="313">
        <f t="shared" si="12"/>
        <v>0</v>
      </c>
      <c r="X16" s="313">
        <f t="shared" si="12"/>
        <v>0</v>
      </c>
      <c r="Y16" s="313">
        <f t="shared" si="12"/>
        <v>0</v>
      </c>
      <c r="Z16" s="313">
        <f t="shared" si="12"/>
        <v>0</v>
      </c>
      <c r="AA16" s="313">
        <f t="shared" si="12"/>
        <v>0</v>
      </c>
      <c r="AE16" s="83"/>
    </row>
    <row r="17" spans="1:31" hidden="1" x14ac:dyDescent="0.25">
      <c r="A17" s="27"/>
      <c r="AE17" s="83"/>
    </row>
    <row r="18" spans="1:31" hidden="1" x14ac:dyDescent="0.25">
      <c r="A18" s="27"/>
      <c r="C18" s="221" t="s">
        <v>54</v>
      </c>
      <c r="F18" s="222" t="s">
        <v>543</v>
      </c>
      <c r="G18" s="222" t="s">
        <v>460</v>
      </c>
      <c r="H18" s="222" t="s">
        <v>461</v>
      </c>
      <c r="AE18" s="83"/>
    </row>
    <row r="19" spans="1:31" ht="17.25" hidden="1" x14ac:dyDescent="0.25">
      <c r="A19" s="27"/>
      <c r="C19" s="76">
        <f>150*'Project Summary'!M12</f>
        <v>75</v>
      </c>
      <c r="D19" s="120" t="s">
        <v>558</v>
      </c>
      <c r="F19" s="8" t="s">
        <v>559</v>
      </c>
      <c r="G19" s="6">
        <v>0.4</v>
      </c>
      <c r="H19" s="6">
        <v>0.32</v>
      </c>
      <c r="AE19" s="83"/>
    </row>
    <row r="20" spans="1:31" hidden="1" x14ac:dyDescent="0.25">
      <c r="A20" s="27"/>
      <c r="F20" s="8" t="s">
        <v>474</v>
      </c>
      <c r="G20" s="102">
        <v>0.65</v>
      </c>
      <c r="H20" s="102">
        <v>0.7</v>
      </c>
      <c r="AE20" s="83"/>
    </row>
    <row r="21" spans="1:31" hidden="1" x14ac:dyDescent="0.25">
      <c r="A21" s="27"/>
      <c r="F21" s="8" t="s">
        <v>546</v>
      </c>
      <c r="G21" s="6">
        <v>5.83</v>
      </c>
      <c r="H21" s="6">
        <v>6.67</v>
      </c>
      <c r="AE21" s="83"/>
    </row>
    <row r="22" spans="1:31" hidden="1" x14ac:dyDescent="0.25">
      <c r="A22" s="27"/>
      <c r="C22" s="14" t="s">
        <v>83</v>
      </c>
      <c r="D22" s="14" t="s">
        <v>84</v>
      </c>
      <c r="F22" s="168" t="s">
        <v>560</v>
      </c>
      <c r="G22" s="163">
        <v>2.6669999999999998</v>
      </c>
      <c r="H22" s="163">
        <v>1.333</v>
      </c>
      <c r="AE22" s="83"/>
    </row>
    <row r="23" spans="1:31" hidden="1" x14ac:dyDescent="0.25">
      <c r="A23" s="27"/>
      <c r="C23" s="19" t="s">
        <v>124</v>
      </c>
      <c r="D23" s="19" t="s">
        <v>124</v>
      </c>
      <c r="AE23" s="83"/>
    </row>
    <row r="24" spans="1:31" hidden="1" x14ac:dyDescent="0.25">
      <c r="A24" s="27"/>
      <c r="C24" s="19" t="s">
        <v>129</v>
      </c>
      <c r="D24" s="19" t="s">
        <v>130</v>
      </c>
      <c r="F24" s="14" t="s">
        <v>93</v>
      </c>
      <c r="G24" s="267"/>
      <c r="H24" s="267"/>
      <c r="AE24" s="83"/>
    </row>
    <row r="25" spans="1:31" hidden="1" x14ac:dyDescent="0.25">
      <c r="A25" s="27"/>
      <c r="F25" s="19">
        <v>0.9</v>
      </c>
      <c r="G25" s="28"/>
      <c r="H25" s="28"/>
      <c r="AE25" s="83"/>
    </row>
    <row r="26" spans="1:31" hidden="1" x14ac:dyDescent="0.25">
      <c r="A26" s="27"/>
      <c r="C26" s="45" t="s">
        <v>268</v>
      </c>
      <c r="AE26" s="83"/>
    </row>
    <row r="27" spans="1:31" hidden="1" x14ac:dyDescent="0.25">
      <c r="A27" s="27"/>
      <c r="C27" s="5">
        <v>12</v>
      </c>
      <c r="D27" s="5" t="s">
        <v>417</v>
      </c>
      <c r="AE27" s="83"/>
    </row>
    <row r="28" spans="1:31" ht="13.5" customHeight="1"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E28" s="83"/>
    </row>
    <row r="29" spans="1:31"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E29" s="83"/>
    </row>
    <row r="30" spans="1:31" s="82" customFormat="1" x14ac:dyDescent="0.25"/>
    <row r="31" spans="1:31" s="82" customFormat="1" x14ac:dyDescent="0.25"/>
    <row r="32" spans="1:31" s="82" customFormat="1" x14ac:dyDescent="0.25"/>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row r="1181" s="82" customFormat="1" x14ac:dyDescent="0.25"/>
    <row r="1182" s="82" customFormat="1" x14ac:dyDescent="0.25"/>
    <row r="1183" s="82" customFormat="1" x14ac:dyDescent="0.25"/>
    <row r="1184" s="82" customFormat="1" x14ac:dyDescent="0.25"/>
    <row r="1185" s="82" customFormat="1" x14ac:dyDescent="0.25"/>
    <row r="1186" s="82" customFormat="1" x14ac:dyDescent="0.25"/>
    <row r="1187" s="82" customFormat="1" x14ac:dyDescent="0.25"/>
    <row r="1188" s="82" customFormat="1" x14ac:dyDescent="0.25"/>
    <row r="1189" s="82" customFormat="1" x14ac:dyDescent="0.25"/>
    <row r="1190" s="82" customFormat="1" x14ac:dyDescent="0.25"/>
    <row r="1191" s="82" customFormat="1" x14ac:dyDescent="0.25"/>
    <row r="1192" s="82" customFormat="1" x14ac:dyDescent="0.25"/>
    <row r="1193" s="82" customFormat="1" x14ac:dyDescent="0.25"/>
    <row r="1194" s="82" customFormat="1" x14ac:dyDescent="0.25"/>
    <row r="1195" s="82" customFormat="1" x14ac:dyDescent="0.25"/>
    <row r="1196" s="82" customFormat="1" x14ac:dyDescent="0.25"/>
    <row r="1197" s="82" customFormat="1" x14ac:dyDescent="0.25"/>
    <row r="1198" s="82" customFormat="1" x14ac:dyDescent="0.25"/>
    <row r="1199" s="82" customFormat="1" x14ac:dyDescent="0.25"/>
    <row r="1200" s="82" customFormat="1" x14ac:dyDescent="0.25"/>
    <row r="1201" s="82" customFormat="1" x14ac:dyDescent="0.25"/>
    <row r="1202" s="82" customFormat="1" x14ac:dyDescent="0.25"/>
    <row r="1203" s="82" customFormat="1" x14ac:dyDescent="0.25"/>
    <row r="1204" s="82" customFormat="1" x14ac:dyDescent="0.25"/>
    <row r="1205" s="82" customFormat="1" x14ac:dyDescent="0.25"/>
    <row r="1206" s="82" customFormat="1" x14ac:dyDescent="0.25"/>
    <row r="1207" s="82" customFormat="1" x14ac:dyDescent="0.25"/>
    <row r="1208" s="82" customFormat="1" x14ac:dyDescent="0.25"/>
    <row r="1209" s="82" customFormat="1" x14ac:dyDescent="0.25"/>
    <row r="1210" s="82" customFormat="1" x14ac:dyDescent="0.25"/>
    <row r="1211" s="82" customFormat="1" x14ac:dyDescent="0.25"/>
    <row r="1212" s="82" customFormat="1" x14ac:dyDescent="0.25"/>
    <row r="1213" s="82" customFormat="1" x14ac:dyDescent="0.25"/>
    <row r="1214" s="82" customFormat="1" x14ac:dyDescent="0.25"/>
    <row r="1215" s="82" customFormat="1" x14ac:dyDescent="0.25"/>
    <row r="1216" s="82" customFormat="1" x14ac:dyDescent="0.25"/>
    <row r="1217" s="82" customFormat="1" x14ac:dyDescent="0.25"/>
    <row r="1218" s="82" customFormat="1" x14ac:dyDescent="0.25"/>
    <row r="1219" s="82" customFormat="1" x14ac:dyDescent="0.25"/>
    <row r="1220" s="82" customFormat="1" x14ac:dyDescent="0.25"/>
    <row r="1221" s="82" customFormat="1" x14ac:dyDescent="0.25"/>
    <row r="1222" s="82" customFormat="1" x14ac:dyDescent="0.25"/>
    <row r="1223" s="82" customFormat="1" x14ac:dyDescent="0.25"/>
    <row r="1224" s="82" customFormat="1" x14ac:dyDescent="0.25"/>
    <row r="1225" s="82" customFormat="1" x14ac:dyDescent="0.25"/>
    <row r="1226" s="82" customFormat="1" x14ac:dyDescent="0.25"/>
    <row r="1227" s="82" customFormat="1" x14ac:dyDescent="0.25"/>
    <row r="1228" s="82" customFormat="1" x14ac:dyDescent="0.25"/>
    <row r="1229" s="82" customFormat="1" x14ac:dyDescent="0.25"/>
    <row r="1230" s="82" customFormat="1" x14ac:dyDescent="0.25"/>
    <row r="1231" s="82" customFormat="1" x14ac:dyDescent="0.25"/>
    <row r="1232" s="82" customFormat="1" x14ac:dyDescent="0.25"/>
    <row r="1233" s="82" customFormat="1" x14ac:dyDescent="0.25"/>
    <row r="1234" s="82" customFormat="1" x14ac:dyDescent="0.25"/>
    <row r="1235" s="82" customFormat="1" x14ac:dyDescent="0.25"/>
    <row r="1236" s="82" customFormat="1" x14ac:dyDescent="0.25"/>
    <row r="1237" s="82" customFormat="1" x14ac:dyDescent="0.25"/>
    <row r="1238" s="82" customFormat="1" x14ac:dyDescent="0.25"/>
    <row r="1239" s="82" customFormat="1" x14ac:dyDescent="0.25"/>
    <row r="1240" s="82" customFormat="1" x14ac:dyDescent="0.25"/>
    <row r="1241" s="82" customFormat="1" x14ac:dyDescent="0.25"/>
    <row r="1242" s="82" customFormat="1" x14ac:dyDescent="0.25"/>
    <row r="1243" s="82" customFormat="1" x14ac:dyDescent="0.25"/>
    <row r="1244" s="82" customFormat="1" x14ac:dyDescent="0.25"/>
    <row r="1245" s="82" customFormat="1" x14ac:dyDescent="0.25"/>
    <row r="1246" s="82" customFormat="1" x14ac:dyDescent="0.25"/>
    <row r="1247" s="82" customFormat="1" x14ac:dyDescent="0.25"/>
    <row r="1248" s="82" customFormat="1" x14ac:dyDescent="0.25"/>
    <row r="1249" s="82" customFormat="1" x14ac:dyDescent="0.25"/>
    <row r="1250" s="82" customFormat="1" x14ac:dyDescent="0.25"/>
    <row r="1251" s="82" customFormat="1" x14ac:dyDescent="0.25"/>
    <row r="1252" s="82" customFormat="1" x14ac:dyDescent="0.25"/>
    <row r="1253" s="82" customFormat="1" x14ac:dyDescent="0.25"/>
    <row r="1254" s="82" customFormat="1" x14ac:dyDescent="0.25"/>
    <row r="1255" s="82" customFormat="1" x14ac:dyDescent="0.25"/>
    <row r="1256" s="82" customFormat="1" x14ac:dyDescent="0.25"/>
    <row r="1257" s="82" customFormat="1" x14ac:dyDescent="0.25"/>
    <row r="1258" s="82" customFormat="1" x14ac:dyDescent="0.25"/>
    <row r="1259" s="82" customFormat="1" x14ac:dyDescent="0.25"/>
    <row r="1260" s="82" customFormat="1" x14ac:dyDescent="0.25"/>
    <row r="1261" s="82" customFormat="1" x14ac:dyDescent="0.25"/>
    <row r="1262" s="82" customFormat="1" x14ac:dyDescent="0.25"/>
    <row r="1263" s="82" customFormat="1" x14ac:dyDescent="0.25"/>
    <row r="1264" s="82" customFormat="1" x14ac:dyDescent="0.25"/>
    <row r="1265" s="82" customFormat="1" x14ac:dyDescent="0.25"/>
    <row r="1266" s="82" customFormat="1" x14ac:dyDescent="0.25"/>
    <row r="1267" s="82" customFormat="1" x14ac:dyDescent="0.25"/>
    <row r="1268" s="82" customFormat="1" x14ac:dyDescent="0.25"/>
    <row r="1269" s="82" customFormat="1" x14ac:dyDescent="0.25"/>
    <row r="1270" s="82" customFormat="1" x14ac:dyDescent="0.25"/>
    <row r="1271" s="82" customFormat="1" x14ac:dyDescent="0.25"/>
    <row r="1272" s="82" customFormat="1" x14ac:dyDescent="0.25"/>
    <row r="1273" s="82" customFormat="1" x14ac:dyDescent="0.25"/>
    <row r="1274" s="82" customFormat="1" x14ac:dyDescent="0.25"/>
    <row r="1275" s="82" customFormat="1" x14ac:dyDescent="0.25"/>
    <row r="1276" s="82" customFormat="1" x14ac:dyDescent="0.25"/>
    <row r="1277" s="82" customFormat="1" x14ac:dyDescent="0.25"/>
    <row r="1278" s="82" customFormat="1" x14ac:dyDescent="0.25"/>
    <row r="1279" s="82" customFormat="1" x14ac:dyDescent="0.25"/>
    <row r="1280" s="82" customFormat="1" x14ac:dyDescent="0.25"/>
    <row r="1281" s="82" customFormat="1" x14ac:dyDescent="0.25"/>
    <row r="1282" s="82" customFormat="1" x14ac:dyDescent="0.25"/>
    <row r="1283" s="82" customFormat="1" x14ac:dyDescent="0.25"/>
    <row r="1284" s="82" customFormat="1" x14ac:dyDescent="0.25"/>
    <row r="1285" s="82" customFormat="1" x14ac:dyDescent="0.25"/>
    <row r="1286" s="82" customFormat="1" x14ac:dyDescent="0.25"/>
    <row r="1287" s="82" customFormat="1" x14ac:dyDescent="0.25"/>
    <row r="1288" s="82" customFormat="1" x14ac:dyDescent="0.25"/>
    <row r="1289" s="82" customFormat="1" x14ac:dyDescent="0.25"/>
    <row r="1290" s="82" customFormat="1" x14ac:dyDescent="0.25"/>
    <row r="1291" s="82" customFormat="1" x14ac:dyDescent="0.25"/>
    <row r="1292" s="82" customFormat="1" x14ac:dyDescent="0.25"/>
    <row r="1293" s="82" customFormat="1" x14ac:dyDescent="0.25"/>
    <row r="1294" s="82" customFormat="1" x14ac:dyDescent="0.25"/>
    <row r="1295" s="82" customFormat="1" x14ac:dyDescent="0.25"/>
    <row r="1296" s="82" customFormat="1" x14ac:dyDescent="0.25"/>
    <row r="1297" s="82" customFormat="1" x14ac:dyDescent="0.25"/>
    <row r="1298" s="82" customFormat="1" x14ac:dyDescent="0.25"/>
    <row r="1299" s="82" customFormat="1" x14ac:dyDescent="0.25"/>
    <row r="1300" s="82" customFormat="1" x14ac:dyDescent="0.25"/>
    <row r="1301" s="82" customFormat="1" x14ac:dyDescent="0.25"/>
    <row r="1302" s="82" customFormat="1" x14ac:dyDescent="0.25"/>
    <row r="1303" s="82" customFormat="1" x14ac:dyDescent="0.25"/>
    <row r="1304" s="82" customFormat="1" x14ac:dyDescent="0.25"/>
    <row r="1305" s="82" customFormat="1" x14ac:dyDescent="0.25"/>
  </sheetData>
  <sheetProtection algorithmName="SHA-512" hashValue="RYVnNTPM4F8s2aB26v3FrkxEh4F7TpJbOYepKflMlfTE5ckYH2kPp8Rir5IDZJhNkRPOFyNosDIdPBKyPhFNcQ==" saltValue="xOWp1NjJyp0LDqgSFpYlsw==" spinCount="100000" sheet="1" selectLockedCells="1"/>
  <mergeCells count="3">
    <mergeCell ref="B3:C3"/>
    <mergeCell ref="B2:AA2"/>
    <mergeCell ref="D3:I4"/>
  </mergeCells>
  <phoneticPr fontId="38" type="noConversion"/>
  <dataValidations count="1">
    <dataValidation type="list" allowBlank="1" showInputMessage="1" showErrorMessage="1" sqref="D8:D15" xr:uid="{00000000-0002-0000-0E00-000000000000}">
      <formula1>$C$23:$C$24</formula1>
    </dataValidation>
  </dataValidations>
  <hyperlinks>
    <hyperlink ref="B3" location="'Calculator Index'!A1" display="Return to Index" xr:uid="{00000000-0004-0000-0E00-000000000000}"/>
    <hyperlink ref="B3:C3" location="'Project Summary'!A1" display="Return to Project Summary" xr:uid="{00000000-0004-0000-0E00-000001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D1197"/>
  <sheetViews>
    <sheetView zoomScale="90" zoomScaleNormal="90" workbookViewId="0">
      <selection activeCell="B3" sqref="B3:C3"/>
    </sheetView>
  </sheetViews>
  <sheetFormatPr defaultRowHeight="15" x14ac:dyDescent="0.25"/>
  <cols>
    <col min="1" max="1" width="3.7109375" customWidth="1"/>
    <col min="3" max="3" width="24" customWidth="1"/>
    <col min="4" max="4" width="24.140625" customWidth="1"/>
    <col min="5" max="5" width="23.140625" customWidth="1"/>
    <col min="6" max="8" width="23.85546875" customWidth="1"/>
    <col min="9" max="9" width="17.5703125" customWidth="1"/>
    <col min="10" max="10" width="11.42578125" customWidth="1"/>
    <col min="11" max="11" width="11.42578125" hidden="1" customWidth="1"/>
    <col min="12" max="12" width="20.42578125" hidden="1" customWidth="1"/>
    <col min="13" max="13" width="43" hidden="1" customWidth="1"/>
    <col min="14" max="14" width="11.28515625" hidden="1" customWidth="1"/>
    <col min="15" max="15" width="11.5703125" hidden="1" customWidth="1"/>
    <col min="16" max="18" width="12.5703125" hidden="1" customWidth="1"/>
    <col min="19" max="19" width="18.140625" customWidth="1"/>
    <col min="20" max="20" width="16.7109375" customWidth="1"/>
    <col min="21" max="21" width="12.7109375" customWidth="1"/>
    <col min="22" max="22" width="12.7109375" hidden="1" customWidth="1"/>
    <col min="23" max="23" width="27.85546875" hidden="1" customWidth="1"/>
    <col min="24" max="24" width="8.140625" customWidth="1"/>
    <col min="25" max="134" width="9.140625" style="82"/>
  </cols>
  <sheetData>
    <row r="1" spans="1:24" ht="19.5" customHeight="1" x14ac:dyDescent="0.25">
      <c r="A1" s="38"/>
      <c r="B1" s="38"/>
      <c r="C1" s="38"/>
      <c r="D1" s="38"/>
      <c r="E1" s="38"/>
      <c r="F1" s="38"/>
      <c r="G1" s="38"/>
      <c r="H1" s="38"/>
      <c r="I1" s="38"/>
      <c r="J1" s="38"/>
      <c r="K1" s="38"/>
      <c r="L1" s="27"/>
      <c r="M1" s="27"/>
      <c r="N1" s="27"/>
      <c r="O1" s="27"/>
      <c r="P1" s="27"/>
      <c r="Q1" s="27"/>
      <c r="R1" s="27"/>
      <c r="S1" s="38"/>
      <c r="T1" s="38"/>
      <c r="U1" s="38"/>
      <c r="V1" s="27" t="s">
        <v>76</v>
      </c>
      <c r="W1" s="27" t="s">
        <v>561</v>
      </c>
      <c r="X1" s="83"/>
    </row>
    <row r="2" spans="1:24" ht="27" customHeight="1" x14ac:dyDescent="0.25">
      <c r="A2" s="38"/>
      <c r="B2" s="530" t="s">
        <v>562</v>
      </c>
      <c r="C2" s="531"/>
      <c r="D2" s="531"/>
      <c r="E2" s="531"/>
      <c r="F2" s="531"/>
      <c r="G2" s="531"/>
      <c r="H2" s="531"/>
      <c r="I2" s="531"/>
      <c r="J2" s="531"/>
      <c r="K2" s="531"/>
      <c r="L2" s="531"/>
      <c r="M2" s="531"/>
      <c r="N2" s="531"/>
      <c r="O2" s="531"/>
      <c r="P2" s="531"/>
      <c r="Q2" s="531"/>
      <c r="R2" s="531"/>
      <c r="S2" s="531"/>
      <c r="T2" s="531"/>
      <c r="U2" s="531"/>
      <c r="V2" s="27"/>
      <c r="W2" s="27"/>
      <c r="X2" s="83"/>
    </row>
    <row r="3" spans="1:24" ht="23.25" customHeight="1" x14ac:dyDescent="0.25">
      <c r="A3" s="38"/>
      <c r="B3" s="505" t="s">
        <v>793</v>
      </c>
      <c r="C3" s="506"/>
      <c r="D3" s="513" t="s">
        <v>563</v>
      </c>
      <c r="E3" s="513"/>
      <c r="F3" s="513"/>
      <c r="G3" s="513"/>
      <c r="H3" s="513"/>
      <c r="I3" s="513"/>
      <c r="J3" s="38"/>
      <c r="K3" s="38"/>
      <c r="L3" s="27"/>
      <c r="M3" s="27"/>
      <c r="N3" s="27"/>
      <c r="O3" s="27"/>
      <c r="P3" s="27"/>
      <c r="Q3" s="27"/>
      <c r="R3" s="27"/>
      <c r="S3" s="38"/>
      <c r="T3" s="38"/>
      <c r="U3" s="38"/>
      <c r="V3" s="27"/>
      <c r="W3" s="27"/>
      <c r="X3" s="83"/>
    </row>
    <row r="4" spans="1:24" ht="27.75" customHeight="1" x14ac:dyDescent="0.25">
      <c r="A4" s="38"/>
      <c r="B4" s="38"/>
      <c r="C4" s="38"/>
      <c r="D4" s="513"/>
      <c r="E4" s="513"/>
      <c r="F4" s="513"/>
      <c r="G4" s="513"/>
      <c r="H4" s="513"/>
      <c r="I4" s="513"/>
      <c r="J4" s="38"/>
      <c r="K4" s="27"/>
      <c r="L4" s="27"/>
      <c r="M4" s="27"/>
      <c r="N4" s="27"/>
      <c r="O4" s="27"/>
      <c r="P4" s="27"/>
      <c r="Q4" s="27"/>
      <c r="R4" s="27"/>
      <c r="S4" s="38"/>
      <c r="T4" s="38"/>
      <c r="U4" s="38"/>
      <c r="V4" s="27"/>
      <c r="W4" s="27"/>
      <c r="X4" s="83"/>
    </row>
    <row r="5" spans="1:24" ht="12.75" customHeight="1" x14ac:dyDescent="0.25">
      <c r="A5" s="38"/>
      <c r="B5" s="38"/>
      <c r="C5" s="38"/>
      <c r="D5" s="38"/>
      <c r="E5" s="38"/>
      <c r="F5" s="38"/>
      <c r="G5" s="38"/>
      <c r="H5" s="38"/>
      <c r="I5" s="38"/>
      <c r="J5" s="38"/>
      <c r="K5" s="27"/>
      <c r="L5" s="27"/>
      <c r="M5" s="27"/>
      <c r="N5" s="27"/>
      <c r="O5" s="27"/>
      <c r="P5" s="27"/>
      <c r="Q5" s="27"/>
      <c r="R5" s="27"/>
      <c r="S5" s="38"/>
      <c r="T5" s="38"/>
      <c r="U5" s="38"/>
      <c r="V5" s="27"/>
      <c r="W5" s="27"/>
      <c r="X5" s="83"/>
    </row>
    <row r="6" spans="1:24" ht="36" customHeight="1" x14ac:dyDescent="0.25">
      <c r="A6" s="38"/>
      <c r="B6" s="152" t="s">
        <v>194</v>
      </c>
      <c r="C6" s="152" t="s">
        <v>82</v>
      </c>
      <c r="D6" s="153" t="s">
        <v>83</v>
      </c>
      <c r="E6" s="153" t="s">
        <v>86</v>
      </c>
      <c r="F6" s="153" t="s">
        <v>87</v>
      </c>
      <c r="G6" s="153" t="s">
        <v>195</v>
      </c>
      <c r="H6" s="153" t="s">
        <v>496</v>
      </c>
      <c r="I6" s="153" t="s">
        <v>564</v>
      </c>
      <c r="J6" s="153" t="s">
        <v>51</v>
      </c>
      <c r="K6" s="153" t="s">
        <v>84</v>
      </c>
      <c r="L6" s="153" t="s">
        <v>565</v>
      </c>
      <c r="M6" s="153" t="s">
        <v>254</v>
      </c>
      <c r="N6" s="153" t="s">
        <v>346</v>
      </c>
      <c r="O6" s="153" t="s">
        <v>93</v>
      </c>
      <c r="P6" s="153" t="s">
        <v>566</v>
      </c>
      <c r="Q6" s="153" t="s">
        <v>567</v>
      </c>
      <c r="R6" s="153" t="s">
        <v>215</v>
      </c>
      <c r="S6" s="153" t="s">
        <v>383</v>
      </c>
      <c r="T6" s="153" t="s">
        <v>96</v>
      </c>
      <c r="U6" s="153" t="s">
        <v>54</v>
      </c>
      <c r="V6" s="154" t="s">
        <v>97</v>
      </c>
      <c r="W6" s="154" t="s">
        <v>217</v>
      </c>
      <c r="X6" s="83"/>
    </row>
    <row r="7" spans="1:24" ht="36" hidden="1" customHeight="1" x14ac:dyDescent="0.25">
      <c r="A7" s="38"/>
      <c r="B7" s="246" t="s">
        <v>100</v>
      </c>
      <c r="C7" s="246"/>
      <c r="D7" s="245" t="s">
        <v>101</v>
      </c>
      <c r="E7" s="245" t="s">
        <v>104</v>
      </c>
      <c r="F7" s="245" t="s">
        <v>105</v>
      </c>
      <c r="G7" s="245" t="s">
        <v>218</v>
      </c>
      <c r="H7" s="245" t="s">
        <v>103</v>
      </c>
      <c r="I7" s="245" t="s">
        <v>568</v>
      </c>
      <c r="J7" s="245" t="s">
        <v>569</v>
      </c>
      <c r="K7" s="245" t="s">
        <v>102</v>
      </c>
      <c r="L7" s="245"/>
      <c r="M7" s="245" t="s">
        <v>113</v>
      </c>
      <c r="N7" s="245"/>
      <c r="O7" s="245"/>
      <c r="P7" s="245"/>
      <c r="Q7" s="245"/>
      <c r="R7" s="245" t="s">
        <v>108</v>
      </c>
      <c r="S7" s="245" t="s">
        <v>109</v>
      </c>
      <c r="T7" s="245" t="s">
        <v>110</v>
      </c>
      <c r="U7" s="245" t="s">
        <v>111</v>
      </c>
      <c r="V7" s="250" t="s">
        <v>112</v>
      </c>
      <c r="W7" s="250" t="s">
        <v>114</v>
      </c>
      <c r="X7" s="83"/>
    </row>
    <row r="8" spans="1:24" ht="18" customHeight="1" x14ac:dyDescent="0.25">
      <c r="A8" s="38"/>
      <c r="B8" s="220">
        <v>1</v>
      </c>
      <c r="C8" s="9" t="s">
        <v>68</v>
      </c>
      <c r="D8" s="55"/>
      <c r="E8" s="41"/>
      <c r="F8" s="11"/>
      <c r="G8" s="11"/>
      <c r="H8" s="11"/>
      <c r="I8" s="55"/>
      <c r="J8" s="12"/>
      <c r="K8" s="86" t="str">
        <f>IF(D8=$C$29,$D$29,IF(D8=$C$30,$D$30,""))</f>
        <v/>
      </c>
      <c r="L8" s="86" t="str">
        <f t="shared" ref="L8:L15" si="0">IF(I8="","", IF(I8&gt;=28,$C$19,IF(I8&lt;13,$C$21,$C$20)))</f>
        <v/>
      </c>
      <c r="M8" s="86" t="e">
        <f>VLOOKUP(L8, $C$19:$F$21, 4, FALSE)</f>
        <v>#N/A</v>
      </c>
      <c r="N8" s="86">
        <f>15*365</f>
        <v>5475</v>
      </c>
      <c r="O8" s="183">
        <v>0.9</v>
      </c>
      <c r="P8" s="10" t="str">
        <f>IF(OR(J8="",I8=""), "", I8*40)</f>
        <v/>
      </c>
      <c r="Q8" s="10" t="str">
        <f>IF(OR(I8="", J8=""), "", IF(L8=$C$19, (3.8*I8)+203.5, IF(L8=$C$20, (2*I8)+254, 21.5*I8)))</f>
        <v/>
      </c>
      <c r="R8" s="10" t="str">
        <f>IFERROR(ROUND(IF(J8="","",((P8-Q8)/1000)*J8),6),"")</f>
        <v/>
      </c>
      <c r="S8" s="16" t="str">
        <f>IFERROR(ROUND(IF(J8="","",((P8-Q8)/1000)*O8*J8),6),"")</f>
        <v/>
      </c>
      <c r="T8" s="17" t="str">
        <f>IFERROR(ROUND(IF(OR(I8="",J8=""),"",(((P8-Q8)/1000)*N8)*J8),4),"")</f>
        <v/>
      </c>
      <c r="U8" s="116" t="str">
        <f>IF(J8="", "", VLOOKUP(L8, $C$24:$D$26, 2, FALSE)*J8)</f>
        <v/>
      </c>
      <c r="V8" s="56">
        <f>H8</f>
        <v>0</v>
      </c>
      <c r="W8" s="56" t="str">
        <f>IF(T8&gt;0,"Yes","No")</f>
        <v>Yes</v>
      </c>
      <c r="X8" s="83"/>
    </row>
    <row r="9" spans="1:24" ht="18" customHeight="1" x14ac:dyDescent="0.25">
      <c r="A9" s="38"/>
      <c r="B9" s="220">
        <v>2</v>
      </c>
      <c r="C9" s="9" t="s">
        <v>68</v>
      </c>
      <c r="D9" s="55"/>
      <c r="E9" s="41"/>
      <c r="F9" s="11"/>
      <c r="G9" s="11"/>
      <c r="H9" s="11"/>
      <c r="I9" s="55"/>
      <c r="J9" s="12"/>
      <c r="K9" s="86" t="str">
        <f t="shared" ref="K9:K15" si="1">IF(D9=$C$29,$D$29,IF(D9=$C$30,$D$30,""))</f>
        <v/>
      </c>
      <c r="L9" s="86" t="str">
        <f t="shared" si="0"/>
        <v/>
      </c>
      <c r="M9" s="86" t="e">
        <f t="shared" ref="M9:M15" si="2">VLOOKUP(L9, $C$19:$F$21, 4, FALSE)</f>
        <v>#N/A</v>
      </c>
      <c r="N9" s="86">
        <f t="shared" ref="N9:N15" si="3">15*365</f>
        <v>5475</v>
      </c>
      <c r="O9" s="183">
        <v>0.9</v>
      </c>
      <c r="P9" s="10" t="str">
        <f t="shared" ref="P9:P15" si="4">IF(OR(J9="",I9=""), "", I9*40)</f>
        <v/>
      </c>
      <c r="Q9" s="10" t="str">
        <f t="shared" ref="Q9:Q15" si="5">IF(OR(I9="", J9=""), "", IF(L9=$C$19, (3.8*I9)+203.5, IF(L9=$C$20, (2*I9)+254, 21.5*I9)))</f>
        <v/>
      </c>
      <c r="R9" s="10" t="str">
        <f t="shared" ref="R9:R15" si="6">IFERROR(ROUND(IF(J9="","",((P9-Q9)/1000)*J9),6),"")</f>
        <v/>
      </c>
      <c r="S9" s="16" t="str">
        <f t="shared" ref="S9:S15" si="7">IFERROR(ROUND(IF(J9="","",((P9-Q9)/1000)*O9*J9),6),"")</f>
        <v/>
      </c>
      <c r="T9" s="17" t="str">
        <f t="shared" ref="T9:T15" si="8">IFERROR(ROUND(IF(OR(I9="",J9=""),"",(((P9-Q9)/1000)*N9)*J9),4),"")</f>
        <v/>
      </c>
      <c r="U9" s="116" t="str">
        <f t="shared" ref="U9:U15" si="9">IF(J9="", "", VLOOKUP(L9, $C$24:$D$26, 2, FALSE)*J9)</f>
        <v/>
      </c>
      <c r="V9" s="56">
        <f t="shared" ref="V9:V15" si="10">H9</f>
        <v>0</v>
      </c>
      <c r="W9" s="56" t="str">
        <f t="shared" ref="W9:W15" si="11">IF(T9&gt;0,"Yes","No")</f>
        <v>Yes</v>
      </c>
      <c r="X9" s="83"/>
    </row>
    <row r="10" spans="1:24" ht="18" customHeight="1" x14ac:dyDescent="0.25">
      <c r="A10" s="38"/>
      <c r="B10" s="220">
        <v>3</v>
      </c>
      <c r="C10" s="9" t="s">
        <v>68</v>
      </c>
      <c r="D10" s="55"/>
      <c r="E10" s="41"/>
      <c r="F10" s="11"/>
      <c r="G10" s="11"/>
      <c r="H10" s="11"/>
      <c r="I10" s="55"/>
      <c r="J10" s="12"/>
      <c r="K10" s="86" t="str">
        <f t="shared" si="1"/>
        <v/>
      </c>
      <c r="L10" s="86" t="str">
        <f t="shared" si="0"/>
        <v/>
      </c>
      <c r="M10" s="86" t="e">
        <f t="shared" si="2"/>
        <v>#N/A</v>
      </c>
      <c r="N10" s="86">
        <f t="shared" si="3"/>
        <v>5475</v>
      </c>
      <c r="O10" s="183">
        <v>0.9</v>
      </c>
      <c r="P10" s="10" t="str">
        <f t="shared" si="4"/>
        <v/>
      </c>
      <c r="Q10" s="10" t="str">
        <f t="shared" si="5"/>
        <v/>
      </c>
      <c r="R10" s="10" t="str">
        <f t="shared" si="6"/>
        <v/>
      </c>
      <c r="S10" s="16" t="str">
        <f t="shared" si="7"/>
        <v/>
      </c>
      <c r="T10" s="17" t="str">
        <f t="shared" si="8"/>
        <v/>
      </c>
      <c r="U10" s="116" t="str">
        <f t="shared" si="9"/>
        <v/>
      </c>
      <c r="V10" s="56">
        <f t="shared" si="10"/>
        <v>0</v>
      </c>
      <c r="W10" s="56" t="str">
        <f t="shared" si="11"/>
        <v>Yes</v>
      </c>
      <c r="X10" s="83"/>
    </row>
    <row r="11" spans="1:24" ht="18" customHeight="1" x14ac:dyDescent="0.25">
      <c r="A11" s="38"/>
      <c r="B11" s="220">
        <v>4</v>
      </c>
      <c r="C11" s="9" t="s">
        <v>68</v>
      </c>
      <c r="D11" s="55"/>
      <c r="E11" s="41"/>
      <c r="F11" s="11"/>
      <c r="G11" s="11"/>
      <c r="H11" s="11"/>
      <c r="I11" s="55"/>
      <c r="J11" s="12"/>
      <c r="K11" s="86" t="str">
        <f t="shared" si="1"/>
        <v/>
      </c>
      <c r="L11" s="86" t="str">
        <f t="shared" si="0"/>
        <v/>
      </c>
      <c r="M11" s="86" t="e">
        <f t="shared" si="2"/>
        <v>#N/A</v>
      </c>
      <c r="N11" s="86">
        <f t="shared" si="3"/>
        <v>5475</v>
      </c>
      <c r="O11" s="183">
        <v>0.9</v>
      </c>
      <c r="P11" s="10" t="str">
        <f t="shared" si="4"/>
        <v/>
      </c>
      <c r="Q11" s="10" t="str">
        <f t="shared" si="5"/>
        <v/>
      </c>
      <c r="R11" s="10" t="str">
        <f t="shared" si="6"/>
        <v/>
      </c>
      <c r="S11" s="16" t="str">
        <f t="shared" si="7"/>
        <v/>
      </c>
      <c r="T11" s="17" t="str">
        <f t="shared" si="8"/>
        <v/>
      </c>
      <c r="U11" s="116" t="str">
        <f t="shared" si="9"/>
        <v/>
      </c>
      <c r="V11" s="56">
        <f t="shared" si="10"/>
        <v>0</v>
      </c>
      <c r="W11" s="56" t="str">
        <f t="shared" si="11"/>
        <v>Yes</v>
      </c>
      <c r="X11" s="83"/>
    </row>
    <row r="12" spans="1:24" ht="18" customHeight="1" x14ac:dyDescent="0.25">
      <c r="A12" s="38"/>
      <c r="B12" s="220">
        <v>5</v>
      </c>
      <c r="C12" s="9" t="s">
        <v>68</v>
      </c>
      <c r="D12" s="55"/>
      <c r="E12" s="41"/>
      <c r="F12" s="11"/>
      <c r="G12" s="11"/>
      <c r="H12" s="11"/>
      <c r="I12" s="55"/>
      <c r="J12" s="12"/>
      <c r="K12" s="86" t="str">
        <f t="shared" si="1"/>
        <v/>
      </c>
      <c r="L12" s="86" t="str">
        <f t="shared" si="0"/>
        <v/>
      </c>
      <c r="M12" s="86" t="e">
        <f t="shared" si="2"/>
        <v>#N/A</v>
      </c>
      <c r="N12" s="86">
        <f t="shared" si="3"/>
        <v>5475</v>
      </c>
      <c r="O12" s="183">
        <v>0.9</v>
      </c>
      <c r="P12" s="10" t="str">
        <f t="shared" si="4"/>
        <v/>
      </c>
      <c r="Q12" s="10" t="str">
        <f t="shared" si="5"/>
        <v/>
      </c>
      <c r="R12" s="10" t="str">
        <f t="shared" si="6"/>
        <v/>
      </c>
      <c r="S12" s="16" t="str">
        <f t="shared" si="7"/>
        <v/>
      </c>
      <c r="T12" s="17" t="str">
        <f t="shared" si="8"/>
        <v/>
      </c>
      <c r="U12" s="116" t="str">
        <f t="shared" si="9"/>
        <v/>
      </c>
      <c r="V12" s="56">
        <f t="shared" si="10"/>
        <v>0</v>
      </c>
      <c r="W12" s="56" t="str">
        <f t="shared" si="11"/>
        <v>Yes</v>
      </c>
      <c r="X12" s="83"/>
    </row>
    <row r="13" spans="1:24" ht="18" customHeight="1" x14ac:dyDescent="0.25">
      <c r="A13" s="38"/>
      <c r="B13" s="220">
        <v>6</v>
      </c>
      <c r="C13" s="9" t="s">
        <v>68</v>
      </c>
      <c r="D13" s="55"/>
      <c r="E13" s="41"/>
      <c r="F13" s="11"/>
      <c r="G13" s="11"/>
      <c r="H13" s="11"/>
      <c r="I13" s="55"/>
      <c r="J13" s="12"/>
      <c r="K13" s="86" t="str">
        <f t="shared" si="1"/>
        <v/>
      </c>
      <c r="L13" s="86" t="str">
        <f t="shared" si="0"/>
        <v/>
      </c>
      <c r="M13" s="86" t="e">
        <f t="shared" si="2"/>
        <v>#N/A</v>
      </c>
      <c r="N13" s="86">
        <f t="shared" si="3"/>
        <v>5475</v>
      </c>
      <c r="O13" s="183">
        <v>0.9</v>
      </c>
      <c r="P13" s="10" t="str">
        <f t="shared" si="4"/>
        <v/>
      </c>
      <c r="Q13" s="10" t="str">
        <f t="shared" si="5"/>
        <v/>
      </c>
      <c r="R13" s="10" t="str">
        <f t="shared" si="6"/>
        <v/>
      </c>
      <c r="S13" s="16" t="str">
        <f t="shared" si="7"/>
        <v/>
      </c>
      <c r="T13" s="17" t="str">
        <f t="shared" si="8"/>
        <v/>
      </c>
      <c r="U13" s="116" t="str">
        <f t="shared" si="9"/>
        <v/>
      </c>
      <c r="V13" s="56">
        <f t="shared" si="10"/>
        <v>0</v>
      </c>
      <c r="W13" s="56" t="str">
        <f t="shared" si="11"/>
        <v>Yes</v>
      </c>
      <c r="X13" s="83"/>
    </row>
    <row r="14" spans="1:24" ht="18" customHeight="1" x14ac:dyDescent="0.25">
      <c r="A14" s="38"/>
      <c r="B14" s="220">
        <v>7</v>
      </c>
      <c r="C14" s="9" t="s">
        <v>68</v>
      </c>
      <c r="D14" s="55"/>
      <c r="E14" s="41"/>
      <c r="F14" s="11"/>
      <c r="G14" s="11"/>
      <c r="H14" s="11"/>
      <c r="I14" s="55"/>
      <c r="J14" s="12"/>
      <c r="K14" s="86" t="str">
        <f t="shared" si="1"/>
        <v/>
      </c>
      <c r="L14" s="86" t="str">
        <f t="shared" si="0"/>
        <v/>
      </c>
      <c r="M14" s="86" t="e">
        <f t="shared" si="2"/>
        <v>#N/A</v>
      </c>
      <c r="N14" s="86">
        <f t="shared" si="3"/>
        <v>5475</v>
      </c>
      <c r="O14" s="183">
        <v>0.9</v>
      </c>
      <c r="P14" s="10" t="str">
        <f t="shared" si="4"/>
        <v/>
      </c>
      <c r="Q14" s="10" t="str">
        <f t="shared" si="5"/>
        <v/>
      </c>
      <c r="R14" s="10" t="str">
        <f t="shared" si="6"/>
        <v/>
      </c>
      <c r="S14" s="16" t="str">
        <f t="shared" si="7"/>
        <v/>
      </c>
      <c r="T14" s="17" t="str">
        <f t="shared" si="8"/>
        <v/>
      </c>
      <c r="U14" s="116" t="str">
        <f t="shared" si="9"/>
        <v/>
      </c>
      <c r="V14" s="56">
        <f t="shared" si="10"/>
        <v>0</v>
      </c>
      <c r="W14" s="56" t="str">
        <f t="shared" si="11"/>
        <v>Yes</v>
      </c>
      <c r="X14" s="83"/>
    </row>
    <row r="15" spans="1:24" ht="18" customHeight="1" x14ac:dyDescent="0.25">
      <c r="A15" s="38"/>
      <c r="B15" s="220">
        <v>8</v>
      </c>
      <c r="C15" s="9" t="s">
        <v>68</v>
      </c>
      <c r="D15" s="55"/>
      <c r="E15" s="41"/>
      <c r="F15" s="11"/>
      <c r="G15" s="11"/>
      <c r="H15" s="11"/>
      <c r="I15" s="55"/>
      <c r="J15" s="12"/>
      <c r="K15" s="86" t="str">
        <f t="shared" si="1"/>
        <v/>
      </c>
      <c r="L15" s="86" t="str">
        <f t="shared" si="0"/>
        <v/>
      </c>
      <c r="M15" s="86" t="e">
        <f t="shared" si="2"/>
        <v>#N/A</v>
      </c>
      <c r="N15" s="86">
        <f t="shared" si="3"/>
        <v>5475</v>
      </c>
      <c r="O15" s="183">
        <v>0.9</v>
      </c>
      <c r="P15" s="10" t="str">
        <f t="shared" si="4"/>
        <v/>
      </c>
      <c r="Q15" s="10" t="str">
        <f t="shared" si="5"/>
        <v/>
      </c>
      <c r="R15" s="10" t="str">
        <f t="shared" si="6"/>
        <v/>
      </c>
      <c r="S15" s="16" t="str">
        <f t="shared" si="7"/>
        <v/>
      </c>
      <c r="T15" s="17" t="str">
        <f t="shared" si="8"/>
        <v/>
      </c>
      <c r="U15" s="116" t="str">
        <f t="shared" si="9"/>
        <v/>
      </c>
      <c r="V15" s="56">
        <f t="shared" si="10"/>
        <v>0</v>
      </c>
      <c r="W15" s="56" t="str">
        <f t="shared" si="11"/>
        <v>Yes</v>
      </c>
      <c r="X15" s="83"/>
    </row>
    <row r="16" spans="1:24" hidden="1" x14ac:dyDescent="0.25">
      <c r="A16" s="27"/>
      <c r="C16" s="121"/>
      <c r="D16" s="121"/>
      <c r="E16" s="121"/>
      <c r="F16" s="121"/>
      <c r="G16" s="121"/>
      <c r="H16" s="121"/>
      <c r="I16" s="121"/>
      <c r="J16" s="121">
        <f>SUM(J8:J15)</f>
        <v>0</v>
      </c>
      <c r="K16" s="121">
        <f t="shared" ref="K16:U16" si="12">SUM(K8:K15)</f>
        <v>0</v>
      </c>
      <c r="L16" s="121">
        <f t="shared" si="12"/>
        <v>0</v>
      </c>
      <c r="M16" s="121" t="e">
        <f t="shared" si="12"/>
        <v>#N/A</v>
      </c>
      <c r="N16" s="121">
        <f t="shared" si="12"/>
        <v>43800</v>
      </c>
      <c r="O16" s="121">
        <f t="shared" si="12"/>
        <v>7.2000000000000011</v>
      </c>
      <c r="P16" s="121">
        <f t="shared" si="12"/>
        <v>0</v>
      </c>
      <c r="Q16" s="121">
        <f t="shared" si="12"/>
        <v>0</v>
      </c>
      <c r="R16" s="121">
        <f t="shared" si="12"/>
        <v>0</v>
      </c>
      <c r="S16" s="121">
        <f t="shared" si="12"/>
        <v>0</v>
      </c>
      <c r="T16" s="121">
        <f t="shared" si="12"/>
        <v>0</v>
      </c>
      <c r="U16" s="121">
        <f t="shared" si="12"/>
        <v>0</v>
      </c>
      <c r="X16" s="83"/>
    </row>
    <row r="17" spans="1:24" hidden="1" x14ac:dyDescent="0.25">
      <c r="A17" s="27"/>
      <c r="X17" s="83"/>
    </row>
    <row r="18" spans="1:24" ht="18" hidden="1" x14ac:dyDescent="0.25">
      <c r="A18" s="27"/>
      <c r="C18" s="122" t="s">
        <v>570</v>
      </c>
      <c r="D18" s="221" t="s">
        <v>571</v>
      </c>
      <c r="E18" s="221" t="s">
        <v>572</v>
      </c>
      <c r="F18" s="221" t="s">
        <v>254</v>
      </c>
      <c r="G18" s="274"/>
      <c r="H18" s="274"/>
      <c r="X18" s="83"/>
    </row>
    <row r="19" spans="1:24" hidden="1" x14ac:dyDescent="0.25">
      <c r="A19" s="27"/>
      <c r="C19" s="123" t="s">
        <v>491</v>
      </c>
      <c r="D19" s="6" t="s">
        <v>573</v>
      </c>
      <c r="E19" s="6" t="s">
        <v>574</v>
      </c>
      <c r="F19" s="4" t="s">
        <v>575</v>
      </c>
      <c r="X19" s="83"/>
    </row>
    <row r="20" spans="1:24" hidden="1" x14ac:dyDescent="0.25">
      <c r="A20" s="27"/>
      <c r="C20" s="123" t="s">
        <v>576</v>
      </c>
      <c r="D20" s="6" t="s">
        <v>573</v>
      </c>
      <c r="E20" s="6" t="s">
        <v>577</v>
      </c>
      <c r="F20" s="4" t="s">
        <v>575</v>
      </c>
      <c r="X20" s="83"/>
    </row>
    <row r="21" spans="1:24" hidden="1" x14ac:dyDescent="0.25">
      <c r="A21" s="27"/>
      <c r="C21" s="123" t="s">
        <v>490</v>
      </c>
      <c r="D21" s="6" t="s">
        <v>573</v>
      </c>
      <c r="E21" s="6" t="s">
        <v>578</v>
      </c>
      <c r="F21" s="4" t="s">
        <v>575</v>
      </c>
      <c r="X21" s="83"/>
    </row>
    <row r="22" spans="1:24" hidden="1" x14ac:dyDescent="0.25">
      <c r="A22" s="27"/>
      <c r="D22" s="33"/>
      <c r="E22" s="33"/>
      <c r="X22" s="83"/>
    </row>
    <row r="23" spans="1:24" hidden="1" x14ac:dyDescent="0.25">
      <c r="A23" s="27"/>
      <c r="C23" s="122" t="s">
        <v>82</v>
      </c>
      <c r="D23" s="221" t="s">
        <v>54</v>
      </c>
      <c r="E23" s="33"/>
      <c r="X23" s="83"/>
    </row>
    <row r="24" spans="1:24" hidden="1" x14ac:dyDescent="0.25">
      <c r="A24" s="27"/>
      <c r="C24" s="123" t="s">
        <v>491</v>
      </c>
      <c r="D24" s="76">
        <f>250*'Project Summary'!M12</f>
        <v>125</v>
      </c>
      <c r="E24" s="6" t="s">
        <v>579</v>
      </c>
      <c r="X24" s="83"/>
    </row>
    <row r="25" spans="1:24" hidden="1" x14ac:dyDescent="0.25">
      <c r="A25" s="27"/>
      <c r="C25" s="123" t="s">
        <v>576</v>
      </c>
      <c r="D25" s="212">
        <f>200*'Project Summary'!M12</f>
        <v>100</v>
      </c>
      <c r="E25" s="6" t="s">
        <v>579</v>
      </c>
      <c r="X25" s="83"/>
    </row>
    <row r="26" spans="1:24" hidden="1" x14ac:dyDescent="0.25">
      <c r="A26" s="27"/>
      <c r="C26" s="123" t="s">
        <v>490</v>
      </c>
      <c r="D26" s="212">
        <f>150*'Project Summary'!M12</f>
        <v>75</v>
      </c>
      <c r="E26" s="6" t="s">
        <v>579</v>
      </c>
      <c r="X26" s="83"/>
    </row>
    <row r="27" spans="1:24" hidden="1" x14ac:dyDescent="0.25">
      <c r="A27" s="27"/>
      <c r="X27" s="83"/>
    </row>
    <row r="28" spans="1:24" hidden="1" x14ac:dyDescent="0.25">
      <c r="A28" s="27"/>
      <c r="C28" s="14" t="s">
        <v>83</v>
      </c>
      <c r="D28" s="14" t="s">
        <v>84</v>
      </c>
      <c r="E28" s="45" t="s">
        <v>268</v>
      </c>
      <c r="X28" s="83"/>
    </row>
    <row r="29" spans="1:24" hidden="1" x14ac:dyDescent="0.25">
      <c r="A29" s="27"/>
      <c r="C29" s="19" t="s">
        <v>124</v>
      </c>
      <c r="D29" s="19" t="s">
        <v>124</v>
      </c>
      <c r="E29" s="5">
        <v>12</v>
      </c>
      <c r="F29" s="6" t="s">
        <v>417</v>
      </c>
      <c r="G29" s="33"/>
      <c r="H29" s="33"/>
      <c r="X29" s="83"/>
    </row>
    <row r="30" spans="1:24" hidden="1" x14ac:dyDescent="0.25">
      <c r="A30" s="27"/>
      <c r="C30" s="19" t="s">
        <v>129</v>
      </c>
      <c r="D30" s="19" t="s">
        <v>130</v>
      </c>
      <c r="X30" s="83"/>
    </row>
    <row r="31" spans="1:24" ht="17.25" customHeight="1" x14ac:dyDescent="0.25">
      <c r="A31" s="83"/>
      <c r="B31" s="83"/>
      <c r="C31" s="83"/>
      <c r="D31" s="83"/>
      <c r="E31" s="83"/>
      <c r="F31" s="83"/>
      <c r="G31" s="83"/>
      <c r="H31" s="83"/>
      <c r="I31" s="83"/>
      <c r="J31" s="83"/>
      <c r="K31" s="83"/>
      <c r="L31" s="83"/>
      <c r="M31" s="83"/>
      <c r="N31" s="83"/>
      <c r="O31" s="83"/>
      <c r="P31" s="83"/>
      <c r="Q31" s="83"/>
      <c r="R31" s="83"/>
      <c r="S31" s="83"/>
      <c r="T31" s="83"/>
      <c r="U31" s="83"/>
      <c r="V31" s="83"/>
      <c r="X31" s="83"/>
    </row>
    <row r="32" spans="1:24" ht="17.25" customHeight="1" x14ac:dyDescent="0.25">
      <c r="A32" s="83"/>
      <c r="B32" s="83"/>
      <c r="C32" s="83"/>
      <c r="D32" s="83"/>
      <c r="E32" s="83"/>
      <c r="F32" s="83"/>
      <c r="G32" s="83"/>
      <c r="H32" s="83"/>
      <c r="I32" s="83"/>
      <c r="J32" s="83"/>
      <c r="K32" s="83"/>
      <c r="L32" s="83"/>
      <c r="M32" s="83"/>
      <c r="N32" s="83"/>
      <c r="O32" s="83"/>
      <c r="P32" s="83"/>
      <c r="Q32" s="83"/>
      <c r="R32" s="83"/>
      <c r="S32" s="83"/>
      <c r="T32" s="83"/>
      <c r="U32" s="83"/>
      <c r="V32" s="83"/>
      <c r="X32" s="83"/>
    </row>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row r="1181" s="82" customFormat="1" x14ac:dyDescent="0.25"/>
    <row r="1182" s="82" customFormat="1" x14ac:dyDescent="0.25"/>
    <row r="1183" s="82" customFormat="1" x14ac:dyDescent="0.25"/>
    <row r="1184" s="82" customFormat="1" x14ac:dyDescent="0.25"/>
    <row r="1185" s="82" customFormat="1" x14ac:dyDescent="0.25"/>
    <row r="1186" s="82" customFormat="1" x14ac:dyDescent="0.25"/>
    <row r="1187" s="82" customFormat="1" x14ac:dyDescent="0.25"/>
    <row r="1188" s="82" customFormat="1" x14ac:dyDescent="0.25"/>
    <row r="1189" s="82" customFormat="1" x14ac:dyDescent="0.25"/>
    <row r="1190" s="82" customFormat="1" x14ac:dyDescent="0.25"/>
    <row r="1191" s="82" customFormat="1" x14ac:dyDescent="0.25"/>
    <row r="1192" s="82" customFormat="1" x14ac:dyDescent="0.25"/>
    <row r="1193" s="82" customFormat="1" x14ac:dyDescent="0.25"/>
    <row r="1194" s="82" customFormat="1" x14ac:dyDescent="0.25"/>
    <row r="1195" s="82" customFormat="1" x14ac:dyDescent="0.25"/>
    <row r="1196" s="82" customFormat="1" x14ac:dyDescent="0.25"/>
    <row r="1197" s="82" customFormat="1" x14ac:dyDescent="0.25"/>
  </sheetData>
  <sheetProtection algorithmName="SHA-512" hashValue="tK1cGghUoZg1iYjhfS+I85KRcVeJFehsNKVFKcKcHN+1W1EZep9ENelmjMru80fcof7Vo6yfGSxuI8lLVQeSRg==" saltValue="Vx+J8CyCEBKs9G7WaVEUlw==" spinCount="100000" sheet="1" selectLockedCells="1"/>
  <mergeCells count="3">
    <mergeCell ref="B3:C3"/>
    <mergeCell ref="B2:U2"/>
    <mergeCell ref="D3:I4"/>
  </mergeCells>
  <phoneticPr fontId="38" type="noConversion"/>
  <dataValidations disablePrompts="1" count="1">
    <dataValidation type="list" allowBlank="1" showInputMessage="1" showErrorMessage="1" sqref="D8:D15" xr:uid="{00000000-0002-0000-0F00-000000000000}">
      <formula1>$C$29:$C$30</formula1>
    </dataValidation>
  </dataValidations>
  <hyperlinks>
    <hyperlink ref="B3" location="'Calculator Index'!A1" display="Return to Index" xr:uid="{00000000-0004-0000-0F00-000000000000}"/>
    <hyperlink ref="B3:C3" location="'Project Summary'!A1" display="Return to Project Summary" xr:uid="{00000000-0004-0000-0F00-000001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04CA7-57BD-4AD1-AD05-CDF78EAD2830}">
  <dimension ref="A1:FF739"/>
  <sheetViews>
    <sheetView zoomScale="80" zoomScaleNormal="80" workbookViewId="0">
      <selection activeCell="I10" sqref="I10"/>
    </sheetView>
  </sheetViews>
  <sheetFormatPr defaultRowHeight="15" x14ac:dyDescent="0.25"/>
  <cols>
    <col min="1" max="1" width="3.7109375" customWidth="1"/>
    <col min="2" max="2" width="5" customWidth="1"/>
    <col min="3" max="3" width="28.5703125" customWidth="1"/>
    <col min="4" max="4" width="23.5703125" customWidth="1"/>
    <col min="5" max="5" width="22.85546875" hidden="1" customWidth="1"/>
    <col min="6" max="6" width="20.28515625" customWidth="1"/>
    <col min="7" max="7" width="20.85546875" customWidth="1"/>
    <col min="8" max="8" width="27.85546875" bestFit="1" customWidth="1"/>
    <col min="9" max="9" width="25" customWidth="1"/>
    <col min="10" max="10" width="28.7109375" bestFit="1" customWidth="1"/>
    <col min="11" max="11" width="12.28515625" customWidth="1"/>
    <col min="12" max="12" width="11.28515625" customWidth="1"/>
    <col min="13" max="13" width="9.140625" hidden="1" customWidth="1"/>
    <col min="14" max="14" width="27.85546875" hidden="1" customWidth="1"/>
    <col min="15" max="15" width="9" hidden="1" customWidth="1"/>
    <col min="16" max="16" width="17" hidden="1" customWidth="1"/>
    <col min="17" max="19" width="16" hidden="1" customWidth="1"/>
    <col min="20" max="20" width="15.5703125" hidden="1" customWidth="1"/>
    <col min="21" max="21" width="7.85546875" hidden="1" customWidth="1"/>
    <col min="22" max="22" width="17.28515625" hidden="1" customWidth="1"/>
    <col min="23" max="23" width="13.7109375" hidden="1" customWidth="1"/>
    <col min="24" max="24" width="13.85546875" bestFit="1" customWidth="1"/>
    <col min="25" max="25" width="15.7109375" customWidth="1"/>
    <col min="26" max="26" width="17.85546875" customWidth="1"/>
    <col min="27" max="27" width="11" hidden="1" customWidth="1"/>
    <col min="28" max="28" width="17.28515625" hidden="1" customWidth="1"/>
    <col min="29" max="32" width="9.140625" hidden="1" customWidth="1"/>
    <col min="33" max="33" width="6.5703125" style="82" customWidth="1"/>
    <col min="34" max="34" width="9.140625" style="82" customWidth="1"/>
    <col min="35" max="162" width="9.140625" style="82"/>
  </cols>
  <sheetData>
    <row r="1" spans="1:33" ht="19.5" customHeight="1" x14ac:dyDescent="0.25">
      <c r="A1" s="38"/>
      <c r="B1" s="38"/>
      <c r="C1" s="38"/>
      <c r="D1" s="38"/>
      <c r="E1" s="38"/>
      <c r="F1" s="38"/>
      <c r="G1" s="38"/>
      <c r="H1" s="38"/>
      <c r="I1" s="38"/>
      <c r="J1" s="38"/>
      <c r="K1" s="38"/>
      <c r="L1" s="27"/>
      <c r="M1" s="27"/>
      <c r="N1" s="27"/>
      <c r="O1" s="27"/>
      <c r="P1" s="27"/>
      <c r="Q1" s="38"/>
      <c r="R1" s="38"/>
      <c r="S1" s="38"/>
      <c r="T1" s="27" t="s">
        <v>76</v>
      </c>
      <c r="U1" s="27" t="s">
        <v>712</v>
      </c>
      <c r="V1" s="27"/>
      <c r="W1" s="27"/>
      <c r="X1" s="27"/>
      <c r="Y1" s="27"/>
      <c r="Z1" s="27"/>
      <c r="AA1" s="27"/>
      <c r="AB1" s="27"/>
      <c r="AC1" s="27"/>
      <c r="AD1" s="27"/>
      <c r="AG1" s="83"/>
    </row>
    <row r="2" spans="1:33" ht="27" customHeight="1" x14ac:dyDescent="0.25">
      <c r="A2" s="38"/>
      <c r="B2" s="510" t="s">
        <v>711</v>
      </c>
      <c r="C2" s="511"/>
      <c r="D2" s="511"/>
      <c r="E2" s="511"/>
      <c r="F2" s="511"/>
      <c r="G2" s="511"/>
      <c r="H2" s="511"/>
      <c r="I2" s="511"/>
      <c r="J2" s="511"/>
      <c r="K2" s="511"/>
      <c r="L2" s="511"/>
      <c r="M2" s="511"/>
      <c r="N2" s="511"/>
      <c r="O2" s="511"/>
      <c r="P2" s="511"/>
      <c r="Q2" s="511"/>
      <c r="R2" s="511"/>
      <c r="S2" s="512"/>
      <c r="T2" s="27"/>
      <c r="U2" s="27"/>
      <c r="V2" s="27"/>
      <c r="W2" s="27"/>
      <c r="X2" s="27"/>
      <c r="Y2" s="27"/>
      <c r="Z2" s="27"/>
      <c r="AA2" s="27"/>
      <c r="AB2" s="27"/>
      <c r="AC2" s="27"/>
      <c r="AD2" s="27"/>
      <c r="AG2" s="83"/>
    </row>
    <row r="3" spans="1:33" ht="23.25" customHeight="1" x14ac:dyDescent="0.25">
      <c r="A3" s="38"/>
      <c r="B3" s="505" t="s">
        <v>79</v>
      </c>
      <c r="C3" s="506"/>
      <c r="D3" s="513" t="s">
        <v>710</v>
      </c>
      <c r="E3" s="513"/>
      <c r="F3" s="513"/>
      <c r="G3" s="513"/>
      <c r="H3" s="513"/>
      <c r="I3" s="513"/>
      <c r="J3" s="513"/>
      <c r="K3" s="38"/>
      <c r="L3" s="27"/>
      <c r="M3" s="27"/>
      <c r="N3" s="27"/>
      <c r="O3" s="27"/>
      <c r="P3" s="27"/>
      <c r="Q3" s="38"/>
      <c r="R3" s="38"/>
      <c r="S3" s="38"/>
      <c r="T3" s="27"/>
      <c r="U3" s="27"/>
      <c r="V3" s="27"/>
      <c r="W3" s="27"/>
      <c r="X3" s="27"/>
      <c r="Y3" s="27"/>
      <c r="Z3" s="27"/>
      <c r="AA3" s="27"/>
      <c r="AB3" s="27"/>
      <c r="AC3" s="27"/>
      <c r="AD3" s="27"/>
      <c r="AG3" s="83"/>
    </row>
    <row r="4" spans="1:33" ht="39.75" customHeight="1" x14ac:dyDescent="0.25">
      <c r="A4" s="38"/>
      <c r="B4" s="38"/>
      <c r="C4" s="38"/>
      <c r="D4" s="513"/>
      <c r="E4" s="513"/>
      <c r="F4" s="513"/>
      <c r="G4" s="513"/>
      <c r="H4" s="513"/>
      <c r="I4" s="513"/>
      <c r="J4" s="513"/>
      <c r="K4" s="38"/>
      <c r="L4" s="27"/>
      <c r="M4" s="27"/>
      <c r="N4" s="27"/>
      <c r="O4" s="27"/>
      <c r="P4" s="27"/>
      <c r="Q4" s="38"/>
      <c r="R4" s="38"/>
      <c r="S4" s="38"/>
      <c r="T4" s="27"/>
      <c r="U4" s="27"/>
      <c r="V4" s="27"/>
      <c r="W4" s="27"/>
      <c r="X4" s="27"/>
      <c r="Y4" s="27"/>
      <c r="Z4" s="27"/>
      <c r="AA4" s="27"/>
      <c r="AB4" s="27"/>
      <c r="AC4" s="27"/>
      <c r="AD4" s="27"/>
      <c r="AG4" s="83"/>
    </row>
    <row r="5" spans="1:33" ht="12.75" customHeight="1" x14ac:dyDescent="0.25">
      <c r="A5" s="38"/>
      <c r="B5" s="38"/>
      <c r="C5" s="38"/>
      <c r="D5" s="38"/>
      <c r="E5" s="27"/>
      <c r="F5" s="38"/>
      <c r="G5" s="38"/>
      <c r="H5" s="38"/>
      <c r="I5" s="38"/>
      <c r="J5" s="38"/>
      <c r="K5" s="38"/>
      <c r="L5" s="27"/>
      <c r="M5" s="27"/>
      <c r="N5" s="27"/>
      <c r="O5" s="27"/>
      <c r="P5" s="27"/>
      <c r="Q5" s="38"/>
      <c r="R5" s="38"/>
      <c r="S5" s="38"/>
      <c r="T5" s="27"/>
      <c r="U5" s="27"/>
      <c r="V5" s="27"/>
      <c r="W5" s="27"/>
      <c r="X5" s="27"/>
      <c r="Y5" s="27"/>
      <c r="Z5" s="27"/>
      <c r="AA5" s="27"/>
      <c r="AB5" s="27"/>
      <c r="AC5" s="27"/>
      <c r="AD5" s="27"/>
      <c r="AG5" s="83"/>
    </row>
    <row r="6" spans="1:33" ht="43.9" customHeight="1" x14ac:dyDescent="0.25">
      <c r="A6" s="38"/>
      <c r="B6" s="153" t="s">
        <v>81</v>
      </c>
      <c r="C6" s="153" t="s">
        <v>82</v>
      </c>
      <c r="D6" s="153" t="s">
        <v>83</v>
      </c>
      <c r="E6" s="153" t="s">
        <v>84</v>
      </c>
      <c r="F6" s="153" t="s">
        <v>85</v>
      </c>
      <c r="G6" s="153" t="s">
        <v>86</v>
      </c>
      <c r="H6" s="153" t="s">
        <v>87</v>
      </c>
      <c r="I6" s="153" t="s">
        <v>195</v>
      </c>
      <c r="J6" s="153" t="s">
        <v>271</v>
      </c>
      <c r="K6" s="153" t="s">
        <v>709</v>
      </c>
      <c r="L6" s="153" t="s">
        <v>51</v>
      </c>
      <c r="M6" s="153" t="s">
        <v>701</v>
      </c>
      <c r="N6" s="153" t="s">
        <v>708</v>
      </c>
      <c r="O6" s="153" t="s">
        <v>698</v>
      </c>
      <c r="P6" s="153" t="s">
        <v>697</v>
      </c>
      <c r="Q6" s="153" t="s">
        <v>700</v>
      </c>
      <c r="R6" s="153" t="s">
        <v>696</v>
      </c>
      <c r="S6" s="153" t="s">
        <v>707</v>
      </c>
      <c r="T6" s="153" t="s">
        <v>706</v>
      </c>
      <c r="U6" s="153" t="s">
        <v>705</v>
      </c>
      <c r="V6" s="152" t="s">
        <v>93</v>
      </c>
      <c r="W6" s="153" t="s">
        <v>94</v>
      </c>
      <c r="X6" s="153" t="s">
        <v>95</v>
      </c>
      <c r="Y6" s="153" t="s">
        <v>96</v>
      </c>
      <c r="Z6" s="153" t="s">
        <v>70</v>
      </c>
      <c r="AA6" s="154" t="s">
        <v>97</v>
      </c>
      <c r="AB6" s="154" t="s">
        <v>98</v>
      </c>
      <c r="AC6" s="154" t="s">
        <v>99</v>
      </c>
      <c r="AG6" s="83"/>
    </row>
    <row r="7" spans="1:33" ht="17.25" hidden="1" customHeight="1" x14ac:dyDescent="0.25">
      <c r="A7" s="38"/>
      <c r="B7" s="245" t="s">
        <v>100</v>
      </c>
      <c r="C7" s="245"/>
      <c r="D7" s="245" t="s">
        <v>101</v>
      </c>
      <c r="E7" s="245" t="s">
        <v>102</v>
      </c>
      <c r="F7" s="245" t="s">
        <v>103</v>
      </c>
      <c r="G7" s="245" t="s">
        <v>104</v>
      </c>
      <c r="H7" s="245" t="s">
        <v>105</v>
      </c>
      <c r="I7" s="245"/>
      <c r="J7" s="245" t="s">
        <v>704</v>
      </c>
      <c r="K7" s="245" t="s">
        <v>345</v>
      </c>
      <c r="L7" s="245" t="s">
        <v>51</v>
      </c>
      <c r="M7" s="245"/>
      <c r="N7" s="245"/>
      <c r="O7" s="245"/>
      <c r="P7" s="245"/>
      <c r="Q7" s="245"/>
      <c r="R7" s="245"/>
      <c r="S7" s="245"/>
      <c r="T7" s="245"/>
      <c r="U7" s="245"/>
      <c r="V7" s="246"/>
      <c r="W7" s="246" t="s">
        <v>108</v>
      </c>
      <c r="X7" s="245" t="s">
        <v>109</v>
      </c>
      <c r="Y7" s="245" t="s">
        <v>110</v>
      </c>
      <c r="Z7" s="245" t="s">
        <v>111</v>
      </c>
      <c r="AA7" s="245" t="s">
        <v>112</v>
      </c>
      <c r="AB7" s="245" t="s">
        <v>113</v>
      </c>
      <c r="AC7" s="250" t="s">
        <v>114</v>
      </c>
      <c r="AG7" s="83"/>
    </row>
    <row r="8" spans="1:33" ht="19.5" customHeight="1" x14ac:dyDescent="0.25">
      <c r="A8" s="38"/>
      <c r="B8" s="220">
        <v>1</v>
      </c>
      <c r="C8" s="9" t="s">
        <v>668</v>
      </c>
      <c r="D8" s="11" t="s">
        <v>129</v>
      </c>
      <c r="E8" s="11" t="str">
        <f t="shared" ref="E8:E15" si="0">IF(D8=$C$21,$D$21,IF(D8=$C$22,$D$22,""))</f>
        <v>New Equipment</v>
      </c>
      <c r="F8" s="11"/>
      <c r="G8" s="12"/>
      <c r="H8" s="12"/>
      <c r="I8" s="12"/>
      <c r="J8" s="11"/>
      <c r="K8" s="11"/>
      <c r="L8" s="12"/>
      <c r="M8" s="15" t="str">
        <f t="shared" ref="M8:M15" si="1">IF(K8="low",_xlfn.XLOOKUP(J8,$H$22:$H$25,$I$22:$I$25),_xlfn.XLOOKUP(J8,$H$27:$H$31,$I$27:$I$31,""))</f>
        <v/>
      </c>
      <c r="N8" s="15" t="str">
        <f t="shared" ref="N8:N15" si="2">IF(K8="low",_xlfn.XLOOKUP(J8,$H$22:$H$25,$O$22:$O$25),_xlfn.XLOOKUP(J8,$H$27:$H$31,$O$27:$O$31,""))</f>
        <v/>
      </c>
      <c r="O8" s="15" t="str">
        <f t="shared" ref="O8:O15" si="3">IF(K8="low",_xlfn.XLOOKUP(J8,$H$22:$H$25,$J$22:$J$25),_xlfn.XLOOKUP(J8,$H$27:$H$31,$J$27:$J$31,""))</f>
        <v/>
      </c>
      <c r="P8" s="15" t="str">
        <f t="shared" ref="P8:P15" si="4">IF(K8="low",_xlfn.XLOOKUP(J8,$H$22:$H$25,$K$22:$K$25),_xlfn.XLOOKUP(J8,$H$27:$H$31,$K$27:$K$31,""))</f>
        <v/>
      </c>
      <c r="Q8" s="15" t="str">
        <f t="shared" ref="Q8:Q15" si="5">IF(K8="low",_xlfn.XLOOKUP(J8,$H$22:$H$25,$L$22:$L$25),_xlfn.XLOOKUP(J8,$H$27:$H$31,$L$27:$L$31,""))</f>
        <v/>
      </c>
      <c r="R8" s="15" t="str">
        <f t="shared" ref="R8:R15" si="6">IF(K8="low",_xlfn.XLOOKUP(J8,$H$22:$H$25,$R$22:$R$25),_xlfn.XLOOKUP(J8,$H$27:$H$31,$R$27:$R$31,""))</f>
        <v/>
      </c>
      <c r="S8" s="345" t="str">
        <f t="shared" ref="S8:S15" si="7">IFERROR(((M8-N8)*O8*$C$25)*(70*1*8.207)/(0.98*3412),"")</f>
        <v/>
      </c>
      <c r="T8" s="345" t="str">
        <f t="shared" ref="T8:T15" si="8">IFERROR(IF(K8="low",0,((M8-N8)*O8*$C$25)*(40*1*8.207)/(0.98*3412)),"")</f>
        <v/>
      </c>
      <c r="U8" s="345" t="str">
        <f t="shared" ref="U8:U15" si="9">IFERROR((Q8*365*(18-O8*P8/60)-(R8*$C$25*(18-(O8*P8)/60))),"")</f>
        <v/>
      </c>
      <c r="V8" s="21">
        <v>0.9</v>
      </c>
      <c r="W8" s="344" t="str">
        <f t="shared" ref="W8:W15" si="10">IFERROR(Y8/8670,"")</f>
        <v/>
      </c>
      <c r="X8" s="413" t="str">
        <f t="shared" ref="X8:X15" si="11">IFERROR(ROUND(Y8/(18*365)*V8,6), "")</f>
        <v/>
      </c>
      <c r="Y8" s="409" t="str">
        <f t="shared" ref="Y8:Y15" si="12">IF(L8="", "", IFERROR((S8+T8+U8)*L8, ""))</f>
        <v/>
      </c>
      <c r="Z8" s="39" t="str">
        <f t="shared" ref="Z8:Z15" si="13">IF(OR(D8="",L8=""),"",IF(K8="low",_xlfn.XLOOKUP(J8,$C$35:$C$38,$D$35:$D$38)*L8,_xlfn.XLOOKUP(J8,$C$29:$C$33,$D$29:$D$33)*L8))</f>
        <v/>
      </c>
      <c r="AA8" s="10">
        <f t="shared" ref="AA8:AA15" si="14">F8</f>
        <v>0</v>
      </c>
      <c r="AB8" s="10"/>
      <c r="AC8" t="str">
        <f t="shared" ref="AC8:AC15" si="15">IF(Y8&gt;0,"Yes","No")</f>
        <v>Yes</v>
      </c>
      <c r="AG8" s="83"/>
    </row>
    <row r="9" spans="1:33" ht="19.5" customHeight="1" x14ac:dyDescent="0.25">
      <c r="A9" s="38"/>
      <c r="B9" s="220">
        <v>2</v>
      </c>
      <c r="C9" s="9" t="s">
        <v>668</v>
      </c>
      <c r="D9" s="11" t="s">
        <v>124</v>
      </c>
      <c r="E9" s="11" t="str">
        <f t="shared" si="0"/>
        <v>Early Replacement</v>
      </c>
      <c r="F9" s="11"/>
      <c r="G9" s="12"/>
      <c r="H9" s="12"/>
      <c r="I9" s="12"/>
      <c r="J9" s="11"/>
      <c r="K9" s="11"/>
      <c r="L9" s="12"/>
      <c r="M9" s="109" t="str">
        <f t="shared" si="1"/>
        <v/>
      </c>
      <c r="N9" s="15" t="str">
        <f t="shared" si="2"/>
        <v/>
      </c>
      <c r="O9" s="15" t="str">
        <f t="shared" si="3"/>
        <v/>
      </c>
      <c r="P9" s="15" t="str">
        <f t="shared" si="4"/>
        <v/>
      </c>
      <c r="Q9" s="15" t="str">
        <f t="shared" si="5"/>
        <v/>
      </c>
      <c r="R9" s="15" t="str">
        <f t="shared" si="6"/>
        <v/>
      </c>
      <c r="S9" s="345" t="str">
        <f t="shared" si="7"/>
        <v/>
      </c>
      <c r="T9" s="345" t="str">
        <f t="shared" si="8"/>
        <v/>
      </c>
      <c r="U9" s="345" t="str">
        <f t="shared" si="9"/>
        <v/>
      </c>
      <c r="V9" s="21">
        <v>0.9</v>
      </c>
      <c r="W9" s="344" t="str">
        <f t="shared" si="10"/>
        <v/>
      </c>
      <c r="X9" s="413" t="str">
        <f t="shared" si="11"/>
        <v/>
      </c>
      <c r="Y9" s="409" t="str">
        <f t="shared" si="12"/>
        <v/>
      </c>
      <c r="Z9" s="39" t="str">
        <f t="shared" si="13"/>
        <v/>
      </c>
      <c r="AA9" s="10">
        <f t="shared" si="14"/>
        <v>0</v>
      </c>
      <c r="AB9" s="10"/>
      <c r="AC9" t="str">
        <f t="shared" si="15"/>
        <v>Yes</v>
      </c>
      <c r="AG9" s="83"/>
    </row>
    <row r="10" spans="1:33" ht="19.5" customHeight="1" x14ac:dyDescent="0.25">
      <c r="A10" s="38"/>
      <c r="B10" s="220">
        <v>3</v>
      </c>
      <c r="C10" s="9" t="s">
        <v>668</v>
      </c>
      <c r="D10" s="11" t="s">
        <v>124</v>
      </c>
      <c r="E10" s="11" t="str">
        <f t="shared" si="0"/>
        <v>Early Replacement</v>
      </c>
      <c r="F10" s="11"/>
      <c r="G10" s="12"/>
      <c r="H10" s="12"/>
      <c r="I10" s="12"/>
      <c r="J10" s="11"/>
      <c r="K10" s="11"/>
      <c r="L10" s="12"/>
      <c r="M10" s="15" t="str">
        <f t="shared" si="1"/>
        <v/>
      </c>
      <c r="N10" s="15" t="str">
        <f t="shared" si="2"/>
        <v/>
      </c>
      <c r="O10" s="15" t="str">
        <f t="shared" si="3"/>
        <v/>
      </c>
      <c r="P10" s="15" t="str">
        <f t="shared" si="4"/>
        <v/>
      </c>
      <c r="Q10" s="15" t="str">
        <f t="shared" si="5"/>
        <v/>
      </c>
      <c r="R10" s="15" t="str">
        <f t="shared" si="6"/>
        <v/>
      </c>
      <c r="S10" s="345" t="str">
        <f t="shared" si="7"/>
        <v/>
      </c>
      <c r="T10" s="345" t="str">
        <f t="shared" si="8"/>
        <v/>
      </c>
      <c r="U10" s="345" t="str">
        <f t="shared" si="9"/>
        <v/>
      </c>
      <c r="V10" s="21">
        <v>0.9</v>
      </c>
      <c r="W10" s="344" t="str">
        <f t="shared" si="10"/>
        <v/>
      </c>
      <c r="X10" s="413" t="str">
        <f t="shared" si="11"/>
        <v/>
      </c>
      <c r="Y10" s="409" t="str">
        <f t="shared" si="12"/>
        <v/>
      </c>
      <c r="Z10" s="39" t="str">
        <f t="shared" si="13"/>
        <v/>
      </c>
      <c r="AA10" s="10">
        <f t="shared" si="14"/>
        <v>0</v>
      </c>
      <c r="AB10" s="10"/>
      <c r="AC10" t="str">
        <f t="shared" si="15"/>
        <v>Yes</v>
      </c>
      <c r="AG10" s="83"/>
    </row>
    <row r="11" spans="1:33" ht="19.5" customHeight="1" x14ac:dyDescent="0.25">
      <c r="A11" s="38"/>
      <c r="B11" s="220">
        <v>4</v>
      </c>
      <c r="C11" s="9" t="s">
        <v>668</v>
      </c>
      <c r="D11" s="11" t="s">
        <v>124</v>
      </c>
      <c r="E11" s="11" t="str">
        <f t="shared" si="0"/>
        <v>Early Replacement</v>
      </c>
      <c r="F11" s="11"/>
      <c r="G11" s="12"/>
      <c r="H11" s="12"/>
      <c r="I11" s="12"/>
      <c r="J11" s="11"/>
      <c r="K11" s="11"/>
      <c r="L11" s="12"/>
      <c r="M11" s="15" t="str">
        <f t="shared" si="1"/>
        <v/>
      </c>
      <c r="N11" s="15" t="str">
        <f t="shared" si="2"/>
        <v/>
      </c>
      <c r="O11" s="15" t="str">
        <f t="shared" si="3"/>
        <v/>
      </c>
      <c r="P11" s="15" t="str">
        <f t="shared" si="4"/>
        <v/>
      </c>
      <c r="Q11" s="15" t="str">
        <f t="shared" si="5"/>
        <v/>
      </c>
      <c r="R11" s="15" t="str">
        <f t="shared" si="6"/>
        <v/>
      </c>
      <c r="S11" s="345" t="str">
        <f t="shared" si="7"/>
        <v/>
      </c>
      <c r="T11" s="345" t="str">
        <f t="shared" si="8"/>
        <v/>
      </c>
      <c r="U11" s="345" t="str">
        <f t="shared" si="9"/>
        <v/>
      </c>
      <c r="V11" s="21">
        <v>0.9</v>
      </c>
      <c r="W11" s="344" t="str">
        <f t="shared" si="10"/>
        <v/>
      </c>
      <c r="X11" s="413" t="str">
        <f t="shared" si="11"/>
        <v/>
      </c>
      <c r="Y11" s="409" t="str">
        <f t="shared" si="12"/>
        <v/>
      </c>
      <c r="Z11" s="39" t="str">
        <f t="shared" si="13"/>
        <v/>
      </c>
      <c r="AA11" s="10">
        <f t="shared" si="14"/>
        <v>0</v>
      </c>
      <c r="AB11" s="10"/>
      <c r="AC11" t="str">
        <f t="shared" si="15"/>
        <v>Yes</v>
      </c>
      <c r="AG11" s="83"/>
    </row>
    <row r="12" spans="1:33" ht="19.5" customHeight="1" x14ac:dyDescent="0.25">
      <c r="A12" s="38"/>
      <c r="B12" s="220">
        <v>5</v>
      </c>
      <c r="C12" s="9" t="s">
        <v>668</v>
      </c>
      <c r="D12" s="11" t="s">
        <v>124</v>
      </c>
      <c r="E12" s="11" t="str">
        <f t="shared" si="0"/>
        <v>Early Replacement</v>
      </c>
      <c r="F12" s="11"/>
      <c r="G12" s="12"/>
      <c r="H12" s="12"/>
      <c r="I12" s="12"/>
      <c r="J12" s="11"/>
      <c r="K12" s="11"/>
      <c r="L12" s="12"/>
      <c r="M12" s="15" t="str">
        <f t="shared" si="1"/>
        <v/>
      </c>
      <c r="N12" s="15" t="str">
        <f t="shared" si="2"/>
        <v/>
      </c>
      <c r="O12" s="15" t="str">
        <f t="shared" si="3"/>
        <v/>
      </c>
      <c r="P12" s="15" t="str">
        <f t="shared" si="4"/>
        <v/>
      </c>
      <c r="Q12" s="15" t="str">
        <f t="shared" si="5"/>
        <v/>
      </c>
      <c r="R12" s="15" t="str">
        <f t="shared" si="6"/>
        <v/>
      </c>
      <c r="S12" s="345" t="str">
        <f t="shared" si="7"/>
        <v/>
      </c>
      <c r="T12" s="345" t="str">
        <f t="shared" si="8"/>
        <v/>
      </c>
      <c r="U12" s="345" t="str">
        <f t="shared" si="9"/>
        <v/>
      </c>
      <c r="V12" s="21">
        <v>0.9</v>
      </c>
      <c r="W12" s="344" t="str">
        <f t="shared" si="10"/>
        <v/>
      </c>
      <c r="X12" s="413" t="str">
        <f t="shared" si="11"/>
        <v/>
      </c>
      <c r="Y12" s="409" t="str">
        <f t="shared" si="12"/>
        <v/>
      </c>
      <c r="Z12" s="39" t="str">
        <f t="shared" si="13"/>
        <v/>
      </c>
      <c r="AA12" s="10">
        <f t="shared" si="14"/>
        <v>0</v>
      </c>
      <c r="AB12" s="10"/>
      <c r="AC12" t="str">
        <f t="shared" si="15"/>
        <v>Yes</v>
      </c>
      <c r="AG12" s="83"/>
    </row>
    <row r="13" spans="1:33" ht="19.5" customHeight="1" x14ac:dyDescent="0.25">
      <c r="A13" s="38"/>
      <c r="B13" s="220">
        <v>6</v>
      </c>
      <c r="C13" s="9" t="s">
        <v>668</v>
      </c>
      <c r="D13" s="11" t="s">
        <v>124</v>
      </c>
      <c r="E13" s="11" t="str">
        <f t="shared" si="0"/>
        <v>Early Replacement</v>
      </c>
      <c r="F13" s="11"/>
      <c r="G13" s="12"/>
      <c r="H13" s="12"/>
      <c r="I13" s="12"/>
      <c r="J13" s="11"/>
      <c r="K13" s="11"/>
      <c r="L13" s="12"/>
      <c r="M13" s="15" t="str">
        <f t="shared" si="1"/>
        <v/>
      </c>
      <c r="N13" s="15" t="str">
        <f t="shared" si="2"/>
        <v/>
      </c>
      <c r="O13" s="15" t="str">
        <f t="shared" si="3"/>
        <v/>
      </c>
      <c r="P13" s="15" t="str">
        <f t="shared" si="4"/>
        <v/>
      </c>
      <c r="Q13" s="15" t="str">
        <f t="shared" si="5"/>
        <v/>
      </c>
      <c r="R13" s="15" t="str">
        <f t="shared" si="6"/>
        <v/>
      </c>
      <c r="S13" s="345" t="str">
        <f t="shared" si="7"/>
        <v/>
      </c>
      <c r="T13" s="345" t="str">
        <f t="shared" si="8"/>
        <v/>
      </c>
      <c r="U13" s="345" t="str">
        <f t="shared" si="9"/>
        <v/>
      </c>
      <c r="V13" s="21">
        <v>0.9</v>
      </c>
      <c r="W13" s="344" t="str">
        <f t="shared" si="10"/>
        <v/>
      </c>
      <c r="X13" s="413" t="str">
        <f t="shared" si="11"/>
        <v/>
      </c>
      <c r="Y13" s="409" t="str">
        <f t="shared" si="12"/>
        <v/>
      </c>
      <c r="Z13" s="39" t="str">
        <f t="shared" si="13"/>
        <v/>
      </c>
      <c r="AA13" s="10">
        <f t="shared" si="14"/>
        <v>0</v>
      </c>
      <c r="AB13" s="10"/>
      <c r="AC13" t="str">
        <f t="shared" si="15"/>
        <v>Yes</v>
      </c>
      <c r="AG13" s="83"/>
    </row>
    <row r="14" spans="1:33" ht="19.5" customHeight="1" x14ac:dyDescent="0.25">
      <c r="A14" s="38"/>
      <c r="B14" s="220">
        <v>7</v>
      </c>
      <c r="C14" s="9" t="s">
        <v>668</v>
      </c>
      <c r="D14" s="11" t="s">
        <v>124</v>
      </c>
      <c r="E14" s="11" t="str">
        <f t="shared" si="0"/>
        <v>Early Replacement</v>
      </c>
      <c r="F14" s="11"/>
      <c r="G14" s="12"/>
      <c r="H14" s="12"/>
      <c r="I14" s="12"/>
      <c r="J14" s="11"/>
      <c r="K14" s="11"/>
      <c r="L14" s="12"/>
      <c r="M14" s="15" t="str">
        <f t="shared" si="1"/>
        <v/>
      </c>
      <c r="N14" s="15" t="str">
        <f t="shared" si="2"/>
        <v/>
      </c>
      <c r="O14" s="15" t="str">
        <f t="shared" si="3"/>
        <v/>
      </c>
      <c r="P14" s="15" t="str">
        <f t="shared" si="4"/>
        <v/>
      </c>
      <c r="Q14" s="15" t="str">
        <f t="shared" si="5"/>
        <v/>
      </c>
      <c r="R14" s="15" t="str">
        <f t="shared" si="6"/>
        <v/>
      </c>
      <c r="S14" s="345" t="str">
        <f t="shared" si="7"/>
        <v/>
      </c>
      <c r="T14" s="345" t="str">
        <f t="shared" si="8"/>
        <v/>
      </c>
      <c r="U14" s="345" t="str">
        <f t="shared" si="9"/>
        <v/>
      </c>
      <c r="V14" s="21">
        <v>0.9</v>
      </c>
      <c r="W14" s="344" t="str">
        <f t="shared" si="10"/>
        <v/>
      </c>
      <c r="X14" s="413" t="str">
        <f t="shared" si="11"/>
        <v/>
      </c>
      <c r="Y14" s="409" t="str">
        <f t="shared" si="12"/>
        <v/>
      </c>
      <c r="Z14" s="39" t="str">
        <f t="shared" si="13"/>
        <v/>
      </c>
      <c r="AA14" s="10">
        <f t="shared" si="14"/>
        <v>0</v>
      </c>
      <c r="AB14" s="10"/>
      <c r="AC14" t="str">
        <f t="shared" si="15"/>
        <v>Yes</v>
      </c>
      <c r="AG14" s="83"/>
    </row>
    <row r="15" spans="1:33" ht="17.25" customHeight="1" x14ac:dyDescent="0.25">
      <c r="A15" s="38"/>
      <c r="B15" s="220">
        <v>8</v>
      </c>
      <c r="C15" s="9" t="s">
        <v>668</v>
      </c>
      <c r="D15" s="11" t="s">
        <v>124</v>
      </c>
      <c r="E15" s="11" t="str">
        <f t="shared" si="0"/>
        <v>Early Replacement</v>
      </c>
      <c r="F15" s="11"/>
      <c r="G15" s="12"/>
      <c r="H15" s="12"/>
      <c r="I15" s="12"/>
      <c r="J15" s="11"/>
      <c r="K15" s="11"/>
      <c r="L15" s="12"/>
      <c r="M15" s="15" t="str">
        <f t="shared" si="1"/>
        <v/>
      </c>
      <c r="N15" s="15" t="str">
        <f t="shared" si="2"/>
        <v/>
      </c>
      <c r="O15" s="15" t="str">
        <f t="shared" si="3"/>
        <v/>
      </c>
      <c r="P15" s="15" t="str">
        <f t="shared" si="4"/>
        <v/>
      </c>
      <c r="Q15" s="15" t="str">
        <f t="shared" si="5"/>
        <v/>
      </c>
      <c r="R15" s="15" t="str">
        <f t="shared" si="6"/>
        <v/>
      </c>
      <c r="S15" s="345" t="str">
        <f t="shared" si="7"/>
        <v/>
      </c>
      <c r="T15" s="345" t="str">
        <f t="shared" si="8"/>
        <v/>
      </c>
      <c r="U15" s="345" t="str">
        <f t="shared" si="9"/>
        <v/>
      </c>
      <c r="V15" s="21">
        <v>0.9</v>
      </c>
      <c r="W15" s="344" t="str">
        <f t="shared" si="10"/>
        <v/>
      </c>
      <c r="X15" s="413" t="str">
        <f t="shared" si="11"/>
        <v/>
      </c>
      <c r="Y15" s="409" t="str">
        <f t="shared" si="12"/>
        <v/>
      </c>
      <c r="Z15" s="39" t="str">
        <f t="shared" si="13"/>
        <v/>
      </c>
      <c r="AA15" s="10">
        <f t="shared" si="14"/>
        <v>0</v>
      </c>
      <c r="AB15" s="10"/>
      <c r="AC15" t="str">
        <f t="shared" si="15"/>
        <v>Yes</v>
      </c>
      <c r="AG15" s="83"/>
    </row>
    <row r="16" spans="1:33" hidden="1" x14ac:dyDescent="0.25">
      <c r="A16" s="27"/>
      <c r="L16" s="390">
        <f>SUM(L8:L15)</f>
        <v>0</v>
      </c>
      <c r="W16" s="390">
        <f>SUM(W8:W15)</f>
        <v>0</v>
      </c>
      <c r="X16" s="390">
        <f t="shared" ref="X16:Z16" si="16">SUM(X8:X15)</f>
        <v>0</v>
      </c>
      <c r="Y16" s="390">
        <f t="shared" si="16"/>
        <v>0</v>
      </c>
      <c r="Z16" s="390">
        <f t="shared" si="16"/>
        <v>0</v>
      </c>
      <c r="AG16" s="83"/>
    </row>
    <row r="17" spans="1:33" hidden="1" x14ac:dyDescent="0.25">
      <c r="A17" s="27"/>
      <c r="U17" s="1"/>
      <c r="AG17" s="83"/>
    </row>
    <row r="18" spans="1:33" hidden="1" x14ac:dyDescent="0.25">
      <c r="A18" s="27"/>
      <c r="C18" s="507" t="s">
        <v>117</v>
      </c>
      <c r="D18" s="508"/>
      <c r="E18" s="508"/>
      <c r="F18" s="508"/>
      <c r="G18" s="508"/>
      <c r="H18" s="508"/>
      <c r="I18" s="508"/>
      <c r="J18" s="508"/>
      <c r="K18" s="508"/>
      <c r="L18" s="508"/>
      <c r="M18" s="508"/>
      <c r="N18" s="508"/>
      <c r="O18" s="508"/>
      <c r="P18" s="508"/>
      <c r="Q18" s="508"/>
      <c r="R18" s="508"/>
      <c r="AG18" s="83"/>
    </row>
    <row r="19" spans="1:33" hidden="1" x14ac:dyDescent="0.25">
      <c r="A19" s="27"/>
      <c r="H19" s="135" t="s">
        <v>703</v>
      </c>
      <c r="I19" s="343">
        <v>44771</v>
      </c>
      <c r="J19" s="248"/>
      <c r="K19" s="248"/>
      <c r="L19" s="248"/>
      <c r="M19" s="248"/>
      <c r="N19" s="135" t="s">
        <v>119</v>
      </c>
      <c r="O19" s="248" t="s">
        <v>702</v>
      </c>
      <c r="P19" s="248"/>
      <c r="Q19" s="248"/>
      <c r="R19" s="249"/>
      <c r="AG19" s="83"/>
    </row>
    <row r="20" spans="1:33" hidden="1" x14ac:dyDescent="0.25">
      <c r="A20" s="27"/>
      <c r="C20" s="132" t="s">
        <v>83</v>
      </c>
      <c r="D20" s="132" t="s">
        <v>84</v>
      </c>
      <c r="I20" s="6" t="s">
        <v>701</v>
      </c>
      <c r="J20" s="6" t="s">
        <v>698</v>
      </c>
      <c r="K20" s="22" t="s">
        <v>697</v>
      </c>
      <c r="L20" s="22" t="s">
        <v>700</v>
      </c>
      <c r="M20" s="35"/>
      <c r="N20" s="222"/>
      <c r="O20" s="6" t="s">
        <v>699</v>
      </c>
      <c r="P20" s="6" t="s">
        <v>698</v>
      </c>
      <c r="Q20" s="22" t="s">
        <v>697</v>
      </c>
      <c r="R20" s="22" t="s">
        <v>696</v>
      </c>
      <c r="W20" s="342"/>
      <c r="AG20" s="83"/>
    </row>
    <row r="21" spans="1:33" hidden="1" x14ac:dyDescent="0.25">
      <c r="A21" s="27"/>
      <c r="C21" s="341" t="s">
        <v>124</v>
      </c>
      <c r="D21" s="341" t="s">
        <v>124</v>
      </c>
      <c r="H21" s="549" t="s">
        <v>685</v>
      </c>
      <c r="I21" s="550"/>
      <c r="J21" s="550"/>
      <c r="K21" s="550"/>
      <c r="L21" s="551"/>
      <c r="M21" s="35"/>
      <c r="N21" s="549" t="s">
        <v>685</v>
      </c>
      <c r="O21" s="550"/>
      <c r="P21" s="550"/>
      <c r="Q21" s="550"/>
      <c r="R21" s="551"/>
      <c r="AG21" s="83"/>
    </row>
    <row r="22" spans="1:33" hidden="1" x14ac:dyDescent="0.25">
      <c r="A22" s="27"/>
      <c r="C22" s="4" t="s">
        <v>129</v>
      </c>
      <c r="D22" s="4" t="s">
        <v>130</v>
      </c>
      <c r="H22" s="5" t="s">
        <v>681</v>
      </c>
      <c r="I22" s="6">
        <v>1.73</v>
      </c>
      <c r="J22" s="6">
        <v>75</v>
      </c>
      <c r="K22" s="22">
        <v>2</v>
      </c>
      <c r="L22" s="22">
        <v>0.5</v>
      </c>
      <c r="M22" s="35"/>
      <c r="N22" s="5" t="s">
        <v>681</v>
      </c>
      <c r="O22" s="6">
        <v>1.19</v>
      </c>
      <c r="P22" s="6">
        <v>75</v>
      </c>
      <c r="Q22" s="22">
        <v>2</v>
      </c>
      <c r="R22" s="22">
        <v>0.5</v>
      </c>
      <c r="AG22" s="83"/>
    </row>
    <row r="23" spans="1:33" hidden="1" x14ac:dyDescent="0.25">
      <c r="A23" s="27"/>
      <c r="H23" s="5" t="s">
        <v>680</v>
      </c>
      <c r="I23" s="6">
        <v>2.1</v>
      </c>
      <c r="J23" s="6">
        <v>280</v>
      </c>
      <c r="K23" s="22">
        <v>1.5</v>
      </c>
      <c r="L23" s="22">
        <v>0.6</v>
      </c>
      <c r="M23" s="35"/>
      <c r="N23" s="5" t="s">
        <v>680</v>
      </c>
      <c r="O23" s="6">
        <v>1.18</v>
      </c>
      <c r="P23" s="6">
        <v>280</v>
      </c>
      <c r="Q23" s="22">
        <v>1.5</v>
      </c>
      <c r="R23" s="22">
        <v>0.6</v>
      </c>
      <c r="AG23" s="83"/>
    </row>
    <row r="24" spans="1:33" hidden="1" x14ac:dyDescent="0.25">
      <c r="A24" s="27"/>
      <c r="C24" s="131" t="s">
        <v>135</v>
      </c>
      <c r="H24" s="5" t="s">
        <v>679</v>
      </c>
      <c r="I24" s="6">
        <v>1.31</v>
      </c>
      <c r="J24" s="6">
        <v>400</v>
      </c>
      <c r="K24" s="22">
        <v>0.3</v>
      </c>
      <c r="L24" s="22">
        <v>1.6</v>
      </c>
      <c r="M24" s="35"/>
      <c r="N24" s="5" t="s">
        <v>679</v>
      </c>
      <c r="O24" s="6">
        <v>0.79</v>
      </c>
      <c r="P24" s="6">
        <v>400</v>
      </c>
      <c r="Q24" s="22">
        <v>0.3</v>
      </c>
      <c r="R24" s="22">
        <v>1.5</v>
      </c>
      <c r="AG24" s="83"/>
    </row>
    <row r="25" spans="1:33" hidden="1" x14ac:dyDescent="0.25">
      <c r="A25" s="27"/>
      <c r="C25" s="8">
        <v>365</v>
      </c>
      <c r="H25" s="5" t="s">
        <v>678</v>
      </c>
      <c r="I25" s="6">
        <v>1.04</v>
      </c>
      <c r="J25" s="6">
        <v>600</v>
      </c>
      <c r="K25" s="22">
        <v>0.3</v>
      </c>
      <c r="L25" s="22">
        <v>2</v>
      </c>
      <c r="M25" s="35"/>
      <c r="N25" s="5" t="s">
        <v>678</v>
      </c>
      <c r="O25" s="6">
        <v>0.54</v>
      </c>
      <c r="P25" s="6">
        <v>600</v>
      </c>
      <c r="Q25" s="22">
        <v>0.3</v>
      </c>
      <c r="R25" s="22">
        <v>2</v>
      </c>
      <c r="AG25" s="83"/>
    </row>
    <row r="26" spans="1:33" hidden="1" x14ac:dyDescent="0.25">
      <c r="A26" s="27"/>
      <c r="H26" s="549" t="s">
        <v>682</v>
      </c>
      <c r="I26" s="550"/>
      <c r="J26" s="550"/>
      <c r="K26" s="550"/>
      <c r="L26" s="551"/>
      <c r="M26" s="35"/>
      <c r="N26" s="549" t="s">
        <v>682</v>
      </c>
      <c r="O26" s="550"/>
      <c r="P26" s="550"/>
      <c r="Q26" s="550"/>
      <c r="R26" s="551"/>
      <c r="AG26" s="83"/>
    </row>
    <row r="27" spans="1:33" ht="15.75" hidden="1" thickBot="1" x14ac:dyDescent="0.3">
      <c r="A27" s="27"/>
      <c r="C27" s="340" t="s">
        <v>695</v>
      </c>
      <c r="H27" s="5" t="s">
        <v>681</v>
      </c>
      <c r="I27" s="6">
        <v>1.0900000000000001</v>
      </c>
      <c r="J27" s="6">
        <v>75</v>
      </c>
      <c r="K27" s="22">
        <v>2</v>
      </c>
      <c r="L27" s="22">
        <v>0.76</v>
      </c>
      <c r="M27" s="35"/>
      <c r="N27" s="5" t="s">
        <v>681</v>
      </c>
      <c r="O27" s="6">
        <v>0.86</v>
      </c>
      <c r="P27" s="6">
        <v>75</v>
      </c>
      <c r="Q27" s="22">
        <v>2</v>
      </c>
      <c r="R27" s="22">
        <v>0.5</v>
      </c>
      <c r="AG27" s="83"/>
    </row>
    <row r="28" spans="1:33" hidden="1" x14ac:dyDescent="0.25">
      <c r="A28" s="27"/>
      <c r="C28" s="339" t="s">
        <v>694</v>
      </c>
      <c r="D28" s="338"/>
      <c r="E28" s="337"/>
      <c r="H28" s="5" t="s">
        <v>680</v>
      </c>
      <c r="I28" s="6">
        <v>1.29</v>
      </c>
      <c r="J28" s="6">
        <v>280</v>
      </c>
      <c r="K28" s="22">
        <v>1</v>
      </c>
      <c r="L28" s="22">
        <v>0.87</v>
      </c>
      <c r="M28" s="35"/>
      <c r="N28" s="5" t="s">
        <v>680</v>
      </c>
      <c r="O28" s="6">
        <v>0.89</v>
      </c>
      <c r="P28" s="6">
        <v>280</v>
      </c>
      <c r="Q28" s="22">
        <v>1</v>
      </c>
      <c r="R28" s="22">
        <v>0.7</v>
      </c>
      <c r="AG28" s="83"/>
    </row>
    <row r="29" spans="1:33" hidden="1" x14ac:dyDescent="0.25">
      <c r="A29" s="27"/>
      <c r="C29" s="336" t="s">
        <v>681</v>
      </c>
      <c r="D29" s="76">
        <f>125*'Project Summary'!M12</f>
        <v>62.5</v>
      </c>
      <c r="E29" s="328" t="s">
        <v>684</v>
      </c>
      <c r="H29" s="5" t="s">
        <v>679</v>
      </c>
      <c r="I29" s="6">
        <v>0.87</v>
      </c>
      <c r="J29" s="6">
        <v>400</v>
      </c>
      <c r="K29" s="22">
        <v>0.3</v>
      </c>
      <c r="L29" s="22">
        <v>1.93</v>
      </c>
      <c r="M29" s="35"/>
      <c r="N29" s="5" t="s">
        <v>679</v>
      </c>
      <c r="O29" s="6">
        <v>0.7</v>
      </c>
      <c r="P29" s="6">
        <v>400</v>
      </c>
      <c r="Q29" s="22">
        <v>0.3</v>
      </c>
      <c r="R29" s="22">
        <v>1.5</v>
      </c>
      <c r="AG29" s="83"/>
    </row>
    <row r="30" spans="1:33" hidden="1" x14ac:dyDescent="0.25">
      <c r="A30" s="27"/>
      <c r="C30" s="329" t="s">
        <v>680</v>
      </c>
      <c r="D30" s="76">
        <f>200*'Project Summary'!M12</f>
        <v>100</v>
      </c>
      <c r="E30" s="328" t="s">
        <v>684</v>
      </c>
      <c r="H30" s="5" t="s">
        <v>678</v>
      </c>
      <c r="I30" s="105">
        <v>0.97</v>
      </c>
      <c r="J30" s="6">
        <v>600</v>
      </c>
      <c r="K30" s="105">
        <v>0.2</v>
      </c>
      <c r="L30" s="105">
        <v>2.59</v>
      </c>
      <c r="M30" s="35"/>
      <c r="N30" s="5" t="s">
        <v>678</v>
      </c>
      <c r="O30" s="105">
        <v>0.54</v>
      </c>
      <c r="P30" s="6">
        <v>600</v>
      </c>
      <c r="Q30" s="105">
        <v>0.2</v>
      </c>
      <c r="R30" s="105">
        <v>2.25</v>
      </c>
      <c r="AG30" s="83"/>
    </row>
    <row r="31" spans="1:33" hidden="1" x14ac:dyDescent="0.25">
      <c r="A31" s="27"/>
      <c r="C31" s="329" t="s">
        <v>679</v>
      </c>
      <c r="D31" s="76">
        <f>300*'Project Summary'!M12</f>
        <v>150</v>
      </c>
      <c r="E31" s="328" t="s">
        <v>684</v>
      </c>
      <c r="H31" s="5" t="s">
        <v>677</v>
      </c>
      <c r="I31" s="6">
        <v>0.7</v>
      </c>
      <c r="J31" s="6">
        <v>280</v>
      </c>
      <c r="K31" s="22">
        <v>3</v>
      </c>
      <c r="L31" s="22">
        <v>1.2</v>
      </c>
      <c r="M31" s="35"/>
      <c r="N31" s="335" t="s">
        <v>677</v>
      </c>
      <c r="O31" s="6">
        <v>0.57999999999999996</v>
      </c>
      <c r="P31" s="6">
        <v>280</v>
      </c>
      <c r="Q31" s="22">
        <v>3</v>
      </c>
      <c r="R31" s="22">
        <v>1.2</v>
      </c>
      <c r="AG31" s="83"/>
    </row>
    <row r="32" spans="1:33" hidden="1" x14ac:dyDescent="0.25">
      <c r="A32" s="27"/>
      <c r="C32" s="329" t="s">
        <v>678</v>
      </c>
      <c r="D32" s="76">
        <f>500*'Project Summary'!M12</f>
        <v>250</v>
      </c>
      <c r="E32" s="328" t="s">
        <v>684</v>
      </c>
      <c r="S32" s="219"/>
      <c r="T32" s="33"/>
      <c r="U32" s="33"/>
      <c r="V32" s="126"/>
      <c r="W32" s="126"/>
      <c r="X32" s="126"/>
      <c r="Y32" s="126"/>
      <c r="Z32" s="126"/>
      <c r="AA32" s="126"/>
      <c r="AB32" s="126"/>
      <c r="AC32" s="126"/>
      <c r="AG32" s="83"/>
    </row>
    <row r="33" spans="1:33" ht="15.75" hidden="1" thickBot="1" x14ac:dyDescent="0.3">
      <c r="A33" s="27"/>
      <c r="C33" s="329" t="s">
        <v>677</v>
      </c>
      <c r="D33" s="334">
        <v>0</v>
      </c>
      <c r="E33" s="328" t="s">
        <v>684</v>
      </c>
      <c r="H33" s="219" t="s">
        <v>693</v>
      </c>
      <c r="I33" s="33"/>
      <c r="J33" s="33"/>
      <c r="K33" s="35"/>
      <c r="L33" s="35"/>
      <c r="M33" s="35"/>
      <c r="N33" s="35"/>
      <c r="O33" s="35"/>
      <c r="P33" s="35"/>
      <c r="Q33" s="35"/>
      <c r="R33" s="35"/>
      <c r="S33" s="219"/>
      <c r="T33" s="33"/>
      <c r="U33" s="33"/>
      <c r="V33" s="126"/>
      <c r="W33" s="126"/>
      <c r="X33" s="126"/>
      <c r="Y33" s="126"/>
      <c r="Z33" s="126"/>
      <c r="AA33" s="126"/>
      <c r="AB33" s="126"/>
      <c r="AC33" s="126"/>
      <c r="AG33" s="83"/>
    </row>
    <row r="34" spans="1:33" ht="21" hidden="1" customHeight="1" thickBot="1" x14ac:dyDescent="0.3">
      <c r="A34" s="27"/>
      <c r="C34" s="333" t="s">
        <v>692</v>
      </c>
      <c r="D34" s="247"/>
      <c r="E34" s="332"/>
      <c r="H34" s="331" t="s">
        <v>271</v>
      </c>
      <c r="I34" s="330" t="s">
        <v>691</v>
      </c>
      <c r="J34" s="330" t="s">
        <v>690</v>
      </c>
      <c r="K34" s="330" t="s">
        <v>689</v>
      </c>
      <c r="L34" s="330" t="s">
        <v>688</v>
      </c>
      <c r="M34" s="330" t="s">
        <v>687</v>
      </c>
      <c r="N34" s="323" t="s">
        <v>686</v>
      </c>
      <c r="O34" s="35"/>
      <c r="P34" s="35"/>
      <c r="Q34" s="35"/>
      <c r="R34" s="35"/>
      <c r="S34" s="219"/>
      <c r="T34" s="33"/>
      <c r="U34" s="33"/>
      <c r="V34" s="126"/>
      <c r="W34" s="126"/>
      <c r="X34" s="126"/>
      <c r="Y34" s="126"/>
      <c r="Z34" s="126"/>
      <c r="AA34" s="126"/>
      <c r="AB34" s="126"/>
      <c r="AC34" s="126"/>
      <c r="AG34" s="83"/>
    </row>
    <row r="35" spans="1:33" ht="15.75" hidden="1" thickBot="1" x14ac:dyDescent="0.3">
      <c r="A35" s="27"/>
      <c r="C35" s="329" t="s">
        <v>681</v>
      </c>
      <c r="D35" s="76">
        <f>75*'Project Summary'!M12</f>
        <v>37.5</v>
      </c>
      <c r="E35" s="328" t="s">
        <v>684</v>
      </c>
      <c r="H35" s="546" t="s">
        <v>685</v>
      </c>
      <c r="I35" s="547"/>
      <c r="J35" s="547"/>
      <c r="K35" s="547"/>
      <c r="L35" s="547"/>
      <c r="M35" s="548"/>
      <c r="N35" s="323"/>
      <c r="O35" s="35"/>
      <c r="P35" s="35"/>
      <c r="Q35" s="35"/>
      <c r="R35" s="35"/>
      <c r="S35" s="219"/>
      <c r="T35" s="33"/>
      <c r="U35" s="33"/>
      <c r="V35" s="126"/>
      <c r="W35" s="126"/>
      <c r="X35" s="126"/>
      <c r="Y35" s="126"/>
      <c r="Z35" s="126"/>
      <c r="AA35" s="126"/>
      <c r="AB35" s="126"/>
      <c r="AC35" s="126"/>
      <c r="AG35" s="83"/>
    </row>
    <row r="36" spans="1:33" ht="15.75" hidden="1" thickBot="1" x14ac:dyDescent="0.3">
      <c r="A36" s="27"/>
      <c r="C36" s="329" t="s">
        <v>680</v>
      </c>
      <c r="D36" s="76">
        <f>150*'Project Summary'!M12</f>
        <v>75</v>
      </c>
      <c r="E36" s="328" t="s">
        <v>684</v>
      </c>
      <c r="H36" s="322" t="s">
        <v>681</v>
      </c>
      <c r="I36" s="320">
        <v>2540</v>
      </c>
      <c r="J36" s="321" t="s">
        <v>683</v>
      </c>
      <c r="K36" s="321">
        <v>0</v>
      </c>
      <c r="L36" s="320">
        <v>2540</v>
      </c>
      <c r="M36" s="319">
        <v>0.35</v>
      </c>
      <c r="N36" s="324">
        <v>0.22488904706051471</v>
      </c>
      <c r="O36" s="35"/>
      <c r="P36" s="35"/>
      <c r="Q36" s="35"/>
      <c r="R36" s="35"/>
      <c r="S36" s="219"/>
      <c r="T36" s="33"/>
      <c r="U36" s="33"/>
      <c r="V36" s="126"/>
      <c r="W36" s="126"/>
      <c r="X36" s="126"/>
      <c r="Y36" s="126"/>
      <c r="Z36" s="126"/>
      <c r="AA36" s="126"/>
      <c r="AB36" s="126"/>
      <c r="AC36" s="126"/>
      <c r="AG36" s="83"/>
    </row>
    <row r="37" spans="1:33" ht="15.75" hidden="1" thickBot="1" x14ac:dyDescent="0.3">
      <c r="A37" s="27"/>
      <c r="C37" s="329" t="s">
        <v>679</v>
      </c>
      <c r="D37" s="76">
        <f>150*'Project Summary'!M12</f>
        <v>75</v>
      </c>
      <c r="E37" s="328" t="s">
        <v>684</v>
      </c>
      <c r="H37" s="322" t="s">
        <v>680</v>
      </c>
      <c r="I37" s="320">
        <v>16153</v>
      </c>
      <c r="J37" s="321" t="s">
        <v>683</v>
      </c>
      <c r="K37" s="321">
        <v>0</v>
      </c>
      <c r="L37" s="320">
        <v>16153</v>
      </c>
      <c r="M37" s="319">
        <v>2.21</v>
      </c>
      <c r="N37" s="324">
        <v>-1.2239155920324265</v>
      </c>
      <c r="O37" s="35"/>
      <c r="P37" s="35"/>
      <c r="Q37" s="35"/>
      <c r="R37" s="35"/>
      <c r="S37" s="219"/>
      <c r="T37" s="33"/>
      <c r="U37" s="33"/>
      <c r="V37" s="126"/>
      <c r="W37" s="126"/>
      <c r="X37" s="126"/>
      <c r="Y37" s="126"/>
      <c r="Z37" s="126"/>
      <c r="AA37" s="126"/>
      <c r="AB37" s="126"/>
      <c r="AC37" s="126"/>
      <c r="AG37" s="83"/>
    </row>
    <row r="38" spans="1:33" ht="15.75" hidden="1" thickBot="1" x14ac:dyDescent="0.3">
      <c r="A38" s="27"/>
      <c r="C38" s="327" t="s">
        <v>678</v>
      </c>
      <c r="D38" s="326">
        <f>250*'Project Summary'!M12</f>
        <v>125</v>
      </c>
      <c r="E38" s="325" t="s">
        <v>684</v>
      </c>
      <c r="H38" s="322" t="s">
        <v>679</v>
      </c>
      <c r="I38" s="320">
        <v>13042</v>
      </c>
      <c r="J38" s="321" t="s">
        <v>683</v>
      </c>
      <c r="K38" s="321">
        <v>584</v>
      </c>
      <c r="L38" s="320">
        <v>13626</v>
      </c>
      <c r="M38" s="319">
        <v>1.87</v>
      </c>
      <c r="N38" s="324">
        <v>-1.7832858817619126</v>
      </c>
      <c r="O38" s="35"/>
      <c r="P38" s="35"/>
      <c r="Q38" s="35"/>
      <c r="R38" s="35"/>
      <c r="S38" s="219"/>
      <c r="T38" s="33"/>
      <c r="U38" s="33"/>
      <c r="V38" s="126"/>
      <c r="W38" s="126"/>
      <c r="X38" s="126"/>
      <c r="Y38" s="126"/>
      <c r="Z38" s="126"/>
      <c r="AA38" s="126"/>
      <c r="AB38" s="126"/>
      <c r="AC38" s="126"/>
      <c r="AG38" s="83"/>
    </row>
    <row r="39" spans="1:33" ht="15.75" hidden="1" thickBot="1" x14ac:dyDescent="0.3">
      <c r="A39" s="27"/>
      <c r="H39" s="322" t="s">
        <v>678</v>
      </c>
      <c r="I39" s="320">
        <v>18811</v>
      </c>
      <c r="J39" s="321" t="s">
        <v>683</v>
      </c>
      <c r="K39" s="321">
        <v>0</v>
      </c>
      <c r="L39" s="320">
        <v>18811</v>
      </c>
      <c r="M39" s="319">
        <v>2.58</v>
      </c>
      <c r="N39" s="324">
        <v>-2.1489700217716745</v>
      </c>
      <c r="O39" s="35"/>
      <c r="P39" s="35"/>
      <c r="Q39" s="35"/>
      <c r="R39" s="35"/>
      <c r="S39" s="219"/>
      <c r="T39" s="33"/>
      <c r="U39" s="33"/>
      <c r="V39" s="126"/>
      <c r="W39" s="126"/>
      <c r="X39" s="126"/>
      <c r="Y39" s="126"/>
      <c r="Z39" s="126"/>
      <c r="AA39" s="126"/>
      <c r="AB39" s="126"/>
      <c r="AC39" s="126"/>
      <c r="AG39" s="83"/>
    </row>
    <row r="40" spans="1:33" ht="15.75" hidden="1" thickBot="1" x14ac:dyDescent="0.3">
      <c r="A40" s="27"/>
      <c r="C40" s="13" t="s">
        <v>146</v>
      </c>
      <c r="H40" s="546" t="s">
        <v>682</v>
      </c>
      <c r="I40" s="547"/>
      <c r="J40" s="547"/>
      <c r="K40" s="547"/>
      <c r="L40" s="547"/>
      <c r="M40" s="548"/>
      <c r="N40" s="323"/>
      <c r="O40" s="35"/>
      <c r="P40" s="35"/>
      <c r="Q40" s="35"/>
      <c r="R40" s="35"/>
      <c r="S40" s="219"/>
      <c r="T40" s="33"/>
      <c r="U40" s="33"/>
      <c r="V40" s="126"/>
      <c r="W40" s="126"/>
      <c r="X40" s="126"/>
      <c r="Y40" s="126"/>
      <c r="Z40" s="126"/>
      <c r="AA40" s="126"/>
      <c r="AB40" s="126"/>
      <c r="AC40" s="126"/>
      <c r="AG40" s="83"/>
    </row>
    <row r="41" spans="1:33" ht="15.75" hidden="1" thickBot="1" x14ac:dyDescent="0.3">
      <c r="A41" s="27"/>
      <c r="C41" s="5">
        <v>10</v>
      </c>
      <c r="H41" s="322" t="s">
        <v>681</v>
      </c>
      <c r="I41" s="320">
        <v>1082</v>
      </c>
      <c r="J41" s="321">
        <v>618</v>
      </c>
      <c r="K41" s="320">
        <v>1471</v>
      </c>
      <c r="L41" s="320">
        <v>3171</v>
      </c>
      <c r="M41" s="319">
        <v>0.43</v>
      </c>
      <c r="N41" s="318">
        <v>0.14761092303206169</v>
      </c>
      <c r="O41" s="139"/>
      <c r="P41" s="139"/>
      <c r="Q41" s="139"/>
      <c r="R41" s="139"/>
      <c r="S41" s="139"/>
      <c r="T41" s="139"/>
      <c r="U41" s="139"/>
      <c r="V41" s="139"/>
      <c r="W41" s="139"/>
      <c r="X41" s="139"/>
      <c r="Y41" s="139"/>
      <c r="Z41" s="139"/>
      <c r="AA41" s="139"/>
      <c r="AB41" s="139"/>
      <c r="AC41" s="139"/>
      <c r="AG41" s="83"/>
    </row>
    <row r="42" spans="1:33" ht="15.75" hidden="1" thickBot="1" x14ac:dyDescent="0.3">
      <c r="A42" s="27"/>
      <c r="C42" s="34"/>
      <c r="H42" s="322" t="s">
        <v>680</v>
      </c>
      <c r="I42" s="320">
        <v>7023</v>
      </c>
      <c r="J42" s="320">
        <v>4013</v>
      </c>
      <c r="K42" s="321">
        <v>827</v>
      </c>
      <c r="L42" s="320">
        <v>11863</v>
      </c>
      <c r="M42" s="319">
        <v>1.63</v>
      </c>
      <c r="N42" s="318">
        <v>-1.3807290794411529</v>
      </c>
      <c r="O42" s="229"/>
      <c r="P42" s="229"/>
      <c r="Q42" s="229"/>
      <c r="R42" s="229"/>
      <c r="S42" s="124"/>
      <c r="T42" s="229"/>
      <c r="U42" s="124"/>
      <c r="V42" s="229"/>
      <c r="W42" s="229"/>
      <c r="X42" s="229"/>
      <c r="Y42" s="229"/>
      <c r="Z42" s="229"/>
      <c r="AA42" s="229"/>
      <c r="AB42" s="229"/>
      <c r="AC42" s="229"/>
      <c r="AG42" s="83"/>
    </row>
    <row r="43" spans="1:33" ht="15.75" hidden="1" thickBot="1" x14ac:dyDescent="0.3">
      <c r="A43" s="27"/>
      <c r="C43" s="223" t="s">
        <v>150</v>
      </c>
      <c r="H43" s="322" t="s">
        <v>679</v>
      </c>
      <c r="I43" s="320">
        <v>4264</v>
      </c>
      <c r="J43" s="320">
        <v>2436</v>
      </c>
      <c r="K43" s="320">
        <v>2511</v>
      </c>
      <c r="L43" s="320">
        <v>9212</v>
      </c>
      <c r="M43" s="319">
        <v>1.26</v>
      </c>
      <c r="N43" s="318">
        <v>-0.26449027442140505</v>
      </c>
      <c r="O43" s="35"/>
      <c r="P43" s="35"/>
      <c r="Q43" s="35"/>
      <c r="R43" s="35"/>
      <c r="S43" s="219"/>
      <c r="T43" s="33"/>
      <c r="U43" s="33"/>
      <c r="V43" s="126"/>
      <c r="W43" s="126"/>
      <c r="X43" s="126"/>
      <c r="Y43" s="126"/>
      <c r="Z43" s="126"/>
      <c r="AA43" s="126"/>
      <c r="AB43" s="126"/>
      <c r="AC43" s="126"/>
      <c r="AG43" s="83"/>
    </row>
    <row r="44" spans="1:33" ht="15.75" hidden="1" thickBot="1" x14ac:dyDescent="0.3">
      <c r="A44" s="27"/>
      <c r="C44" s="22"/>
      <c r="H44" s="322" t="s">
        <v>678</v>
      </c>
      <c r="I44" s="320">
        <v>16178</v>
      </c>
      <c r="J44" s="320">
        <v>9244</v>
      </c>
      <c r="K44" s="320">
        <v>1986</v>
      </c>
      <c r="L44" s="320">
        <v>27408</v>
      </c>
      <c r="M44" s="319">
        <v>3.75</v>
      </c>
      <c r="N44" s="318">
        <v>-2.227036629417853</v>
      </c>
      <c r="O44" s="35"/>
      <c r="P44" s="35"/>
      <c r="Q44" s="35"/>
      <c r="R44" s="35"/>
      <c r="S44" s="219"/>
      <c r="T44" s="33"/>
      <c r="U44" s="33"/>
      <c r="V44" s="126"/>
      <c r="W44" s="126"/>
      <c r="X44" s="126"/>
      <c r="Y44" s="126"/>
      <c r="Z44" s="126"/>
      <c r="AA44" s="126"/>
      <c r="AB44" s="126"/>
      <c r="AC44" s="126"/>
      <c r="AG44" s="83"/>
    </row>
    <row r="45" spans="1:33" ht="15.75" hidden="1" thickBot="1" x14ac:dyDescent="0.3">
      <c r="A45" s="27"/>
      <c r="C45" s="34"/>
      <c r="H45" s="322" t="s">
        <v>677</v>
      </c>
      <c r="I45" s="320">
        <v>2107</v>
      </c>
      <c r="J45" s="320">
        <v>1204</v>
      </c>
      <c r="K45" s="321">
        <v>0</v>
      </c>
      <c r="L45" s="320">
        <v>3311</v>
      </c>
      <c r="M45" s="319">
        <v>0.45</v>
      </c>
      <c r="N45" s="318">
        <v>-0.11421872383198206</v>
      </c>
      <c r="O45" s="35"/>
      <c r="P45" s="35"/>
      <c r="Q45" s="35"/>
      <c r="R45" s="35"/>
      <c r="S45" s="219"/>
      <c r="T45" s="33"/>
      <c r="U45" s="33"/>
      <c r="V45" s="126"/>
      <c r="W45" s="126"/>
      <c r="X45" s="126"/>
      <c r="Y45" s="126"/>
      <c r="Z45" s="126"/>
      <c r="AA45" s="126"/>
      <c r="AB45" s="126"/>
      <c r="AC45" s="126"/>
      <c r="AG45" s="83"/>
    </row>
    <row r="46" spans="1:33" hidden="1" x14ac:dyDescent="0.25">
      <c r="A46" s="27"/>
      <c r="C46" s="34"/>
      <c r="H46" s="219"/>
      <c r="I46" s="33"/>
      <c r="J46" s="33"/>
      <c r="K46" s="35"/>
      <c r="L46" s="35"/>
      <c r="M46" s="35"/>
      <c r="N46" s="35"/>
      <c r="O46" s="35"/>
      <c r="P46" s="35"/>
      <c r="Q46" s="35"/>
      <c r="R46" s="35"/>
      <c r="S46" s="219"/>
      <c r="T46" s="33"/>
      <c r="U46" s="33"/>
      <c r="V46" s="126"/>
      <c r="W46" s="126"/>
      <c r="X46" s="126"/>
      <c r="Y46" s="126"/>
      <c r="Z46" s="126"/>
      <c r="AA46" s="126"/>
      <c r="AB46" s="126"/>
      <c r="AC46" s="126"/>
      <c r="AG46" s="83"/>
    </row>
    <row r="47" spans="1:33" hidden="1" x14ac:dyDescent="0.25">
      <c r="A47" s="27"/>
      <c r="C47" s="317" t="s">
        <v>676</v>
      </c>
      <c r="H47" s="219"/>
      <c r="I47" s="33"/>
      <c r="J47" s="33"/>
      <c r="K47" s="35"/>
      <c r="L47" s="35"/>
      <c r="M47" s="35"/>
      <c r="N47" s="35"/>
      <c r="O47" s="35"/>
      <c r="P47" s="35"/>
      <c r="Q47" s="35"/>
      <c r="R47" s="35"/>
      <c r="S47" s="219"/>
      <c r="T47" s="33"/>
      <c r="U47" s="33"/>
      <c r="V47" s="126"/>
      <c r="W47" s="126"/>
      <c r="X47" s="126"/>
      <c r="Y47" s="126"/>
      <c r="Z47" s="126"/>
      <c r="AA47" s="126"/>
      <c r="AB47" s="126"/>
      <c r="AC47" s="126"/>
      <c r="AG47" s="83"/>
    </row>
    <row r="48" spans="1:33" hidden="1" x14ac:dyDescent="0.25">
      <c r="A48" s="27"/>
      <c r="C48" t="s">
        <v>675</v>
      </c>
      <c r="H48" s="219"/>
      <c r="I48" s="33"/>
      <c r="J48" s="33"/>
      <c r="K48" s="35"/>
      <c r="L48" s="35"/>
      <c r="M48" s="35"/>
      <c r="N48" s="35"/>
      <c r="O48" s="35"/>
      <c r="P48" s="35"/>
      <c r="Q48" s="35"/>
      <c r="R48" s="35"/>
      <c r="S48" s="219"/>
      <c r="T48" s="33"/>
      <c r="U48" s="33"/>
      <c r="V48" s="126"/>
      <c r="W48" s="126"/>
      <c r="X48" s="126"/>
      <c r="Y48" s="126"/>
      <c r="Z48" s="126"/>
      <c r="AA48" s="126"/>
      <c r="AB48" s="126"/>
      <c r="AC48" s="126"/>
      <c r="AG48" s="83"/>
    </row>
    <row r="49" spans="1:33" hidden="1" x14ac:dyDescent="0.25">
      <c r="A49" s="27"/>
      <c r="C49" t="s">
        <v>674</v>
      </c>
      <c r="H49" s="219"/>
      <c r="I49" s="33"/>
      <c r="J49" s="33"/>
      <c r="K49" s="35"/>
      <c r="L49" s="35"/>
      <c r="M49" s="35"/>
      <c r="N49" s="35"/>
      <c r="O49" s="35"/>
      <c r="P49" s="35"/>
      <c r="Q49" s="35"/>
      <c r="R49" s="35"/>
      <c r="S49" s="219"/>
      <c r="T49" s="33"/>
      <c r="U49" s="33"/>
      <c r="V49" s="126"/>
      <c r="W49" s="126"/>
      <c r="X49" s="126"/>
      <c r="Y49" s="126"/>
      <c r="Z49" s="126"/>
      <c r="AA49" s="126"/>
      <c r="AB49" s="126"/>
      <c r="AC49" s="126"/>
      <c r="AG49" s="83"/>
    </row>
    <row r="50" spans="1:33" hidden="1" x14ac:dyDescent="0.25">
      <c r="A50" s="27"/>
      <c r="C50" s="316" t="s">
        <v>673</v>
      </c>
      <c r="H50" s="219"/>
      <c r="I50" s="33"/>
      <c r="J50" s="33"/>
      <c r="K50" s="35"/>
      <c r="L50" s="35"/>
      <c r="M50" s="35"/>
      <c r="N50" s="35"/>
      <c r="O50" s="35"/>
      <c r="P50" s="35"/>
      <c r="Q50" s="35"/>
      <c r="R50" s="35"/>
      <c r="S50" s="219"/>
      <c r="T50" s="33"/>
      <c r="U50" s="33"/>
      <c r="V50" s="126"/>
      <c r="W50" s="126"/>
      <c r="X50" s="126"/>
      <c r="Y50" s="126"/>
      <c r="Z50" s="126"/>
      <c r="AA50" s="126"/>
      <c r="AB50" s="126"/>
      <c r="AC50" s="126"/>
      <c r="AG50" s="83"/>
    </row>
    <row r="51" spans="1:33" s="82" customFormat="1" hidden="1" x14ac:dyDescent="0.25">
      <c r="A51" s="27"/>
      <c r="B51"/>
      <c r="C51" s="34" t="s">
        <v>672</v>
      </c>
      <c r="D51"/>
      <c r="E51"/>
      <c r="F51"/>
      <c r="G51"/>
      <c r="H51"/>
      <c r="I51"/>
      <c r="J51"/>
      <c r="K51"/>
      <c r="L51"/>
      <c r="M51"/>
      <c r="N51"/>
      <c r="O51"/>
      <c r="P51"/>
      <c r="Q51"/>
      <c r="R51"/>
      <c r="S51"/>
      <c r="T51"/>
      <c r="U51"/>
      <c r="V51"/>
      <c r="W51"/>
      <c r="X51"/>
      <c r="Y51"/>
      <c r="Z51"/>
      <c r="AA51"/>
      <c r="AB51"/>
      <c r="AC51"/>
      <c r="AD51"/>
      <c r="AE51"/>
      <c r="AF51"/>
      <c r="AG51" s="83"/>
    </row>
    <row r="52" spans="1:33" s="82" customFormat="1" hidden="1" x14ac:dyDescent="0.25">
      <c r="A52" s="27"/>
      <c r="B52"/>
      <c r="C52" s="316" t="s">
        <v>671</v>
      </c>
      <c r="D52"/>
      <c r="E52"/>
      <c r="F52"/>
      <c r="G52"/>
      <c r="H52"/>
      <c r="I52"/>
      <c r="J52"/>
      <c r="K52"/>
      <c r="L52"/>
      <c r="M52"/>
      <c r="N52"/>
      <c r="O52"/>
      <c r="P52"/>
      <c r="Q52"/>
      <c r="R52"/>
      <c r="S52"/>
      <c r="T52"/>
      <c r="U52"/>
      <c r="V52"/>
      <c r="W52"/>
      <c r="X52"/>
      <c r="Y52"/>
      <c r="Z52"/>
      <c r="AA52"/>
      <c r="AB52"/>
      <c r="AC52"/>
      <c r="AD52"/>
      <c r="AE52"/>
      <c r="AF52"/>
      <c r="AG52" s="83"/>
    </row>
    <row r="53" spans="1:33" s="82" customFormat="1" hidden="1" x14ac:dyDescent="0.25">
      <c r="A53" s="27"/>
      <c r="B53"/>
      <c r="C53" s="316" t="s">
        <v>670</v>
      </c>
      <c r="D53"/>
      <c r="E53"/>
      <c r="F53"/>
      <c r="G53"/>
      <c r="H53"/>
      <c r="I53"/>
      <c r="J53"/>
      <c r="K53"/>
      <c r="L53"/>
      <c r="M53"/>
      <c r="N53"/>
      <c r="O53"/>
      <c r="P53"/>
      <c r="Q53"/>
      <c r="R53"/>
      <c r="S53"/>
      <c r="T53"/>
      <c r="U53"/>
      <c r="V53"/>
      <c r="W53"/>
      <c r="X53"/>
      <c r="Y53"/>
      <c r="Z53"/>
      <c r="AA53"/>
      <c r="AB53"/>
      <c r="AC53"/>
      <c r="AD53"/>
      <c r="AE53"/>
      <c r="AF53"/>
      <c r="AG53" s="83"/>
    </row>
    <row r="54" spans="1:33" s="82" customFormat="1" hidden="1" x14ac:dyDescent="0.25">
      <c r="A54" s="27"/>
      <c r="B54"/>
      <c r="C54" s="316" t="s">
        <v>669</v>
      </c>
      <c r="D54"/>
      <c r="E54"/>
      <c r="F54"/>
      <c r="G54"/>
      <c r="H54"/>
      <c r="I54"/>
      <c r="J54"/>
      <c r="K54"/>
      <c r="L54"/>
      <c r="M54"/>
      <c r="N54"/>
      <c r="O54"/>
      <c r="P54"/>
      <c r="Q54"/>
      <c r="R54"/>
      <c r="S54"/>
      <c r="T54"/>
      <c r="U54"/>
      <c r="V54"/>
      <c r="W54"/>
      <c r="X54"/>
      <c r="Y54"/>
      <c r="Z54"/>
      <c r="AA54"/>
      <c r="AB54"/>
      <c r="AC54"/>
      <c r="AD54"/>
      <c r="AE54"/>
      <c r="AF54"/>
      <c r="AG54" s="83"/>
    </row>
    <row r="55" spans="1:33" s="82" customFormat="1"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row>
    <row r="56" spans="1:33" s="82" customFormat="1"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row>
    <row r="57" spans="1:33" s="82" customFormat="1" x14ac:dyDescent="0.25"/>
    <row r="58" spans="1:33" s="82" customFormat="1" x14ac:dyDescent="0.25"/>
    <row r="59" spans="1:33" s="82" customFormat="1" x14ac:dyDescent="0.25"/>
    <row r="60" spans="1:33" s="82" customFormat="1" x14ac:dyDescent="0.25"/>
    <row r="61" spans="1:33" s="82" customFormat="1" ht="14.45" customHeight="1" x14ac:dyDescent="0.25"/>
    <row r="62" spans="1:33" s="82" customFormat="1" x14ac:dyDescent="0.25"/>
    <row r="63" spans="1:33" s="82" customFormat="1" x14ac:dyDescent="0.25"/>
    <row r="64" spans="1:33"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sheetData>
  <sheetProtection algorithmName="SHA-512" hashValue="rvSv8eVi5MshF2IKC68zQrDS8AxqQ52YklvR7DpvqdI+ub0jkyBGmR4be26spGbkZs8T0CkYXLao+rdo8kgPLw==" saltValue="mTy/qfqUM5ccu5up1nw9gQ==" spinCount="100000" sheet="1" selectLockedCells="1"/>
  <mergeCells count="10">
    <mergeCell ref="B2:S2"/>
    <mergeCell ref="B3:C3"/>
    <mergeCell ref="D3:J4"/>
    <mergeCell ref="C18:R18"/>
    <mergeCell ref="H35:M35"/>
    <mergeCell ref="H40:M40"/>
    <mergeCell ref="H21:L21"/>
    <mergeCell ref="N21:R21"/>
    <mergeCell ref="N26:R26"/>
    <mergeCell ref="H26:L26"/>
  </mergeCells>
  <dataValidations count="3">
    <dataValidation type="list" allowBlank="1" showInputMessage="1" showErrorMessage="1" sqref="J8:J15" xr:uid="{06C86A6D-ED8E-495E-9FA4-CF4812939989}">
      <formula1>$H$27:$H$31</formula1>
    </dataValidation>
    <dataValidation type="list" allowBlank="1" showInputMessage="1" showErrorMessage="1" sqref="K8:K15" xr:uid="{D138C426-373A-4D17-A00A-A478A14EFD42}">
      <formula1>"Low,High"</formula1>
    </dataValidation>
    <dataValidation type="list" allowBlank="1" showInputMessage="1" showErrorMessage="1" sqref="D8:D15" xr:uid="{3ECAD63A-8575-44B5-B24B-C4C252DDA003}">
      <formula1>$C$21:$C$22</formula1>
    </dataValidation>
  </dataValidations>
  <hyperlinks>
    <hyperlink ref="B3" location="'Calculator Index'!A1" display="Return to Index" xr:uid="{3BB96BCA-5517-416A-871B-2C1857D63C85}"/>
    <hyperlink ref="B3:C3" location="'Project Summary'!A1" display="Return to Project Summary" xr:uid="{E1E83116-AABC-4914-B582-CF5F0BA5A4FE}"/>
  </hyperlink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82C8-D4F0-44EA-8077-0194636C6C1F}">
  <dimension ref="A1:X556"/>
  <sheetViews>
    <sheetView topLeftCell="B1" zoomScaleNormal="100" workbookViewId="0">
      <selection activeCell="D8" sqref="D8:I8"/>
    </sheetView>
  </sheetViews>
  <sheetFormatPr defaultRowHeight="15" x14ac:dyDescent="0.25"/>
  <cols>
    <col min="1" max="1" width="3.7109375" customWidth="1"/>
    <col min="2" max="2" width="5.85546875" customWidth="1"/>
    <col min="3" max="3" width="24.7109375" customWidth="1"/>
    <col min="4" max="4" width="48" bestFit="1" customWidth="1"/>
    <col min="5" max="5" width="29.140625" bestFit="1" customWidth="1"/>
    <col min="6" max="7" width="19.5703125" customWidth="1"/>
    <col min="8" max="8" width="46.28515625" bestFit="1" customWidth="1"/>
    <col min="9" max="9" width="13" customWidth="1"/>
    <col min="10" max="10" width="13" hidden="1" customWidth="1"/>
    <col min="11" max="16" width="14.42578125" hidden="1" customWidth="1"/>
    <col min="17" max="17" width="19.140625" hidden="1" customWidth="1"/>
    <col min="18" max="18" width="19.140625" customWidth="1"/>
    <col min="19" max="19" width="17" customWidth="1"/>
    <col min="20" max="20" width="13.42578125" customWidth="1"/>
    <col min="21" max="21" width="14.7109375" hidden="1" customWidth="1"/>
    <col min="22" max="23" width="10" hidden="1" customWidth="1"/>
    <col min="24" max="24" width="8" customWidth="1"/>
    <col min="25" max="25" width="8.28515625" style="82" customWidth="1"/>
    <col min="26" max="26" width="18.42578125" style="82" customWidth="1"/>
    <col min="27" max="27" width="14.28515625" style="82" customWidth="1"/>
    <col min="28" max="28" width="16.7109375" style="82" customWidth="1"/>
    <col min="29" max="259" width="9.140625" style="82"/>
    <col min="260" max="260" width="3.7109375" style="82" customWidth="1"/>
    <col min="261" max="261" width="5.85546875" style="82" customWidth="1"/>
    <col min="262" max="262" width="24.7109375" style="82" customWidth="1"/>
    <col min="263" max="263" width="48" style="82" bestFit="1" customWidth="1"/>
    <col min="264" max="264" width="29.140625" style="82" bestFit="1" customWidth="1"/>
    <col min="265" max="265" width="19.5703125" style="82" customWidth="1"/>
    <col min="266" max="266" width="46.28515625" style="82" bestFit="1" customWidth="1"/>
    <col min="267" max="267" width="13" style="82" customWidth="1"/>
    <col min="268" max="274" width="14.42578125" style="82" customWidth="1"/>
    <col min="275" max="275" width="19.140625" style="82" customWidth="1"/>
    <col min="276" max="276" width="17" style="82" customWidth="1"/>
    <col min="277" max="277" width="13.42578125" style="82" customWidth="1"/>
    <col min="278" max="278" width="14.7109375" style="82" customWidth="1"/>
    <col min="279" max="279" width="10" style="82" customWidth="1"/>
    <col min="280" max="280" width="8" style="82" customWidth="1"/>
    <col min="281" max="281" width="8.28515625" style="82" customWidth="1"/>
    <col min="282" max="282" width="18.42578125" style="82" customWidth="1"/>
    <col min="283" max="283" width="14.28515625" style="82" customWidth="1"/>
    <col min="284" max="284" width="16.7109375" style="82" customWidth="1"/>
    <col min="285" max="515" width="9.140625" style="82"/>
    <col min="516" max="516" width="3.7109375" style="82" customWidth="1"/>
    <col min="517" max="517" width="5.85546875" style="82" customWidth="1"/>
    <col min="518" max="518" width="24.7109375" style="82" customWidth="1"/>
    <col min="519" max="519" width="48" style="82" bestFit="1" customWidth="1"/>
    <col min="520" max="520" width="29.140625" style="82" bestFit="1" customWidth="1"/>
    <col min="521" max="521" width="19.5703125" style="82" customWidth="1"/>
    <col min="522" max="522" width="46.28515625" style="82" bestFit="1" customWidth="1"/>
    <col min="523" max="523" width="13" style="82" customWidth="1"/>
    <col min="524" max="530" width="14.42578125" style="82" customWidth="1"/>
    <col min="531" max="531" width="19.140625" style="82" customWidth="1"/>
    <col min="532" max="532" width="17" style="82" customWidth="1"/>
    <col min="533" max="533" width="13.42578125" style="82" customWidth="1"/>
    <col min="534" max="534" width="14.7109375" style="82" customWidth="1"/>
    <col min="535" max="535" width="10" style="82" customWidth="1"/>
    <col min="536" max="536" width="8" style="82" customWidth="1"/>
    <col min="537" max="537" width="8.28515625" style="82" customWidth="1"/>
    <col min="538" max="538" width="18.42578125" style="82" customWidth="1"/>
    <col min="539" max="539" width="14.28515625" style="82" customWidth="1"/>
    <col min="540" max="540" width="16.7109375" style="82" customWidth="1"/>
    <col min="541" max="771" width="9.140625" style="82"/>
    <col min="772" max="772" width="3.7109375" style="82" customWidth="1"/>
    <col min="773" max="773" width="5.85546875" style="82" customWidth="1"/>
    <col min="774" max="774" width="24.7109375" style="82" customWidth="1"/>
    <col min="775" max="775" width="48" style="82" bestFit="1" customWidth="1"/>
    <col min="776" max="776" width="29.140625" style="82" bestFit="1" customWidth="1"/>
    <col min="777" max="777" width="19.5703125" style="82" customWidth="1"/>
    <col min="778" max="778" width="46.28515625" style="82" bestFit="1" customWidth="1"/>
    <col min="779" max="779" width="13" style="82" customWidth="1"/>
    <col min="780" max="786" width="14.42578125" style="82" customWidth="1"/>
    <col min="787" max="787" width="19.140625" style="82" customWidth="1"/>
    <col min="788" max="788" width="17" style="82" customWidth="1"/>
    <col min="789" max="789" width="13.42578125" style="82" customWidth="1"/>
    <col min="790" max="790" width="14.7109375" style="82" customWidth="1"/>
    <col min="791" max="791" width="10" style="82" customWidth="1"/>
    <col min="792" max="792" width="8" style="82" customWidth="1"/>
    <col min="793" max="793" width="8.28515625" style="82" customWidth="1"/>
    <col min="794" max="794" width="18.42578125" style="82" customWidth="1"/>
    <col min="795" max="795" width="14.28515625" style="82" customWidth="1"/>
    <col min="796" max="796" width="16.7109375" style="82" customWidth="1"/>
    <col min="797" max="1027" width="9.140625" style="82"/>
    <col min="1028" max="1028" width="3.7109375" style="82" customWidth="1"/>
    <col min="1029" max="1029" width="5.85546875" style="82" customWidth="1"/>
    <col min="1030" max="1030" width="24.7109375" style="82" customWidth="1"/>
    <col min="1031" max="1031" width="48" style="82" bestFit="1" customWidth="1"/>
    <col min="1032" max="1032" width="29.140625" style="82" bestFit="1" customWidth="1"/>
    <col min="1033" max="1033" width="19.5703125" style="82" customWidth="1"/>
    <col min="1034" max="1034" width="46.28515625" style="82" bestFit="1" customWidth="1"/>
    <col min="1035" max="1035" width="13" style="82" customWidth="1"/>
    <col min="1036" max="1042" width="14.42578125" style="82" customWidth="1"/>
    <col min="1043" max="1043" width="19.140625" style="82" customWidth="1"/>
    <col min="1044" max="1044" width="17" style="82" customWidth="1"/>
    <col min="1045" max="1045" width="13.42578125" style="82" customWidth="1"/>
    <col min="1046" max="1046" width="14.7109375" style="82" customWidth="1"/>
    <col min="1047" max="1047" width="10" style="82" customWidth="1"/>
    <col min="1048" max="1048" width="8" style="82" customWidth="1"/>
    <col min="1049" max="1049" width="8.28515625" style="82" customWidth="1"/>
    <col min="1050" max="1050" width="18.42578125" style="82" customWidth="1"/>
    <col min="1051" max="1051" width="14.28515625" style="82" customWidth="1"/>
    <col min="1052" max="1052" width="16.7109375" style="82" customWidth="1"/>
    <col min="1053" max="1283" width="9.140625" style="82"/>
    <col min="1284" max="1284" width="3.7109375" style="82" customWidth="1"/>
    <col min="1285" max="1285" width="5.85546875" style="82" customWidth="1"/>
    <col min="1286" max="1286" width="24.7109375" style="82" customWidth="1"/>
    <col min="1287" max="1287" width="48" style="82" bestFit="1" customWidth="1"/>
    <col min="1288" max="1288" width="29.140625" style="82" bestFit="1" customWidth="1"/>
    <col min="1289" max="1289" width="19.5703125" style="82" customWidth="1"/>
    <col min="1290" max="1290" width="46.28515625" style="82" bestFit="1" customWidth="1"/>
    <col min="1291" max="1291" width="13" style="82" customWidth="1"/>
    <col min="1292" max="1298" width="14.42578125" style="82" customWidth="1"/>
    <col min="1299" max="1299" width="19.140625" style="82" customWidth="1"/>
    <col min="1300" max="1300" width="17" style="82" customWidth="1"/>
    <col min="1301" max="1301" width="13.42578125" style="82" customWidth="1"/>
    <col min="1302" max="1302" width="14.7109375" style="82" customWidth="1"/>
    <col min="1303" max="1303" width="10" style="82" customWidth="1"/>
    <col min="1304" max="1304" width="8" style="82" customWidth="1"/>
    <col min="1305" max="1305" width="8.28515625" style="82" customWidth="1"/>
    <col min="1306" max="1306" width="18.42578125" style="82" customWidth="1"/>
    <col min="1307" max="1307" width="14.28515625" style="82" customWidth="1"/>
    <col min="1308" max="1308" width="16.7109375" style="82" customWidth="1"/>
    <col min="1309" max="1539" width="9.140625" style="82"/>
    <col min="1540" max="1540" width="3.7109375" style="82" customWidth="1"/>
    <col min="1541" max="1541" width="5.85546875" style="82" customWidth="1"/>
    <col min="1542" max="1542" width="24.7109375" style="82" customWidth="1"/>
    <col min="1543" max="1543" width="48" style="82" bestFit="1" customWidth="1"/>
    <col min="1544" max="1544" width="29.140625" style="82" bestFit="1" customWidth="1"/>
    <col min="1545" max="1545" width="19.5703125" style="82" customWidth="1"/>
    <col min="1546" max="1546" width="46.28515625" style="82" bestFit="1" customWidth="1"/>
    <col min="1547" max="1547" width="13" style="82" customWidth="1"/>
    <col min="1548" max="1554" width="14.42578125" style="82" customWidth="1"/>
    <col min="1555" max="1555" width="19.140625" style="82" customWidth="1"/>
    <col min="1556" max="1556" width="17" style="82" customWidth="1"/>
    <col min="1557" max="1557" width="13.42578125" style="82" customWidth="1"/>
    <col min="1558" max="1558" width="14.7109375" style="82" customWidth="1"/>
    <col min="1559" max="1559" width="10" style="82" customWidth="1"/>
    <col min="1560" max="1560" width="8" style="82" customWidth="1"/>
    <col min="1561" max="1561" width="8.28515625" style="82" customWidth="1"/>
    <col min="1562" max="1562" width="18.42578125" style="82" customWidth="1"/>
    <col min="1563" max="1563" width="14.28515625" style="82" customWidth="1"/>
    <col min="1564" max="1564" width="16.7109375" style="82" customWidth="1"/>
    <col min="1565" max="1795" width="9.140625" style="82"/>
    <col min="1796" max="1796" width="3.7109375" style="82" customWidth="1"/>
    <col min="1797" max="1797" width="5.85546875" style="82" customWidth="1"/>
    <col min="1798" max="1798" width="24.7109375" style="82" customWidth="1"/>
    <col min="1799" max="1799" width="48" style="82" bestFit="1" customWidth="1"/>
    <col min="1800" max="1800" width="29.140625" style="82" bestFit="1" customWidth="1"/>
    <col min="1801" max="1801" width="19.5703125" style="82" customWidth="1"/>
    <col min="1802" max="1802" width="46.28515625" style="82" bestFit="1" customWidth="1"/>
    <col min="1803" max="1803" width="13" style="82" customWidth="1"/>
    <col min="1804" max="1810" width="14.42578125" style="82" customWidth="1"/>
    <col min="1811" max="1811" width="19.140625" style="82" customWidth="1"/>
    <col min="1812" max="1812" width="17" style="82" customWidth="1"/>
    <col min="1813" max="1813" width="13.42578125" style="82" customWidth="1"/>
    <col min="1814" max="1814" width="14.7109375" style="82" customWidth="1"/>
    <col min="1815" max="1815" width="10" style="82" customWidth="1"/>
    <col min="1816" max="1816" width="8" style="82" customWidth="1"/>
    <col min="1817" max="1817" width="8.28515625" style="82" customWidth="1"/>
    <col min="1818" max="1818" width="18.42578125" style="82" customWidth="1"/>
    <col min="1819" max="1819" width="14.28515625" style="82" customWidth="1"/>
    <col min="1820" max="1820" width="16.7109375" style="82" customWidth="1"/>
    <col min="1821" max="2051" width="9.140625" style="82"/>
    <col min="2052" max="2052" width="3.7109375" style="82" customWidth="1"/>
    <col min="2053" max="2053" width="5.85546875" style="82" customWidth="1"/>
    <col min="2054" max="2054" width="24.7109375" style="82" customWidth="1"/>
    <col min="2055" max="2055" width="48" style="82" bestFit="1" customWidth="1"/>
    <col min="2056" max="2056" width="29.140625" style="82" bestFit="1" customWidth="1"/>
    <col min="2057" max="2057" width="19.5703125" style="82" customWidth="1"/>
    <col min="2058" max="2058" width="46.28515625" style="82" bestFit="1" customWidth="1"/>
    <col min="2059" max="2059" width="13" style="82" customWidth="1"/>
    <col min="2060" max="2066" width="14.42578125" style="82" customWidth="1"/>
    <col min="2067" max="2067" width="19.140625" style="82" customWidth="1"/>
    <col min="2068" max="2068" width="17" style="82" customWidth="1"/>
    <col min="2069" max="2069" width="13.42578125" style="82" customWidth="1"/>
    <col min="2070" max="2070" width="14.7109375" style="82" customWidth="1"/>
    <col min="2071" max="2071" width="10" style="82" customWidth="1"/>
    <col min="2072" max="2072" width="8" style="82" customWidth="1"/>
    <col min="2073" max="2073" width="8.28515625" style="82" customWidth="1"/>
    <col min="2074" max="2074" width="18.42578125" style="82" customWidth="1"/>
    <col min="2075" max="2075" width="14.28515625" style="82" customWidth="1"/>
    <col min="2076" max="2076" width="16.7109375" style="82" customWidth="1"/>
    <col min="2077" max="2307" width="9.140625" style="82"/>
    <col min="2308" max="2308" width="3.7109375" style="82" customWidth="1"/>
    <col min="2309" max="2309" width="5.85546875" style="82" customWidth="1"/>
    <col min="2310" max="2310" width="24.7109375" style="82" customWidth="1"/>
    <col min="2311" max="2311" width="48" style="82" bestFit="1" customWidth="1"/>
    <col min="2312" max="2312" width="29.140625" style="82" bestFit="1" customWidth="1"/>
    <col min="2313" max="2313" width="19.5703125" style="82" customWidth="1"/>
    <col min="2314" max="2314" width="46.28515625" style="82" bestFit="1" customWidth="1"/>
    <col min="2315" max="2315" width="13" style="82" customWidth="1"/>
    <col min="2316" max="2322" width="14.42578125" style="82" customWidth="1"/>
    <col min="2323" max="2323" width="19.140625" style="82" customWidth="1"/>
    <col min="2324" max="2324" width="17" style="82" customWidth="1"/>
    <col min="2325" max="2325" width="13.42578125" style="82" customWidth="1"/>
    <col min="2326" max="2326" width="14.7109375" style="82" customWidth="1"/>
    <col min="2327" max="2327" width="10" style="82" customWidth="1"/>
    <col min="2328" max="2328" width="8" style="82" customWidth="1"/>
    <col min="2329" max="2329" width="8.28515625" style="82" customWidth="1"/>
    <col min="2330" max="2330" width="18.42578125" style="82" customWidth="1"/>
    <col min="2331" max="2331" width="14.28515625" style="82" customWidth="1"/>
    <col min="2332" max="2332" width="16.7109375" style="82" customWidth="1"/>
    <col min="2333" max="2563" width="9.140625" style="82"/>
    <col min="2564" max="2564" width="3.7109375" style="82" customWidth="1"/>
    <col min="2565" max="2565" width="5.85546875" style="82" customWidth="1"/>
    <col min="2566" max="2566" width="24.7109375" style="82" customWidth="1"/>
    <col min="2567" max="2567" width="48" style="82" bestFit="1" customWidth="1"/>
    <col min="2568" max="2568" width="29.140625" style="82" bestFit="1" customWidth="1"/>
    <col min="2569" max="2569" width="19.5703125" style="82" customWidth="1"/>
    <col min="2570" max="2570" width="46.28515625" style="82" bestFit="1" customWidth="1"/>
    <col min="2571" max="2571" width="13" style="82" customWidth="1"/>
    <col min="2572" max="2578" width="14.42578125" style="82" customWidth="1"/>
    <col min="2579" max="2579" width="19.140625" style="82" customWidth="1"/>
    <col min="2580" max="2580" width="17" style="82" customWidth="1"/>
    <col min="2581" max="2581" width="13.42578125" style="82" customWidth="1"/>
    <col min="2582" max="2582" width="14.7109375" style="82" customWidth="1"/>
    <col min="2583" max="2583" width="10" style="82" customWidth="1"/>
    <col min="2584" max="2584" width="8" style="82" customWidth="1"/>
    <col min="2585" max="2585" width="8.28515625" style="82" customWidth="1"/>
    <col min="2586" max="2586" width="18.42578125" style="82" customWidth="1"/>
    <col min="2587" max="2587" width="14.28515625" style="82" customWidth="1"/>
    <col min="2588" max="2588" width="16.7109375" style="82" customWidth="1"/>
    <col min="2589" max="2819" width="9.140625" style="82"/>
    <col min="2820" max="2820" width="3.7109375" style="82" customWidth="1"/>
    <col min="2821" max="2821" width="5.85546875" style="82" customWidth="1"/>
    <col min="2822" max="2822" width="24.7109375" style="82" customWidth="1"/>
    <col min="2823" max="2823" width="48" style="82" bestFit="1" customWidth="1"/>
    <col min="2824" max="2824" width="29.140625" style="82" bestFit="1" customWidth="1"/>
    <col min="2825" max="2825" width="19.5703125" style="82" customWidth="1"/>
    <col min="2826" max="2826" width="46.28515625" style="82" bestFit="1" customWidth="1"/>
    <col min="2827" max="2827" width="13" style="82" customWidth="1"/>
    <col min="2828" max="2834" width="14.42578125" style="82" customWidth="1"/>
    <col min="2835" max="2835" width="19.140625" style="82" customWidth="1"/>
    <col min="2836" max="2836" width="17" style="82" customWidth="1"/>
    <col min="2837" max="2837" width="13.42578125" style="82" customWidth="1"/>
    <col min="2838" max="2838" width="14.7109375" style="82" customWidth="1"/>
    <col min="2839" max="2839" width="10" style="82" customWidth="1"/>
    <col min="2840" max="2840" width="8" style="82" customWidth="1"/>
    <col min="2841" max="2841" width="8.28515625" style="82" customWidth="1"/>
    <col min="2842" max="2842" width="18.42578125" style="82" customWidth="1"/>
    <col min="2843" max="2843" width="14.28515625" style="82" customWidth="1"/>
    <col min="2844" max="2844" width="16.7109375" style="82" customWidth="1"/>
    <col min="2845" max="3075" width="9.140625" style="82"/>
    <col min="3076" max="3076" width="3.7109375" style="82" customWidth="1"/>
    <col min="3077" max="3077" width="5.85546875" style="82" customWidth="1"/>
    <col min="3078" max="3078" width="24.7109375" style="82" customWidth="1"/>
    <col min="3079" max="3079" width="48" style="82" bestFit="1" customWidth="1"/>
    <col min="3080" max="3080" width="29.140625" style="82" bestFit="1" customWidth="1"/>
    <col min="3081" max="3081" width="19.5703125" style="82" customWidth="1"/>
    <col min="3082" max="3082" width="46.28515625" style="82" bestFit="1" customWidth="1"/>
    <col min="3083" max="3083" width="13" style="82" customWidth="1"/>
    <col min="3084" max="3090" width="14.42578125" style="82" customWidth="1"/>
    <col min="3091" max="3091" width="19.140625" style="82" customWidth="1"/>
    <col min="3092" max="3092" width="17" style="82" customWidth="1"/>
    <col min="3093" max="3093" width="13.42578125" style="82" customWidth="1"/>
    <col min="3094" max="3094" width="14.7109375" style="82" customWidth="1"/>
    <col min="3095" max="3095" width="10" style="82" customWidth="1"/>
    <col min="3096" max="3096" width="8" style="82" customWidth="1"/>
    <col min="3097" max="3097" width="8.28515625" style="82" customWidth="1"/>
    <col min="3098" max="3098" width="18.42578125" style="82" customWidth="1"/>
    <col min="3099" max="3099" width="14.28515625" style="82" customWidth="1"/>
    <col min="3100" max="3100" width="16.7109375" style="82" customWidth="1"/>
    <col min="3101" max="3331" width="9.140625" style="82"/>
    <col min="3332" max="3332" width="3.7109375" style="82" customWidth="1"/>
    <col min="3333" max="3333" width="5.85546875" style="82" customWidth="1"/>
    <col min="3334" max="3334" width="24.7109375" style="82" customWidth="1"/>
    <col min="3335" max="3335" width="48" style="82" bestFit="1" customWidth="1"/>
    <col min="3336" max="3336" width="29.140625" style="82" bestFit="1" customWidth="1"/>
    <col min="3337" max="3337" width="19.5703125" style="82" customWidth="1"/>
    <col min="3338" max="3338" width="46.28515625" style="82" bestFit="1" customWidth="1"/>
    <col min="3339" max="3339" width="13" style="82" customWidth="1"/>
    <col min="3340" max="3346" width="14.42578125" style="82" customWidth="1"/>
    <col min="3347" max="3347" width="19.140625" style="82" customWidth="1"/>
    <col min="3348" max="3348" width="17" style="82" customWidth="1"/>
    <col min="3349" max="3349" width="13.42578125" style="82" customWidth="1"/>
    <col min="3350" max="3350" width="14.7109375" style="82" customWidth="1"/>
    <col min="3351" max="3351" width="10" style="82" customWidth="1"/>
    <col min="3352" max="3352" width="8" style="82" customWidth="1"/>
    <col min="3353" max="3353" width="8.28515625" style="82" customWidth="1"/>
    <col min="3354" max="3354" width="18.42578125" style="82" customWidth="1"/>
    <col min="3355" max="3355" width="14.28515625" style="82" customWidth="1"/>
    <col min="3356" max="3356" width="16.7109375" style="82" customWidth="1"/>
    <col min="3357" max="3587" width="9.140625" style="82"/>
    <col min="3588" max="3588" width="3.7109375" style="82" customWidth="1"/>
    <col min="3589" max="3589" width="5.85546875" style="82" customWidth="1"/>
    <col min="3590" max="3590" width="24.7109375" style="82" customWidth="1"/>
    <col min="3591" max="3591" width="48" style="82" bestFit="1" customWidth="1"/>
    <col min="3592" max="3592" width="29.140625" style="82" bestFit="1" customWidth="1"/>
    <col min="3593" max="3593" width="19.5703125" style="82" customWidth="1"/>
    <col min="3594" max="3594" width="46.28515625" style="82" bestFit="1" customWidth="1"/>
    <col min="3595" max="3595" width="13" style="82" customWidth="1"/>
    <col min="3596" max="3602" width="14.42578125" style="82" customWidth="1"/>
    <col min="3603" max="3603" width="19.140625" style="82" customWidth="1"/>
    <col min="3604" max="3604" width="17" style="82" customWidth="1"/>
    <col min="3605" max="3605" width="13.42578125" style="82" customWidth="1"/>
    <col min="3606" max="3606" width="14.7109375" style="82" customWidth="1"/>
    <col min="3607" max="3607" width="10" style="82" customWidth="1"/>
    <col min="3608" max="3608" width="8" style="82" customWidth="1"/>
    <col min="3609" max="3609" width="8.28515625" style="82" customWidth="1"/>
    <col min="3610" max="3610" width="18.42578125" style="82" customWidth="1"/>
    <col min="3611" max="3611" width="14.28515625" style="82" customWidth="1"/>
    <col min="3612" max="3612" width="16.7109375" style="82" customWidth="1"/>
    <col min="3613" max="3843" width="9.140625" style="82"/>
    <col min="3844" max="3844" width="3.7109375" style="82" customWidth="1"/>
    <col min="3845" max="3845" width="5.85546875" style="82" customWidth="1"/>
    <col min="3846" max="3846" width="24.7109375" style="82" customWidth="1"/>
    <col min="3847" max="3847" width="48" style="82" bestFit="1" customWidth="1"/>
    <col min="3848" max="3848" width="29.140625" style="82" bestFit="1" customWidth="1"/>
    <col min="3849" max="3849" width="19.5703125" style="82" customWidth="1"/>
    <col min="3850" max="3850" width="46.28515625" style="82" bestFit="1" customWidth="1"/>
    <col min="3851" max="3851" width="13" style="82" customWidth="1"/>
    <col min="3852" max="3858" width="14.42578125" style="82" customWidth="1"/>
    <col min="3859" max="3859" width="19.140625" style="82" customWidth="1"/>
    <col min="3860" max="3860" width="17" style="82" customWidth="1"/>
    <col min="3861" max="3861" width="13.42578125" style="82" customWidth="1"/>
    <col min="3862" max="3862" width="14.7109375" style="82" customWidth="1"/>
    <col min="3863" max="3863" width="10" style="82" customWidth="1"/>
    <col min="3864" max="3864" width="8" style="82" customWidth="1"/>
    <col min="3865" max="3865" width="8.28515625" style="82" customWidth="1"/>
    <col min="3866" max="3866" width="18.42578125" style="82" customWidth="1"/>
    <col min="3867" max="3867" width="14.28515625" style="82" customWidth="1"/>
    <col min="3868" max="3868" width="16.7109375" style="82" customWidth="1"/>
    <col min="3869" max="4099" width="9.140625" style="82"/>
    <col min="4100" max="4100" width="3.7109375" style="82" customWidth="1"/>
    <col min="4101" max="4101" width="5.85546875" style="82" customWidth="1"/>
    <col min="4102" max="4102" width="24.7109375" style="82" customWidth="1"/>
    <col min="4103" max="4103" width="48" style="82" bestFit="1" customWidth="1"/>
    <col min="4104" max="4104" width="29.140625" style="82" bestFit="1" customWidth="1"/>
    <col min="4105" max="4105" width="19.5703125" style="82" customWidth="1"/>
    <col min="4106" max="4106" width="46.28515625" style="82" bestFit="1" customWidth="1"/>
    <col min="4107" max="4107" width="13" style="82" customWidth="1"/>
    <col min="4108" max="4114" width="14.42578125" style="82" customWidth="1"/>
    <col min="4115" max="4115" width="19.140625" style="82" customWidth="1"/>
    <col min="4116" max="4116" width="17" style="82" customWidth="1"/>
    <col min="4117" max="4117" width="13.42578125" style="82" customWidth="1"/>
    <col min="4118" max="4118" width="14.7109375" style="82" customWidth="1"/>
    <col min="4119" max="4119" width="10" style="82" customWidth="1"/>
    <col min="4120" max="4120" width="8" style="82" customWidth="1"/>
    <col min="4121" max="4121" width="8.28515625" style="82" customWidth="1"/>
    <col min="4122" max="4122" width="18.42578125" style="82" customWidth="1"/>
    <col min="4123" max="4123" width="14.28515625" style="82" customWidth="1"/>
    <col min="4124" max="4124" width="16.7109375" style="82" customWidth="1"/>
    <col min="4125" max="4355" width="9.140625" style="82"/>
    <col min="4356" max="4356" width="3.7109375" style="82" customWidth="1"/>
    <col min="4357" max="4357" width="5.85546875" style="82" customWidth="1"/>
    <col min="4358" max="4358" width="24.7109375" style="82" customWidth="1"/>
    <col min="4359" max="4359" width="48" style="82" bestFit="1" customWidth="1"/>
    <col min="4360" max="4360" width="29.140625" style="82" bestFit="1" customWidth="1"/>
    <col min="4361" max="4361" width="19.5703125" style="82" customWidth="1"/>
    <col min="4362" max="4362" width="46.28515625" style="82" bestFit="1" customWidth="1"/>
    <col min="4363" max="4363" width="13" style="82" customWidth="1"/>
    <col min="4364" max="4370" width="14.42578125" style="82" customWidth="1"/>
    <col min="4371" max="4371" width="19.140625" style="82" customWidth="1"/>
    <col min="4372" max="4372" width="17" style="82" customWidth="1"/>
    <col min="4373" max="4373" width="13.42578125" style="82" customWidth="1"/>
    <col min="4374" max="4374" width="14.7109375" style="82" customWidth="1"/>
    <col min="4375" max="4375" width="10" style="82" customWidth="1"/>
    <col min="4376" max="4376" width="8" style="82" customWidth="1"/>
    <col min="4377" max="4377" width="8.28515625" style="82" customWidth="1"/>
    <col min="4378" max="4378" width="18.42578125" style="82" customWidth="1"/>
    <col min="4379" max="4379" width="14.28515625" style="82" customWidth="1"/>
    <col min="4380" max="4380" width="16.7109375" style="82" customWidth="1"/>
    <col min="4381" max="4611" width="9.140625" style="82"/>
    <col min="4612" max="4612" width="3.7109375" style="82" customWidth="1"/>
    <col min="4613" max="4613" width="5.85546875" style="82" customWidth="1"/>
    <col min="4614" max="4614" width="24.7109375" style="82" customWidth="1"/>
    <col min="4615" max="4615" width="48" style="82" bestFit="1" customWidth="1"/>
    <col min="4616" max="4616" width="29.140625" style="82" bestFit="1" customWidth="1"/>
    <col min="4617" max="4617" width="19.5703125" style="82" customWidth="1"/>
    <col min="4618" max="4618" width="46.28515625" style="82" bestFit="1" customWidth="1"/>
    <col min="4619" max="4619" width="13" style="82" customWidth="1"/>
    <col min="4620" max="4626" width="14.42578125" style="82" customWidth="1"/>
    <col min="4627" max="4627" width="19.140625" style="82" customWidth="1"/>
    <col min="4628" max="4628" width="17" style="82" customWidth="1"/>
    <col min="4629" max="4629" width="13.42578125" style="82" customWidth="1"/>
    <col min="4630" max="4630" width="14.7109375" style="82" customWidth="1"/>
    <col min="4631" max="4631" width="10" style="82" customWidth="1"/>
    <col min="4632" max="4632" width="8" style="82" customWidth="1"/>
    <col min="4633" max="4633" width="8.28515625" style="82" customWidth="1"/>
    <col min="4634" max="4634" width="18.42578125" style="82" customWidth="1"/>
    <col min="4635" max="4635" width="14.28515625" style="82" customWidth="1"/>
    <col min="4636" max="4636" width="16.7109375" style="82" customWidth="1"/>
    <col min="4637" max="4867" width="9.140625" style="82"/>
    <col min="4868" max="4868" width="3.7109375" style="82" customWidth="1"/>
    <col min="4869" max="4869" width="5.85546875" style="82" customWidth="1"/>
    <col min="4870" max="4870" width="24.7109375" style="82" customWidth="1"/>
    <col min="4871" max="4871" width="48" style="82" bestFit="1" customWidth="1"/>
    <col min="4872" max="4872" width="29.140625" style="82" bestFit="1" customWidth="1"/>
    <col min="4873" max="4873" width="19.5703125" style="82" customWidth="1"/>
    <col min="4874" max="4874" width="46.28515625" style="82" bestFit="1" customWidth="1"/>
    <col min="4875" max="4875" width="13" style="82" customWidth="1"/>
    <col min="4876" max="4882" width="14.42578125" style="82" customWidth="1"/>
    <col min="4883" max="4883" width="19.140625" style="82" customWidth="1"/>
    <col min="4884" max="4884" width="17" style="82" customWidth="1"/>
    <col min="4885" max="4885" width="13.42578125" style="82" customWidth="1"/>
    <col min="4886" max="4886" width="14.7109375" style="82" customWidth="1"/>
    <col min="4887" max="4887" width="10" style="82" customWidth="1"/>
    <col min="4888" max="4888" width="8" style="82" customWidth="1"/>
    <col min="4889" max="4889" width="8.28515625" style="82" customWidth="1"/>
    <col min="4890" max="4890" width="18.42578125" style="82" customWidth="1"/>
    <col min="4891" max="4891" width="14.28515625" style="82" customWidth="1"/>
    <col min="4892" max="4892" width="16.7109375" style="82" customWidth="1"/>
    <col min="4893" max="5123" width="9.140625" style="82"/>
    <col min="5124" max="5124" width="3.7109375" style="82" customWidth="1"/>
    <col min="5125" max="5125" width="5.85546875" style="82" customWidth="1"/>
    <col min="5126" max="5126" width="24.7109375" style="82" customWidth="1"/>
    <col min="5127" max="5127" width="48" style="82" bestFit="1" customWidth="1"/>
    <col min="5128" max="5128" width="29.140625" style="82" bestFit="1" customWidth="1"/>
    <col min="5129" max="5129" width="19.5703125" style="82" customWidth="1"/>
    <col min="5130" max="5130" width="46.28515625" style="82" bestFit="1" customWidth="1"/>
    <col min="5131" max="5131" width="13" style="82" customWidth="1"/>
    <col min="5132" max="5138" width="14.42578125" style="82" customWidth="1"/>
    <col min="5139" max="5139" width="19.140625" style="82" customWidth="1"/>
    <col min="5140" max="5140" width="17" style="82" customWidth="1"/>
    <col min="5141" max="5141" width="13.42578125" style="82" customWidth="1"/>
    <col min="5142" max="5142" width="14.7109375" style="82" customWidth="1"/>
    <col min="5143" max="5143" width="10" style="82" customWidth="1"/>
    <col min="5144" max="5144" width="8" style="82" customWidth="1"/>
    <col min="5145" max="5145" width="8.28515625" style="82" customWidth="1"/>
    <col min="5146" max="5146" width="18.42578125" style="82" customWidth="1"/>
    <col min="5147" max="5147" width="14.28515625" style="82" customWidth="1"/>
    <col min="5148" max="5148" width="16.7109375" style="82" customWidth="1"/>
    <col min="5149" max="5379" width="9.140625" style="82"/>
    <col min="5380" max="5380" width="3.7109375" style="82" customWidth="1"/>
    <col min="5381" max="5381" width="5.85546875" style="82" customWidth="1"/>
    <col min="5382" max="5382" width="24.7109375" style="82" customWidth="1"/>
    <col min="5383" max="5383" width="48" style="82" bestFit="1" customWidth="1"/>
    <col min="5384" max="5384" width="29.140625" style="82" bestFit="1" customWidth="1"/>
    <col min="5385" max="5385" width="19.5703125" style="82" customWidth="1"/>
    <col min="5386" max="5386" width="46.28515625" style="82" bestFit="1" customWidth="1"/>
    <col min="5387" max="5387" width="13" style="82" customWidth="1"/>
    <col min="5388" max="5394" width="14.42578125" style="82" customWidth="1"/>
    <col min="5395" max="5395" width="19.140625" style="82" customWidth="1"/>
    <col min="5396" max="5396" width="17" style="82" customWidth="1"/>
    <col min="5397" max="5397" width="13.42578125" style="82" customWidth="1"/>
    <col min="5398" max="5398" width="14.7109375" style="82" customWidth="1"/>
    <col min="5399" max="5399" width="10" style="82" customWidth="1"/>
    <col min="5400" max="5400" width="8" style="82" customWidth="1"/>
    <col min="5401" max="5401" width="8.28515625" style="82" customWidth="1"/>
    <col min="5402" max="5402" width="18.42578125" style="82" customWidth="1"/>
    <col min="5403" max="5403" width="14.28515625" style="82" customWidth="1"/>
    <col min="5404" max="5404" width="16.7109375" style="82" customWidth="1"/>
    <col min="5405" max="5635" width="9.140625" style="82"/>
    <col min="5636" max="5636" width="3.7109375" style="82" customWidth="1"/>
    <col min="5637" max="5637" width="5.85546875" style="82" customWidth="1"/>
    <col min="5638" max="5638" width="24.7109375" style="82" customWidth="1"/>
    <col min="5639" max="5639" width="48" style="82" bestFit="1" customWidth="1"/>
    <col min="5640" max="5640" width="29.140625" style="82" bestFit="1" customWidth="1"/>
    <col min="5641" max="5641" width="19.5703125" style="82" customWidth="1"/>
    <col min="5642" max="5642" width="46.28515625" style="82" bestFit="1" customWidth="1"/>
    <col min="5643" max="5643" width="13" style="82" customWidth="1"/>
    <col min="5644" max="5650" width="14.42578125" style="82" customWidth="1"/>
    <col min="5651" max="5651" width="19.140625" style="82" customWidth="1"/>
    <col min="5652" max="5652" width="17" style="82" customWidth="1"/>
    <col min="5653" max="5653" width="13.42578125" style="82" customWidth="1"/>
    <col min="5654" max="5654" width="14.7109375" style="82" customWidth="1"/>
    <col min="5655" max="5655" width="10" style="82" customWidth="1"/>
    <col min="5656" max="5656" width="8" style="82" customWidth="1"/>
    <col min="5657" max="5657" width="8.28515625" style="82" customWidth="1"/>
    <col min="5658" max="5658" width="18.42578125" style="82" customWidth="1"/>
    <col min="5659" max="5659" width="14.28515625" style="82" customWidth="1"/>
    <col min="5660" max="5660" width="16.7109375" style="82" customWidth="1"/>
    <col min="5661" max="5891" width="9.140625" style="82"/>
    <col min="5892" max="5892" width="3.7109375" style="82" customWidth="1"/>
    <col min="5893" max="5893" width="5.85546875" style="82" customWidth="1"/>
    <col min="5894" max="5894" width="24.7109375" style="82" customWidth="1"/>
    <col min="5895" max="5895" width="48" style="82" bestFit="1" customWidth="1"/>
    <col min="5896" max="5896" width="29.140625" style="82" bestFit="1" customWidth="1"/>
    <col min="5897" max="5897" width="19.5703125" style="82" customWidth="1"/>
    <col min="5898" max="5898" width="46.28515625" style="82" bestFit="1" customWidth="1"/>
    <col min="5899" max="5899" width="13" style="82" customWidth="1"/>
    <col min="5900" max="5906" width="14.42578125" style="82" customWidth="1"/>
    <col min="5907" max="5907" width="19.140625" style="82" customWidth="1"/>
    <col min="5908" max="5908" width="17" style="82" customWidth="1"/>
    <col min="5909" max="5909" width="13.42578125" style="82" customWidth="1"/>
    <col min="5910" max="5910" width="14.7109375" style="82" customWidth="1"/>
    <col min="5911" max="5911" width="10" style="82" customWidth="1"/>
    <col min="5912" max="5912" width="8" style="82" customWidth="1"/>
    <col min="5913" max="5913" width="8.28515625" style="82" customWidth="1"/>
    <col min="5914" max="5914" width="18.42578125" style="82" customWidth="1"/>
    <col min="5915" max="5915" width="14.28515625" style="82" customWidth="1"/>
    <col min="5916" max="5916" width="16.7109375" style="82" customWidth="1"/>
    <col min="5917" max="6147" width="9.140625" style="82"/>
    <col min="6148" max="6148" width="3.7109375" style="82" customWidth="1"/>
    <col min="6149" max="6149" width="5.85546875" style="82" customWidth="1"/>
    <col min="6150" max="6150" width="24.7109375" style="82" customWidth="1"/>
    <col min="6151" max="6151" width="48" style="82" bestFit="1" customWidth="1"/>
    <col min="6152" max="6152" width="29.140625" style="82" bestFit="1" customWidth="1"/>
    <col min="6153" max="6153" width="19.5703125" style="82" customWidth="1"/>
    <col min="6154" max="6154" width="46.28515625" style="82" bestFit="1" customWidth="1"/>
    <col min="6155" max="6155" width="13" style="82" customWidth="1"/>
    <col min="6156" max="6162" width="14.42578125" style="82" customWidth="1"/>
    <col min="6163" max="6163" width="19.140625" style="82" customWidth="1"/>
    <col min="6164" max="6164" width="17" style="82" customWidth="1"/>
    <col min="6165" max="6165" width="13.42578125" style="82" customWidth="1"/>
    <col min="6166" max="6166" width="14.7109375" style="82" customWidth="1"/>
    <col min="6167" max="6167" width="10" style="82" customWidth="1"/>
    <col min="6168" max="6168" width="8" style="82" customWidth="1"/>
    <col min="6169" max="6169" width="8.28515625" style="82" customWidth="1"/>
    <col min="6170" max="6170" width="18.42578125" style="82" customWidth="1"/>
    <col min="6171" max="6171" width="14.28515625" style="82" customWidth="1"/>
    <col min="6172" max="6172" width="16.7109375" style="82" customWidth="1"/>
    <col min="6173" max="6403" width="9.140625" style="82"/>
    <col min="6404" max="6404" width="3.7109375" style="82" customWidth="1"/>
    <col min="6405" max="6405" width="5.85546875" style="82" customWidth="1"/>
    <col min="6406" max="6406" width="24.7109375" style="82" customWidth="1"/>
    <col min="6407" max="6407" width="48" style="82" bestFit="1" customWidth="1"/>
    <col min="6408" max="6408" width="29.140625" style="82" bestFit="1" customWidth="1"/>
    <col min="6409" max="6409" width="19.5703125" style="82" customWidth="1"/>
    <col min="6410" max="6410" width="46.28515625" style="82" bestFit="1" customWidth="1"/>
    <col min="6411" max="6411" width="13" style="82" customWidth="1"/>
    <col min="6412" max="6418" width="14.42578125" style="82" customWidth="1"/>
    <col min="6419" max="6419" width="19.140625" style="82" customWidth="1"/>
    <col min="6420" max="6420" width="17" style="82" customWidth="1"/>
    <col min="6421" max="6421" width="13.42578125" style="82" customWidth="1"/>
    <col min="6422" max="6422" width="14.7109375" style="82" customWidth="1"/>
    <col min="6423" max="6423" width="10" style="82" customWidth="1"/>
    <col min="6424" max="6424" width="8" style="82" customWidth="1"/>
    <col min="6425" max="6425" width="8.28515625" style="82" customWidth="1"/>
    <col min="6426" max="6426" width="18.42578125" style="82" customWidth="1"/>
    <col min="6427" max="6427" width="14.28515625" style="82" customWidth="1"/>
    <col min="6428" max="6428" width="16.7109375" style="82" customWidth="1"/>
    <col min="6429" max="6659" width="9.140625" style="82"/>
    <col min="6660" max="6660" width="3.7109375" style="82" customWidth="1"/>
    <col min="6661" max="6661" width="5.85546875" style="82" customWidth="1"/>
    <col min="6662" max="6662" width="24.7109375" style="82" customWidth="1"/>
    <col min="6663" max="6663" width="48" style="82" bestFit="1" customWidth="1"/>
    <col min="6664" max="6664" width="29.140625" style="82" bestFit="1" customWidth="1"/>
    <col min="6665" max="6665" width="19.5703125" style="82" customWidth="1"/>
    <col min="6666" max="6666" width="46.28515625" style="82" bestFit="1" customWidth="1"/>
    <col min="6667" max="6667" width="13" style="82" customWidth="1"/>
    <col min="6668" max="6674" width="14.42578125" style="82" customWidth="1"/>
    <col min="6675" max="6675" width="19.140625" style="82" customWidth="1"/>
    <col min="6676" max="6676" width="17" style="82" customWidth="1"/>
    <col min="6677" max="6677" width="13.42578125" style="82" customWidth="1"/>
    <col min="6678" max="6678" width="14.7109375" style="82" customWidth="1"/>
    <col min="6679" max="6679" width="10" style="82" customWidth="1"/>
    <col min="6680" max="6680" width="8" style="82" customWidth="1"/>
    <col min="6681" max="6681" width="8.28515625" style="82" customWidth="1"/>
    <col min="6682" max="6682" width="18.42578125" style="82" customWidth="1"/>
    <col min="6683" max="6683" width="14.28515625" style="82" customWidth="1"/>
    <col min="6684" max="6684" width="16.7109375" style="82" customWidth="1"/>
    <col min="6685" max="6915" width="9.140625" style="82"/>
    <col min="6916" max="6916" width="3.7109375" style="82" customWidth="1"/>
    <col min="6917" max="6917" width="5.85546875" style="82" customWidth="1"/>
    <col min="6918" max="6918" width="24.7109375" style="82" customWidth="1"/>
    <col min="6919" max="6919" width="48" style="82" bestFit="1" customWidth="1"/>
    <col min="6920" max="6920" width="29.140625" style="82" bestFit="1" customWidth="1"/>
    <col min="6921" max="6921" width="19.5703125" style="82" customWidth="1"/>
    <col min="6922" max="6922" width="46.28515625" style="82" bestFit="1" customWidth="1"/>
    <col min="6923" max="6923" width="13" style="82" customWidth="1"/>
    <col min="6924" max="6930" width="14.42578125" style="82" customWidth="1"/>
    <col min="6931" max="6931" width="19.140625" style="82" customWidth="1"/>
    <col min="6932" max="6932" width="17" style="82" customWidth="1"/>
    <col min="6933" max="6933" width="13.42578125" style="82" customWidth="1"/>
    <col min="6934" max="6934" width="14.7109375" style="82" customWidth="1"/>
    <col min="6935" max="6935" width="10" style="82" customWidth="1"/>
    <col min="6936" max="6936" width="8" style="82" customWidth="1"/>
    <col min="6937" max="6937" width="8.28515625" style="82" customWidth="1"/>
    <col min="6938" max="6938" width="18.42578125" style="82" customWidth="1"/>
    <col min="6939" max="6939" width="14.28515625" style="82" customWidth="1"/>
    <col min="6940" max="6940" width="16.7109375" style="82" customWidth="1"/>
    <col min="6941" max="7171" width="9.140625" style="82"/>
    <col min="7172" max="7172" width="3.7109375" style="82" customWidth="1"/>
    <col min="7173" max="7173" width="5.85546875" style="82" customWidth="1"/>
    <col min="7174" max="7174" width="24.7109375" style="82" customWidth="1"/>
    <col min="7175" max="7175" width="48" style="82" bestFit="1" customWidth="1"/>
    <col min="7176" max="7176" width="29.140625" style="82" bestFit="1" customWidth="1"/>
    <col min="7177" max="7177" width="19.5703125" style="82" customWidth="1"/>
    <col min="7178" max="7178" width="46.28515625" style="82" bestFit="1" customWidth="1"/>
    <col min="7179" max="7179" width="13" style="82" customWidth="1"/>
    <col min="7180" max="7186" width="14.42578125" style="82" customWidth="1"/>
    <col min="7187" max="7187" width="19.140625" style="82" customWidth="1"/>
    <col min="7188" max="7188" width="17" style="82" customWidth="1"/>
    <col min="7189" max="7189" width="13.42578125" style="82" customWidth="1"/>
    <col min="7190" max="7190" width="14.7109375" style="82" customWidth="1"/>
    <col min="7191" max="7191" width="10" style="82" customWidth="1"/>
    <col min="7192" max="7192" width="8" style="82" customWidth="1"/>
    <col min="7193" max="7193" width="8.28515625" style="82" customWidth="1"/>
    <col min="7194" max="7194" width="18.42578125" style="82" customWidth="1"/>
    <col min="7195" max="7195" width="14.28515625" style="82" customWidth="1"/>
    <col min="7196" max="7196" width="16.7109375" style="82" customWidth="1"/>
    <col min="7197" max="7427" width="9.140625" style="82"/>
    <col min="7428" max="7428" width="3.7109375" style="82" customWidth="1"/>
    <col min="7429" max="7429" width="5.85546875" style="82" customWidth="1"/>
    <col min="7430" max="7430" width="24.7109375" style="82" customWidth="1"/>
    <col min="7431" max="7431" width="48" style="82" bestFit="1" customWidth="1"/>
    <col min="7432" max="7432" width="29.140625" style="82" bestFit="1" customWidth="1"/>
    <col min="7433" max="7433" width="19.5703125" style="82" customWidth="1"/>
    <col min="7434" max="7434" width="46.28515625" style="82" bestFit="1" customWidth="1"/>
    <col min="7435" max="7435" width="13" style="82" customWidth="1"/>
    <col min="7436" max="7442" width="14.42578125" style="82" customWidth="1"/>
    <col min="7443" max="7443" width="19.140625" style="82" customWidth="1"/>
    <col min="7444" max="7444" width="17" style="82" customWidth="1"/>
    <col min="7445" max="7445" width="13.42578125" style="82" customWidth="1"/>
    <col min="7446" max="7446" width="14.7109375" style="82" customWidth="1"/>
    <col min="7447" max="7447" width="10" style="82" customWidth="1"/>
    <col min="7448" max="7448" width="8" style="82" customWidth="1"/>
    <col min="7449" max="7449" width="8.28515625" style="82" customWidth="1"/>
    <col min="7450" max="7450" width="18.42578125" style="82" customWidth="1"/>
    <col min="7451" max="7451" width="14.28515625" style="82" customWidth="1"/>
    <col min="7452" max="7452" width="16.7109375" style="82" customWidth="1"/>
    <col min="7453" max="7683" width="9.140625" style="82"/>
    <col min="7684" max="7684" width="3.7109375" style="82" customWidth="1"/>
    <col min="7685" max="7685" width="5.85546875" style="82" customWidth="1"/>
    <col min="7686" max="7686" width="24.7109375" style="82" customWidth="1"/>
    <col min="7687" max="7687" width="48" style="82" bestFit="1" customWidth="1"/>
    <col min="7688" max="7688" width="29.140625" style="82" bestFit="1" customWidth="1"/>
    <col min="7689" max="7689" width="19.5703125" style="82" customWidth="1"/>
    <col min="7690" max="7690" width="46.28515625" style="82" bestFit="1" customWidth="1"/>
    <col min="7691" max="7691" width="13" style="82" customWidth="1"/>
    <col min="7692" max="7698" width="14.42578125" style="82" customWidth="1"/>
    <col min="7699" max="7699" width="19.140625" style="82" customWidth="1"/>
    <col min="7700" max="7700" width="17" style="82" customWidth="1"/>
    <col min="7701" max="7701" width="13.42578125" style="82" customWidth="1"/>
    <col min="7702" max="7702" width="14.7109375" style="82" customWidth="1"/>
    <col min="7703" max="7703" width="10" style="82" customWidth="1"/>
    <col min="7704" max="7704" width="8" style="82" customWidth="1"/>
    <col min="7705" max="7705" width="8.28515625" style="82" customWidth="1"/>
    <col min="7706" max="7706" width="18.42578125" style="82" customWidth="1"/>
    <col min="7707" max="7707" width="14.28515625" style="82" customWidth="1"/>
    <col min="7708" max="7708" width="16.7109375" style="82" customWidth="1"/>
    <col min="7709" max="7939" width="9.140625" style="82"/>
    <col min="7940" max="7940" width="3.7109375" style="82" customWidth="1"/>
    <col min="7941" max="7941" width="5.85546875" style="82" customWidth="1"/>
    <col min="7942" max="7942" width="24.7109375" style="82" customWidth="1"/>
    <col min="7943" max="7943" width="48" style="82" bestFit="1" customWidth="1"/>
    <col min="7944" max="7944" width="29.140625" style="82" bestFit="1" customWidth="1"/>
    <col min="7945" max="7945" width="19.5703125" style="82" customWidth="1"/>
    <col min="7946" max="7946" width="46.28515625" style="82" bestFit="1" customWidth="1"/>
    <col min="7947" max="7947" width="13" style="82" customWidth="1"/>
    <col min="7948" max="7954" width="14.42578125" style="82" customWidth="1"/>
    <col min="7955" max="7955" width="19.140625" style="82" customWidth="1"/>
    <col min="7956" max="7956" width="17" style="82" customWidth="1"/>
    <col min="7957" max="7957" width="13.42578125" style="82" customWidth="1"/>
    <col min="7958" max="7958" width="14.7109375" style="82" customWidth="1"/>
    <col min="7959" max="7959" width="10" style="82" customWidth="1"/>
    <col min="7960" max="7960" width="8" style="82" customWidth="1"/>
    <col min="7961" max="7961" width="8.28515625" style="82" customWidth="1"/>
    <col min="7962" max="7962" width="18.42578125" style="82" customWidth="1"/>
    <col min="7963" max="7963" width="14.28515625" style="82" customWidth="1"/>
    <col min="7964" max="7964" width="16.7109375" style="82" customWidth="1"/>
    <col min="7965" max="8195" width="9.140625" style="82"/>
    <col min="8196" max="8196" width="3.7109375" style="82" customWidth="1"/>
    <col min="8197" max="8197" width="5.85546875" style="82" customWidth="1"/>
    <col min="8198" max="8198" width="24.7109375" style="82" customWidth="1"/>
    <col min="8199" max="8199" width="48" style="82" bestFit="1" customWidth="1"/>
    <col min="8200" max="8200" width="29.140625" style="82" bestFit="1" customWidth="1"/>
    <col min="8201" max="8201" width="19.5703125" style="82" customWidth="1"/>
    <col min="8202" max="8202" width="46.28515625" style="82" bestFit="1" customWidth="1"/>
    <col min="8203" max="8203" width="13" style="82" customWidth="1"/>
    <col min="8204" max="8210" width="14.42578125" style="82" customWidth="1"/>
    <col min="8211" max="8211" width="19.140625" style="82" customWidth="1"/>
    <col min="8212" max="8212" width="17" style="82" customWidth="1"/>
    <col min="8213" max="8213" width="13.42578125" style="82" customWidth="1"/>
    <col min="8214" max="8214" width="14.7109375" style="82" customWidth="1"/>
    <col min="8215" max="8215" width="10" style="82" customWidth="1"/>
    <col min="8216" max="8216" width="8" style="82" customWidth="1"/>
    <col min="8217" max="8217" width="8.28515625" style="82" customWidth="1"/>
    <col min="8218" max="8218" width="18.42578125" style="82" customWidth="1"/>
    <col min="8219" max="8219" width="14.28515625" style="82" customWidth="1"/>
    <col min="8220" max="8220" width="16.7109375" style="82" customWidth="1"/>
    <col min="8221" max="8451" width="9.140625" style="82"/>
    <col min="8452" max="8452" width="3.7109375" style="82" customWidth="1"/>
    <col min="8453" max="8453" width="5.85546875" style="82" customWidth="1"/>
    <col min="8454" max="8454" width="24.7109375" style="82" customWidth="1"/>
    <col min="8455" max="8455" width="48" style="82" bestFit="1" customWidth="1"/>
    <col min="8456" max="8456" width="29.140625" style="82" bestFit="1" customWidth="1"/>
    <col min="8457" max="8457" width="19.5703125" style="82" customWidth="1"/>
    <col min="8458" max="8458" width="46.28515625" style="82" bestFit="1" customWidth="1"/>
    <col min="8459" max="8459" width="13" style="82" customWidth="1"/>
    <col min="8460" max="8466" width="14.42578125" style="82" customWidth="1"/>
    <col min="8467" max="8467" width="19.140625" style="82" customWidth="1"/>
    <col min="8468" max="8468" width="17" style="82" customWidth="1"/>
    <col min="8469" max="8469" width="13.42578125" style="82" customWidth="1"/>
    <col min="8470" max="8470" width="14.7109375" style="82" customWidth="1"/>
    <col min="8471" max="8471" width="10" style="82" customWidth="1"/>
    <col min="8472" max="8472" width="8" style="82" customWidth="1"/>
    <col min="8473" max="8473" width="8.28515625" style="82" customWidth="1"/>
    <col min="8474" max="8474" width="18.42578125" style="82" customWidth="1"/>
    <col min="8475" max="8475" width="14.28515625" style="82" customWidth="1"/>
    <col min="8476" max="8476" width="16.7109375" style="82" customWidth="1"/>
    <col min="8477" max="8707" width="9.140625" style="82"/>
    <col min="8708" max="8708" width="3.7109375" style="82" customWidth="1"/>
    <col min="8709" max="8709" width="5.85546875" style="82" customWidth="1"/>
    <col min="8710" max="8710" width="24.7109375" style="82" customWidth="1"/>
    <col min="8711" max="8711" width="48" style="82" bestFit="1" customWidth="1"/>
    <col min="8712" max="8712" width="29.140625" style="82" bestFit="1" customWidth="1"/>
    <col min="8713" max="8713" width="19.5703125" style="82" customWidth="1"/>
    <col min="8714" max="8714" width="46.28515625" style="82" bestFit="1" customWidth="1"/>
    <col min="8715" max="8715" width="13" style="82" customWidth="1"/>
    <col min="8716" max="8722" width="14.42578125" style="82" customWidth="1"/>
    <col min="8723" max="8723" width="19.140625" style="82" customWidth="1"/>
    <col min="8724" max="8724" width="17" style="82" customWidth="1"/>
    <col min="8725" max="8725" width="13.42578125" style="82" customWidth="1"/>
    <col min="8726" max="8726" width="14.7109375" style="82" customWidth="1"/>
    <col min="8727" max="8727" width="10" style="82" customWidth="1"/>
    <col min="8728" max="8728" width="8" style="82" customWidth="1"/>
    <col min="8729" max="8729" width="8.28515625" style="82" customWidth="1"/>
    <col min="8730" max="8730" width="18.42578125" style="82" customWidth="1"/>
    <col min="8731" max="8731" width="14.28515625" style="82" customWidth="1"/>
    <col min="8732" max="8732" width="16.7109375" style="82" customWidth="1"/>
    <col min="8733" max="8963" width="9.140625" style="82"/>
    <col min="8964" max="8964" width="3.7109375" style="82" customWidth="1"/>
    <col min="8965" max="8965" width="5.85546875" style="82" customWidth="1"/>
    <col min="8966" max="8966" width="24.7109375" style="82" customWidth="1"/>
    <col min="8967" max="8967" width="48" style="82" bestFit="1" customWidth="1"/>
    <col min="8968" max="8968" width="29.140625" style="82" bestFit="1" customWidth="1"/>
    <col min="8969" max="8969" width="19.5703125" style="82" customWidth="1"/>
    <col min="8970" max="8970" width="46.28515625" style="82" bestFit="1" customWidth="1"/>
    <col min="8971" max="8971" width="13" style="82" customWidth="1"/>
    <col min="8972" max="8978" width="14.42578125" style="82" customWidth="1"/>
    <col min="8979" max="8979" width="19.140625" style="82" customWidth="1"/>
    <col min="8980" max="8980" width="17" style="82" customWidth="1"/>
    <col min="8981" max="8981" width="13.42578125" style="82" customWidth="1"/>
    <col min="8982" max="8982" width="14.7109375" style="82" customWidth="1"/>
    <col min="8983" max="8983" width="10" style="82" customWidth="1"/>
    <col min="8984" max="8984" width="8" style="82" customWidth="1"/>
    <col min="8985" max="8985" width="8.28515625" style="82" customWidth="1"/>
    <col min="8986" max="8986" width="18.42578125" style="82" customWidth="1"/>
    <col min="8987" max="8987" width="14.28515625" style="82" customWidth="1"/>
    <col min="8988" max="8988" width="16.7109375" style="82" customWidth="1"/>
    <col min="8989" max="9219" width="9.140625" style="82"/>
    <col min="9220" max="9220" width="3.7109375" style="82" customWidth="1"/>
    <col min="9221" max="9221" width="5.85546875" style="82" customWidth="1"/>
    <col min="9222" max="9222" width="24.7109375" style="82" customWidth="1"/>
    <col min="9223" max="9223" width="48" style="82" bestFit="1" customWidth="1"/>
    <col min="9224" max="9224" width="29.140625" style="82" bestFit="1" customWidth="1"/>
    <col min="9225" max="9225" width="19.5703125" style="82" customWidth="1"/>
    <col min="9226" max="9226" width="46.28515625" style="82" bestFit="1" customWidth="1"/>
    <col min="9227" max="9227" width="13" style="82" customWidth="1"/>
    <col min="9228" max="9234" width="14.42578125" style="82" customWidth="1"/>
    <col min="9235" max="9235" width="19.140625" style="82" customWidth="1"/>
    <col min="9236" max="9236" width="17" style="82" customWidth="1"/>
    <col min="9237" max="9237" width="13.42578125" style="82" customWidth="1"/>
    <col min="9238" max="9238" width="14.7109375" style="82" customWidth="1"/>
    <col min="9239" max="9239" width="10" style="82" customWidth="1"/>
    <col min="9240" max="9240" width="8" style="82" customWidth="1"/>
    <col min="9241" max="9241" width="8.28515625" style="82" customWidth="1"/>
    <col min="9242" max="9242" width="18.42578125" style="82" customWidth="1"/>
    <col min="9243" max="9243" width="14.28515625" style="82" customWidth="1"/>
    <col min="9244" max="9244" width="16.7109375" style="82" customWidth="1"/>
    <col min="9245" max="9475" width="9.140625" style="82"/>
    <col min="9476" max="9476" width="3.7109375" style="82" customWidth="1"/>
    <col min="9477" max="9477" width="5.85546875" style="82" customWidth="1"/>
    <col min="9478" max="9478" width="24.7109375" style="82" customWidth="1"/>
    <col min="9479" max="9479" width="48" style="82" bestFit="1" customWidth="1"/>
    <col min="9480" max="9480" width="29.140625" style="82" bestFit="1" customWidth="1"/>
    <col min="9481" max="9481" width="19.5703125" style="82" customWidth="1"/>
    <col min="9482" max="9482" width="46.28515625" style="82" bestFit="1" customWidth="1"/>
    <col min="9483" max="9483" width="13" style="82" customWidth="1"/>
    <col min="9484" max="9490" width="14.42578125" style="82" customWidth="1"/>
    <col min="9491" max="9491" width="19.140625" style="82" customWidth="1"/>
    <col min="9492" max="9492" width="17" style="82" customWidth="1"/>
    <col min="9493" max="9493" width="13.42578125" style="82" customWidth="1"/>
    <col min="9494" max="9494" width="14.7109375" style="82" customWidth="1"/>
    <col min="9495" max="9495" width="10" style="82" customWidth="1"/>
    <col min="9496" max="9496" width="8" style="82" customWidth="1"/>
    <col min="9497" max="9497" width="8.28515625" style="82" customWidth="1"/>
    <col min="9498" max="9498" width="18.42578125" style="82" customWidth="1"/>
    <col min="9499" max="9499" width="14.28515625" style="82" customWidth="1"/>
    <col min="9500" max="9500" width="16.7109375" style="82" customWidth="1"/>
    <col min="9501" max="9731" width="9.140625" style="82"/>
    <col min="9732" max="9732" width="3.7109375" style="82" customWidth="1"/>
    <col min="9733" max="9733" width="5.85546875" style="82" customWidth="1"/>
    <col min="9734" max="9734" width="24.7109375" style="82" customWidth="1"/>
    <col min="9735" max="9735" width="48" style="82" bestFit="1" customWidth="1"/>
    <col min="9736" max="9736" width="29.140625" style="82" bestFit="1" customWidth="1"/>
    <col min="9737" max="9737" width="19.5703125" style="82" customWidth="1"/>
    <col min="9738" max="9738" width="46.28515625" style="82" bestFit="1" customWidth="1"/>
    <col min="9739" max="9739" width="13" style="82" customWidth="1"/>
    <col min="9740" max="9746" width="14.42578125" style="82" customWidth="1"/>
    <col min="9747" max="9747" width="19.140625" style="82" customWidth="1"/>
    <col min="9748" max="9748" width="17" style="82" customWidth="1"/>
    <col min="9749" max="9749" width="13.42578125" style="82" customWidth="1"/>
    <col min="9750" max="9750" width="14.7109375" style="82" customWidth="1"/>
    <col min="9751" max="9751" width="10" style="82" customWidth="1"/>
    <col min="9752" max="9752" width="8" style="82" customWidth="1"/>
    <col min="9753" max="9753" width="8.28515625" style="82" customWidth="1"/>
    <col min="9754" max="9754" width="18.42578125" style="82" customWidth="1"/>
    <col min="9755" max="9755" width="14.28515625" style="82" customWidth="1"/>
    <col min="9756" max="9756" width="16.7109375" style="82" customWidth="1"/>
    <col min="9757" max="9987" width="9.140625" style="82"/>
    <col min="9988" max="9988" width="3.7109375" style="82" customWidth="1"/>
    <col min="9989" max="9989" width="5.85546875" style="82" customWidth="1"/>
    <col min="9990" max="9990" width="24.7109375" style="82" customWidth="1"/>
    <col min="9991" max="9991" width="48" style="82" bestFit="1" customWidth="1"/>
    <col min="9992" max="9992" width="29.140625" style="82" bestFit="1" customWidth="1"/>
    <col min="9993" max="9993" width="19.5703125" style="82" customWidth="1"/>
    <col min="9994" max="9994" width="46.28515625" style="82" bestFit="1" customWidth="1"/>
    <col min="9995" max="9995" width="13" style="82" customWidth="1"/>
    <col min="9996" max="10002" width="14.42578125" style="82" customWidth="1"/>
    <col min="10003" max="10003" width="19.140625" style="82" customWidth="1"/>
    <col min="10004" max="10004" width="17" style="82" customWidth="1"/>
    <col min="10005" max="10005" width="13.42578125" style="82" customWidth="1"/>
    <col min="10006" max="10006" width="14.7109375" style="82" customWidth="1"/>
    <col min="10007" max="10007" width="10" style="82" customWidth="1"/>
    <col min="10008" max="10008" width="8" style="82" customWidth="1"/>
    <col min="10009" max="10009" width="8.28515625" style="82" customWidth="1"/>
    <col min="10010" max="10010" width="18.42578125" style="82" customWidth="1"/>
    <col min="10011" max="10011" width="14.28515625" style="82" customWidth="1"/>
    <col min="10012" max="10012" width="16.7109375" style="82" customWidth="1"/>
    <col min="10013" max="10243" width="9.140625" style="82"/>
    <col min="10244" max="10244" width="3.7109375" style="82" customWidth="1"/>
    <col min="10245" max="10245" width="5.85546875" style="82" customWidth="1"/>
    <col min="10246" max="10246" width="24.7109375" style="82" customWidth="1"/>
    <col min="10247" max="10247" width="48" style="82" bestFit="1" customWidth="1"/>
    <col min="10248" max="10248" width="29.140625" style="82" bestFit="1" customWidth="1"/>
    <col min="10249" max="10249" width="19.5703125" style="82" customWidth="1"/>
    <col min="10250" max="10250" width="46.28515625" style="82" bestFit="1" customWidth="1"/>
    <col min="10251" max="10251" width="13" style="82" customWidth="1"/>
    <col min="10252" max="10258" width="14.42578125" style="82" customWidth="1"/>
    <col min="10259" max="10259" width="19.140625" style="82" customWidth="1"/>
    <col min="10260" max="10260" width="17" style="82" customWidth="1"/>
    <col min="10261" max="10261" width="13.42578125" style="82" customWidth="1"/>
    <col min="10262" max="10262" width="14.7109375" style="82" customWidth="1"/>
    <col min="10263" max="10263" width="10" style="82" customWidth="1"/>
    <col min="10264" max="10264" width="8" style="82" customWidth="1"/>
    <col min="10265" max="10265" width="8.28515625" style="82" customWidth="1"/>
    <col min="10266" max="10266" width="18.42578125" style="82" customWidth="1"/>
    <col min="10267" max="10267" width="14.28515625" style="82" customWidth="1"/>
    <col min="10268" max="10268" width="16.7109375" style="82" customWidth="1"/>
    <col min="10269" max="10499" width="9.140625" style="82"/>
    <col min="10500" max="10500" width="3.7109375" style="82" customWidth="1"/>
    <col min="10501" max="10501" width="5.85546875" style="82" customWidth="1"/>
    <col min="10502" max="10502" width="24.7109375" style="82" customWidth="1"/>
    <col min="10503" max="10503" width="48" style="82" bestFit="1" customWidth="1"/>
    <col min="10504" max="10504" width="29.140625" style="82" bestFit="1" customWidth="1"/>
    <col min="10505" max="10505" width="19.5703125" style="82" customWidth="1"/>
    <col min="10506" max="10506" width="46.28515625" style="82" bestFit="1" customWidth="1"/>
    <col min="10507" max="10507" width="13" style="82" customWidth="1"/>
    <col min="10508" max="10514" width="14.42578125" style="82" customWidth="1"/>
    <col min="10515" max="10515" width="19.140625" style="82" customWidth="1"/>
    <col min="10516" max="10516" width="17" style="82" customWidth="1"/>
    <col min="10517" max="10517" width="13.42578125" style="82" customWidth="1"/>
    <col min="10518" max="10518" width="14.7109375" style="82" customWidth="1"/>
    <col min="10519" max="10519" width="10" style="82" customWidth="1"/>
    <col min="10520" max="10520" width="8" style="82" customWidth="1"/>
    <col min="10521" max="10521" width="8.28515625" style="82" customWidth="1"/>
    <col min="10522" max="10522" width="18.42578125" style="82" customWidth="1"/>
    <col min="10523" max="10523" width="14.28515625" style="82" customWidth="1"/>
    <col min="10524" max="10524" width="16.7109375" style="82" customWidth="1"/>
    <col min="10525" max="10755" width="9.140625" style="82"/>
    <col min="10756" max="10756" width="3.7109375" style="82" customWidth="1"/>
    <col min="10757" max="10757" width="5.85546875" style="82" customWidth="1"/>
    <col min="10758" max="10758" width="24.7109375" style="82" customWidth="1"/>
    <col min="10759" max="10759" width="48" style="82" bestFit="1" customWidth="1"/>
    <col min="10760" max="10760" width="29.140625" style="82" bestFit="1" customWidth="1"/>
    <col min="10761" max="10761" width="19.5703125" style="82" customWidth="1"/>
    <col min="10762" max="10762" width="46.28515625" style="82" bestFit="1" customWidth="1"/>
    <col min="10763" max="10763" width="13" style="82" customWidth="1"/>
    <col min="10764" max="10770" width="14.42578125" style="82" customWidth="1"/>
    <col min="10771" max="10771" width="19.140625" style="82" customWidth="1"/>
    <col min="10772" max="10772" width="17" style="82" customWidth="1"/>
    <col min="10773" max="10773" width="13.42578125" style="82" customWidth="1"/>
    <col min="10774" max="10774" width="14.7109375" style="82" customWidth="1"/>
    <col min="10775" max="10775" width="10" style="82" customWidth="1"/>
    <col min="10776" max="10776" width="8" style="82" customWidth="1"/>
    <col min="10777" max="10777" width="8.28515625" style="82" customWidth="1"/>
    <col min="10778" max="10778" width="18.42578125" style="82" customWidth="1"/>
    <col min="10779" max="10779" width="14.28515625" style="82" customWidth="1"/>
    <col min="10780" max="10780" width="16.7109375" style="82" customWidth="1"/>
    <col min="10781" max="11011" width="9.140625" style="82"/>
    <col min="11012" max="11012" width="3.7109375" style="82" customWidth="1"/>
    <col min="11013" max="11013" width="5.85546875" style="82" customWidth="1"/>
    <col min="11014" max="11014" width="24.7109375" style="82" customWidth="1"/>
    <col min="11015" max="11015" width="48" style="82" bestFit="1" customWidth="1"/>
    <col min="11016" max="11016" width="29.140625" style="82" bestFit="1" customWidth="1"/>
    <col min="11017" max="11017" width="19.5703125" style="82" customWidth="1"/>
    <col min="11018" max="11018" width="46.28515625" style="82" bestFit="1" customWidth="1"/>
    <col min="11019" max="11019" width="13" style="82" customWidth="1"/>
    <col min="11020" max="11026" width="14.42578125" style="82" customWidth="1"/>
    <col min="11027" max="11027" width="19.140625" style="82" customWidth="1"/>
    <col min="11028" max="11028" width="17" style="82" customWidth="1"/>
    <col min="11029" max="11029" width="13.42578125" style="82" customWidth="1"/>
    <col min="11030" max="11030" width="14.7109375" style="82" customWidth="1"/>
    <col min="11031" max="11031" width="10" style="82" customWidth="1"/>
    <col min="11032" max="11032" width="8" style="82" customWidth="1"/>
    <col min="11033" max="11033" width="8.28515625" style="82" customWidth="1"/>
    <col min="11034" max="11034" width="18.42578125" style="82" customWidth="1"/>
    <col min="11035" max="11035" width="14.28515625" style="82" customWidth="1"/>
    <col min="11036" max="11036" width="16.7109375" style="82" customWidth="1"/>
    <col min="11037" max="11267" width="9.140625" style="82"/>
    <col min="11268" max="11268" width="3.7109375" style="82" customWidth="1"/>
    <col min="11269" max="11269" width="5.85546875" style="82" customWidth="1"/>
    <col min="11270" max="11270" width="24.7109375" style="82" customWidth="1"/>
    <col min="11271" max="11271" width="48" style="82" bestFit="1" customWidth="1"/>
    <col min="11272" max="11272" width="29.140625" style="82" bestFit="1" customWidth="1"/>
    <col min="11273" max="11273" width="19.5703125" style="82" customWidth="1"/>
    <col min="11274" max="11274" width="46.28515625" style="82" bestFit="1" customWidth="1"/>
    <col min="11275" max="11275" width="13" style="82" customWidth="1"/>
    <col min="11276" max="11282" width="14.42578125" style="82" customWidth="1"/>
    <col min="11283" max="11283" width="19.140625" style="82" customWidth="1"/>
    <col min="11284" max="11284" width="17" style="82" customWidth="1"/>
    <col min="11285" max="11285" width="13.42578125" style="82" customWidth="1"/>
    <col min="11286" max="11286" width="14.7109375" style="82" customWidth="1"/>
    <col min="11287" max="11287" width="10" style="82" customWidth="1"/>
    <col min="11288" max="11288" width="8" style="82" customWidth="1"/>
    <col min="11289" max="11289" width="8.28515625" style="82" customWidth="1"/>
    <col min="11290" max="11290" width="18.42578125" style="82" customWidth="1"/>
    <col min="11291" max="11291" width="14.28515625" style="82" customWidth="1"/>
    <col min="11292" max="11292" width="16.7109375" style="82" customWidth="1"/>
    <col min="11293" max="11523" width="9.140625" style="82"/>
    <col min="11524" max="11524" width="3.7109375" style="82" customWidth="1"/>
    <col min="11525" max="11525" width="5.85546875" style="82" customWidth="1"/>
    <col min="11526" max="11526" width="24.7109375" style="82" customWidth="1"/>
    <col min="11527" max="11527" width="48" style="82" bestFit="1" customWidth="1"/>
    <col min="11528" max="11528" width="29.140625" style="82" bestFit="1" customWidth="1"/>
    <col min="11529" max="11529" width="19.5703125" style="82" customWidth="1"/>
    <col min="11530" max="11530" width="46.28515625" style="82" bestFit="1" customWidth="1"/>
    <col min="11531" max="11531" width="13" style="82" customWidth="1"/>
    <col min="11532" max="11538" width="14.42578125" style="82" customWidth="1"/>
    <col min="11539" max="11539" width="19.140625" style="82" customWidth="1"/>
    <col min="11540" max="11540" width="17" style="82" customWidth="1"/>
    <col min="11541" max="11541" width="13.42578125" style="82" customWidth="1"/>
    <col min="11542" max="11542" width="14.7109375" style="82" customWidth="1"/>
    <col min="11543" max="11543" width="10" style="82" customWidth="1"/>
    <col min="11544" max="11544" width="8" style="82" customWidth="1"/>
    <col min="11545" max="11545" width="8.28515625" style="82" customWidth="1"/>
    <col min="11546" max="11546" width="18.42578125" style="82" customWidth="1"/>
    <col min="11547" max="11547" width="14.28515625" style="82" customWidth="1"/>
    <col min="11548" max="11548" width="16.7109375" style="82" customWidth="1"/>
    <col min="11549" max="11779" width="9.140625" style="82"/>
    <col min="11780" max="11780" width="3.7109375" style="82" customWidth="1"/>
    <col min="11781" max="11781" width="5.85546875" style="82" customWidth="1"/>
    <col min="11782" max="11782" width="24.7109375" style="82" customWidth="1"/>
    <col min="11783" max="11783" width="48" style="82" bestFit="1" customWidth="1"/>
    <col min="11784" max="11784" width="29.140625" style="82" bestFit="1" customWidth="1"/>
    <col min="11785" max="11785" width="19.5703125" style="82" customWidth="1"/>
    <col min="11786" max="11786" width="46.28515625" style="82" bestFit="1" customWidth="1"/>
    <col min="11787" max="11787" width="13" style="82" customWidth="1"/>
    <col min="11788" max="11794" width="14.42578125" style="82" customWidth="1"/>
    <col min="11795" max="11795" width="19.140625" style="82" customWidth="1"/>
    <col min="11796" max="11796" width="17" style="82" customWidth="1"/>
    <col min="11797" max="11797" width="13.42578125" style="82" customWidth="1"/>
    <col min="11798" max="11798" width="14.7109375" style="82" customWidth="1"/>
    <col min="11799" max="11799" width="10" style="82" customWidth="1"/>
    <col min="11800" max="11800" width="8" style="82" customWidth="1"/>
    <col min="11801" max="11801" width="8.28515625" style="82" customWidth="1"/>
    <col min="11802" max="11802" width="18.42578125" style="82" customWidth="1"/>
    <col min="11803" max="11803" width="14.28515625" style="82" customWidth="1"/>
    <col min="11804" max="11804" width="16.7109375" style="82" customWidth="1"/>
    <col min="11805" max="12035" width="9.140625" style="82"/>
    <col min="12036" max="12036" width="3.7109375" style="82" customWidth="1"/>
    <col min="12037" max="12037" width="5.85546875" style="82" customWidth="1"/>
    <col min="12038" max="12038" width="24.7109375" style="82" customWidth="1"/>
    <col min="12039" max="12039" width="48" style="82" bestFit="1" customWidth="1"/>
    <col min="12040" max="12040" width="29.140625" style="82" bestFit="1" customWidth="1"/>
    <col min="12041" max="12041" width="19.5703125" style="82" customWidth="1"/>
    <col min="12042" max="12042" width="46.28515625" style="82" bestFit="1" customWidth="1"/>
    <col min="12043" max="12043" width="13" style="82" customWidth="1"/>
    <col min="12044" max="12050" width="14.42578125" style="82" customWidth="1"/>
    <col min="12051" max="12051" width="19.140625" style="82" customWidth="1"/>
    <col min="12052" max="12052" width="17" style="82" customWidth="1"/>
    <col min="12053" max="12053" width="13.42578125" style="82" customWidth="1"/>
    <col min="12054" max="12054" width="14.7109375" style="82" customWidth="1"/>
    <col min="12055" max="12055" width="10" style="82" customWidth="1"/>
    <col min="12056" max="12056" width="8" style="82" customWidth="1"/>
    <col min="12057" max="12057" width="8.28515625" style="82" customWidth="1"/>
    <col min="12058" max="12058" width="18.42578125" style="82" customWidth="1"/>
    <col min="12059" max="12059" width="14.28515625" style="82" customWidth="1"/>
    <col min="12060" max="12060" width="16.7109375" style="82" customWidth="1"/>
    <col min="12061" max="12291" width="9.140625" style="82"/>
    <col min="12292" max="12292" width="3.7109375" style="82" customWidth="1"/>
    <col min="12293" max="12293" width="5.85546875" style="82" customWidth="1"/>
    <col min="12294" max="12294" width="24.7109375" style="82" customWidth="1"/>
    <col min="12295" max="12295" width="48" style="82" bestFit="1" customWidth="1"/>
    <col min="12296" max="12296" width="29.140625" style="82" bestFit="1" customWidth="1"/>
    <col min="12297" max="12297" width="19.5703125" style="82" customWidth="1"/>
    <col min="12298" max="12298" width="46.28515625" style="82" bestFit="1" customWidth="1"/>
    <col min="12299" max="12299" width="13" style="82" customWidth="1"/>
    <col min="12300" max="12306" width="14.42578125" style="82" customWidth="1"/>
    <col min="12307" max="12307" width="19.140625" style="82" customWidth="1"/>
    <col min="12308" max="12308" width="17" style="82" customWidth="1"/>
    <col min="12309" max="12309" width="13.42578125" style="82" customWidth="1"/>
    <col min="12310" max="12310" width="14.7109375" style="82" customWidth="1"/>
    <col min="12311" max="12311" width="10" style="82" customWidth="1"/>
    <col min="12312" max="12312" width="8" style="82" customWidth="1"/>
    <col min="12313" max="12313" width="8.28515625" style="82" customWidth="1"/>
    <col min="12314" max="12314" width="18.42578125" style="82" customWidth="1"/>
    <col min="12315" max="12315" width="14.28515625" style="82" customWidth="1"/>
    <col min="12316" max="12316" width="16.7109375" style="82" customWidth="1"/>
    <col min="12317" max="12547" width="9.140625" style="82"/>
    <col min="12548" max="12548" width="3.7109375" style="82" customWidth="1"/>
    <col min="12549" max="12549" width="5.85546875" style="82" customWidth="1"/>
    <col min="12550" max="12550" width="24.7109375" style="82" customWidth="1"/>
    <col min="12551" max="12551" width="48" style="82" bestFit="1" customWidth="1"/>
    <col min="12552" max="12552" width="29.140625" style="82" bestFit="1" customWidth="1"/>
    <col min="12553" max="12553" width="19.5703125" style="82" customWidth="1"/>
    <col min="12554" max="12554" width="46.28515625" style="82" bestFit="1" customWidth="1"/>
    <col min="12555" max="12555" width="13" style="82" customWidth="1"/>
    <col min="12556" max="12562" width="14.42578125" style="82" customWidth="1"/>
    <col min="12563" max="12563" width="19.140625" style="82" customWidth="1"/>
    <col min="12564" max="12564" width="17" style="82" customWidth="1"/>
    <col min="12565" max="12565" width="13.42578125" style="82" customWidth="1"/>
    <col min="12566" max="12566" width="14.7109375" style="82" customWidth="1"/>
    <col min="12567" max="12567" width="10" style="82" customWidth="1"/>
    <col min="12568" max="12568" width="8" style="82" customWidth="1"/>
    <col min="12569" max="12569" width="8.28515625" style="82" customWidth="1"/>
    <col min="12570" max="12570" width="18.42578125" style="82" customWidth="1"/>
    <col min="12571" max="12571" width="14.28515625" style="82" customWidth="1"/>
    <col min="12572" max="12572" width="16.7109375" style="82" customWidth="1"/>
    <col min="12573" max="12803" width="9.140625" style="82"/>
    <col min="12804" max="12804" width="3.7109375" style="82" customWidth="1"/>
    <col min="12805" max="12805" width="5.85546875" style="82" customWidth="1"/>
    <col min="12806" max="12806" width="24.7109375" style="82" customWidth="1"/>
    <col min="12807" max="12807" width="48" style="82" bestFit="1" customWidth="1"/>
    <col min="12808" max="12808" width="29.140625" style="82" bestFit="1" customWidth="1"/>
    <col min="12809" max="12809" width="19.5703125" style="82" customWidth="1"/>
    <col min="12810" max="12810" width="46.28515625" style="82" bestFit="1" customWidth="1"/>
    <col min="12811" max="12811" width="13" style="82" customWidth="1"/>
    <col min="12812" max="12818" width="14.42578125" style="82" customWidth="1"/>
    <col min="12819" max="12819" width="19.140625" style="82" customWidth="1"/>
    <col min="12820" max="12820" width="17" style="82" customWidth="1"/>
    <col min="12821" max="12821" width="13.42578125" style="82" customWidth="1"/>
    <col min="12822" max="12822" width="14.7109375" style="82" customWidth="1"/>
    <col min="12823" max="12823" width="10" style="82" customWidth="1"/>
    <col min="12824" max="12824" width="8" style="82" customWidth="1"/>
    <col min="12825" max="12825" width="8.28515625" style="82" customWidth="1"/>
    <col min="12826" max="12826" width="18.42578125" style="82" customWidth="1"/>
    <col min="12827" max="12827" width="14.28515625" style="82" customWidth="1"/>
    <col min="12828" max="12828" width="16.7109375" style="82" customWidth="1"/>
    <col min="12829" max="13059" width="9.140625" style="82"/>
    <col min="13060" max="13060" width="3.7109375" style="82" customWidth="1"/>
    <col min="13061" max="13061" width="5.85546875" style="82" customWidth="1"/>
    <col min="13062" max="13062" width="24.7109375" style="82" customWidth="1"/>
    <col min="13063" max="13063" width="48" style="82" bestFit="1" customWidth="1"/>
    <col min="13064" max="13064" width="29.140625" style="82" bestFit="1" customWidth="1"/>
    <col min="13065" max="13065" width="19.5703125" style="82" customWidth="1"/>
    <col min="13066" max="13066" width="46.28515625" style="82" bestFit="1" customWidth="1"/>
    <col min="13067" max="13067" width="13" style="82" customWidth="1"/>
    <col min="13068" max="13074" width="14.42578125" style="82" customWidth="1"/>
    <col min="13075" max="13075" width="19.140625" style="82" customWidth="1"/>
    <col min="13076" max="13076" width="17" style="82" customWidth="1"/>
    <col min="13077" max="13077" width="13.42578125" style="82" customWidth="1"/>
    <col min="13078" max="13078" width="14.7109375" style="82" customWidth="1"/>
    <col min="13079" max="13079" width="10" style="82" customWidth="1"/>
    <col min="13080" max="13080" width="8" style="82" customWidth="1"/>
    <col min="13081" max="13081" width="8.28515625" style="82" customWidth="1"/>
    <col min="13082" max="13082" width="18.42578125" style="82" customWidth="1"/>
    <col min="13083" max="13083" width="14.28515625" style="82" customWidth="1"/>
    <col min="13084" max="13084" width="16.7109375" style="82" customWidth="1"/>
    <col min="13085" max="13315" width="9.140625" style="82"/>
    <col min="13316" max="13316" width="3.7109375" style="82" customWidth="1"/>
    <col min="13317" max="13317" width="5.85546875" style="82" customWidth="1"/>
    <col min="13318" max="13318" width="24.7109375" style="82" customWidth="1"/>
    <col min="13319" max="13319" width="48" style="82" bestFit="1" customWidth="1"/>
    <col min="13320" max="13320" width="29.140625" style="82" bestFit="1" customWidth="1"/>
    <col min="13321" max="13321" width="19.5703125" style="82" customWidth="1"/>
    <col min="13322" max="13322" width="46.28515625" style="82" bestFit="1" customWidth="1"/>
    <col min="13323" max="13323" width="13" style="82" customWidth="1"/>
    <col min="13324" max="13330" width="14.42578125" style="82" customWidth="1"/>
    <col min="13331" max="13331" width="19.140625" style="82" customWidth="1"/>
    <col min="13332" max="13332" width="17" style="82" customWidth="1"/>
    <col min="13333" max="13333" width="13.42578125" style="82" customWidth="1"/>
    <col min="13334" max="13334" width="14.7109375" style="82" customWidth="1"/>
    <col min="13335" max="13335" width="10" style="82" customWidth="1"/>
    <col min="13336" max="13336" width="8" style="82" customWidth="1"/>
    <col min="13337" max="13337" width="8.28515625" style="82" customWidth="1"/>
    <col min="13338" max="13338" width="18.42578125" style="82" customWidth="1"/>
    <col min="13339" max="13339" width="14.28515625" style="82" customWidth="1"/>
    <col min="13340" max="13340" width="16.7109375" style="82" customWidth="1"/>
    <col min="13341" max="13571" width="9.140625" style="82"/>
    <col min="13572" max="13572" width="3.7109375" style="82" customWidth="1"/>
    <col min="13573" max="13573" width="5.85546875" style="82" customWidth="1"/>
    <col min="13574" max="13574" width="24.7109375" style="82" customWidth="1"/>
    <col min="13575" max="13575" width="48" style="82" bestFit="1" customWidth="1"/>
    <col min="13576" max="13576" width="29.140625" style="82" bestFit="1" customWidth="1"/>
    <col min="13577" max="13577" width="19.5703125" style="82" customWidth="1"/>
    <col min="13578" max="13578" width="46.28515625" style="82" bestFit="1" customWidth="1"/>
    <col min="13579" max="13579" width="13" style="82" customWidth="1"/>
    <col min="13580" max="13586" width="14.42578125" style="82" customWidth="1"/>
    <col min="13587" max="13587" width="19.140625" style="82" customWidth="1"/>
    <col min="13588" max="13588" width="17" style="82" customWidth="1"/>
    <col min="13589" max="13589" width="13.42578125" style="82" customWidth="1"/>
    <col min="13590" max="13590" width="14.7109375" style="82" customWidth="1"/>
    <col min="13591" max="13591" width="10" style="82" customWidth="1"/>
    <col min="13592" max="13592" width="8" style="82" customWidth="1"/>
    <col min="13593" max="13593" width="8.28515625" style="82" customWidth="1"/>
    <col min="13594" max="13594" width="18.42578125" style="82" customWidth="1"/>
    <col min="13595" max="13595" width="14.28515625" style="82" customWidth="1"/>
    <col min="13596" max="13596" width="16.7109375" style="82" customWidth="1"/>
    <col min="13597" max="13827" width="9.140625" style="82"/>
    <col min="13828" max="13828" width="3.7109375" style="82" customWidth="1"/>
    <col min="13829" max="13829" width="5.85546875" style="82" customWidth="1"/>
    <col min="13830" max="13830" width="24.7109375" style="82" customWidth="1"/>
    <col min="13831" max="13831" width="48" style="82" bestFit="1" customWidth="1"/>
    <col min="13832" max="13832" width="29.140625" style="82" bestFit="1" customWidth="1"/>
    <col min="13833" max="13833" width="19.5703125" style="82" customWidth="1"/>
    <col min="13834" max="13834" width="46.28515625" style="82" bestFit="1" customWidth="1"/>
    <col min="13835" max="13835" width="13" style="82" customWidth="1"/>
    <col min="13836" max="13842" width="14.42578125" style="82" customWidth="1"/>
    <col min="13843" max="13843" width="19.140625" style="82" customWidth="1"/>
    <col min="13844" max="13844" width="17" style="82" customWidth="1"/>
    <col min="13845" max="13845" width="13.42578125" style="82" customWidth="1"/>
    <col min="13846" max="13846" width="14.7109375" style="82" customWidth="1"/>
    <col min="13847" max="13847" width="10" style="82" customWidth="1"/>
    <col min="13848" max="13848" width="8" style="82" customWidth="1"/>
    <col min="13849" max="13849" width="8.28515625" style="82" customWidth="1"/>
    <col min="13850" max="13850" width="18.42578125" style="82" customWidth="1"/>
    <col min="13851" max="13851" width="14.28515625" style="82" customWidth="1"/>
    <col min="13852" max="13852" width="16.7109375" style="82" customWidth="1"/>
    <col min="13853" max="14083" width="9.140625" style="82"/>
    <col min="14084" max="14084" width="3.7109375" style="82" customWidth="1"/>
    <col min="14085" max="14085" width="5.85546875" style="82" customWidth="1"/>
    <col min="14086" max="14086" width="24.7109375" style="82" customWidth="1"/>
    <col min="14087" max="14087" width="48" style="82" bestFit="1" customWidth="1"/>
    <col min="14088" max="14088" width="29.140625" style="82" bestFit="1" customWidth="1"/>
    <col min="14089" max="14089" width="19.5703125" style="82" customWidth="1"/>
    <col min="14090" max="14090" width="46.28515625" style="82" bestFit="1" customWidth="1"/>
    <col min="14091" max="14091" width="13" style="82" customWidth="1"/>
    <col min="14092" max="14098" width="14.42578125" style="82" customWidth="1"/>
    <col min="14099" max="14099" width="19.140625" style="82" customWidth="1"/>
    <col min="14100" max="14100" width="17" style="82" customWidth="1"/>
    <col min="14101" max="14101" width="13.42578125" style="82" customWidth="1"/>
    <col min="14102" max="14102" width="14.7109375" style="82" customWidth="1"/>
    <col min="14103" max="14103" width="10" style="82" customWidth="1"/>
    <col min="14104" max="14104" width="8" style="82" customWidth="1"/>
    <col min="14105" max="14105" width="8.28515625" style="82" customWidth="1"/>
    <col min="14106" max="14106" width="18.42578125" style="82" customWidth="1"/>
    <col min="14107" max="14107" width="14.28515625" style="82" customWidth="1"/>
    <col min="14108" max="14108" width="16.7109375" style="82" customWidth="1"/>
    <col min="14109" max="14339" width="9.140625" style="82"/>
    <col min="14340" max="14340" width="3.7109375" style="82" customWidth="1"/>
    <col min="14341" max="14341" width="5.85546875" style="82" customWidth="1"/>
    <col min="14342" max="14342" width="24.7109375" style="82" customWidth="1"/>
    <col min="14343" max="14343" width="48" style="82" bestFit="1" customWidth="1"/>
    <col min="14344" max="14344" width="29.140625" style="82" bestFit="1" customWidth="1"/>
    <col min="14345" max="14345" width="19.5703125" style="82" customWidth="1"/>
    <col min="14346" max="14346" width="46.28515625" style="82" bestFit="1" customWidth="1"/>
    <col min="14347" max="14347" width="13" style="82" customWidth="1"/>
    <col min="14348" max="14354" width="14.42578125" style="82" customWidth="1"/>
    <col min="14355" max="14355" width="19.140625" style="82" customWidth="1"/>
    <col min="14356" max="14356" width="17" style="82" customWidth="1"/>
    <col min="14357" max="14357" width="13.42578125" style="82" customWidth="1"/>
    <col min="14358" max="14358" width="14.7109375" style="82" customWidth="1"/>
    <col min="14359" max="14359" width="10" style="82" customWidth="1"/>
    <col min="14360" max="14360" width="8" style="82" customWidth="1"/>
    <col min="14361" max="14361" width="8.28515625" style="82" customWidth="1"/>
    <col min="14362" max="14362" width="18.42578125" style="82" customWidth="1"/>
    <col min="14363" max="14363" width="14.28515625" style="82" customWidth="1"/>
    <col min="14364" max="14364" width="16.7109375" style="82" customWidth="1"/>
    <col min="14365" max="14595" width="9.140625" style="82"/>
    <col min="14596" max="14596" width="3.7109375" style="82" customWidth="1"/>
    <col min="14597" max="14597" width="5.85546875" style="82" customWidth="1"/>
    <col min="14598" max="14598" width="24.7109375" style="82" customWidth="1"/>
    <col min="14599" max="14599" width="48" style="82" bestFit="1" customWidth="1"/>
    <col min="14600" max="14600" width="29.140625" style="82" bestFit="1" customWidth="1"/>
    <col min="14601" max="14601" width="19.5703125" style="82" customWidth="1"/>
    <col min="14602" max="14602" width="46.28515625" style="82" bestFit="1" customWidth="1"/>
    <col min="14603" max="14603" width="13" style="82" customWidth="1"/>
    <col min="14604" max="14610" width="14.42578125" style="82" customWidth="1"/>
    <col min="14611" max="14611" width="19.140625" style="82" customWidth="1"/>
    <col min="14612" max="14612" width="17" style="82" customWidth="1"/>
    <col min="14613" max="14613" width="13.42578125" style="82" customWidth="1"/>
    <col min="14614" max="14614" width="14.7109375" style="82" customWidth="1"/>
    <col min="14615" max="14615" width="10" style="82" customWidth="1"/>
    <col min="14616" max="14616" width="8" style="82" customWidth="1"/>
    <col min="14617" max="14617" width="8.28515625" style="82" customWidth="1"/>
    <col min="14618" max="14618" width="18.42578125" style="82" customWidth="1"/>
    <col min="14619" max="14619" width="14.28515625" style="82" customWidth="1"/>
    <col min="14620" max="14620" width="16.7109375" style="82" customWidth="1"/>
    <col min="14621" max="14851" width="9.140625" style="82"/>
    <col min="14852" max="14852" width="3.7109375" style="82" customWidth="1"/>
    <col min="14853" max="14853" width="5.85546875" style="82" customWidth="1"/>
    <col min="14854" max="14854" width="24.7109375" style="82" customWidth="1"/>
    <col min="14855" max="14855" width="48" style="82" bestFit="1" customWidth="1"/>
    <col min="14856" max="14856" width="29.140625" style="82" bestFit="1" customWidth="1"/>
    <col min="14857" max="14857" width="19.5703125" style="82" customWidth="1"/>
    <col min="14858" max="14858" width="46.28515625" style="82" bestFit="1" customWidth="1"/>
    <col min="14859" max="14859" width="13" style="82" customWidth="1"/>
    <col min="14860" max="14866" width="14.42578125" style="82" customWidth="1"/>
    <col min="14867" max="14867" width="19.140625" style="82" customWidth="1"/>
    <col min="14868" max="14868" width="17" style="82" customWidth="1"/>
    <col min="14869" max="14869" width="13.42578125" style="82" customWidth="1"/>
    <col min="14870" max="14870" width="14.7109375" style="82" customWidth="1"/>
    <col min="14871" max="14871" width="10" style="82" customWidth="1"/>
    <col min="14872" max="14872" width="8" style="82" customWidth="1"/>
    <col min="14873" max="14873" width="8.28515625" style="82" customWidth="1"/>
    <col min="14874" max="14874" width="18.42578125" style="82" customWidth="1"/>
    <col min="14875" max="14875" width="14.28515625" style="82" customWidth="1"/>
    <col min="14876" max="14876" width="16.7109375" style="82" customWidth="1"/>
    <col min="14877" max="15107" width="9.140625" style="82"/>
    <col min="15108" max="15108" width="3.7109375" style="82" customWidth="1"/>
    <col min="15109" max="15109" width="5.85546875" style="82" customWidth="1"/>
    <col min="15110" max="15110" width="24.7109375" style="82" customWidth="1"/>
    <col min="15111" max="15111" width="48" style="82" bestFit="1" customWidth="1"/>
    <col min="15112" max="15112" width="29.140625" style="82" bestFit="1" customWidth="1"/>
    <col min="15113" max="15113" width="19.5703125" style="82" customWidth="1"/>
    <col min="15114" max="15114" width="46.28515625" style="82" bestFit="1" customWidth="1"/>
    <col min="15115" max="15115" width="13" style="82" customWidth="1"/>
    <col min="15116" max="15122" width="14.42578125" style="82" customWidth="1"/>
    <col min="15123" max="15123" width="19.140625" style="82" customWidth="1"/>
    <col min="15124" max="15124" width="17" style="82" customWidth="1"/>
    <col min="15125" max="15125" width="13.42578125" style="82" customWidth="1"/>
    <col min="15126" max="15126" width="14.7109375" style="82" customWidth="1"/>
    <col min="15127" max="15127" width="10" style="82" customWidth="1"/>
    <col min="15128" max="15128" width="8" style="82" customWidth="1"/>
    <col min="15129" max="15129" width="8.28515625" style="82" customWidth="1"/>
    <col min="15130" max="15130" width="18.42578125" style="82" customWidth="1"/>
    <col min="15131" max="15131" width="14.28515625" style="82" customWidth="1"/>
    <col min="15132" max="15132" width="16.7109375" style="82" customWidth="1"/>
    <col min="15133" max="15363" width="9.140625" style="82"/>
    <col min="15364" max="15364" width="3.7109375" style="82" customWidth="1"/>
    <col min="15365" max="15365" width="5.85546875" style="82" customWidth="1"/>
    <col min="15366" max="15366" width="24.7109375" style="82" customWidth="1"/>
    <col min="15367" max="15367" width="48" style="82" bestFit="1" customWidth="1"/>
    <col min="15368" max="15368" width="29.140625" style="82" bestFit="1" customWidth="1"/>
    <col min="15369" max="15369" width="19.5703125" style="82" customWidth="1"/>
    <col min="15370" max="15370" width="46.28515625" style="82" bestFit="1" customWidth="1"/>
    <col min="15371" max="15371" width="13" style="82" customWidth="1"/>
    <col min="15372" max="15378" width="14.42578125" style="82" customWidth="1"/>
    <col min="15379" max="15379" width="19.140625" style="82" customWidth="1"/>
    <col min="15380" max="15380" width="17" style="82" customWidth="1"/>
    <col min="15381" max="15381" width="13.42578125" style="82" customWidth="1"/>
    <col min="15382" max="15382" width="14.7109375" style="82" customWidth="1"/>
    <col min="15383" max="15383" width="10" style="82" customWidth="1"/>
    <col min="15384" max="15384" width="8" style="82" customWidth="1"/>
    <col min="15385" max="15385" width="8.28515625" style="82" customWidth="1"/>
    <col min="15386" max="15386" width="18.42578125" style="82" customWidth="1"/>
    <col min="15387" max="15387" width="14.28515625" style="82" customWidth="1"/>
    <col min="15388" max="15388" width="16.7109375" style="82" customWidth="1"/>
    <col min="15389" max="15619" width="9.140625" style="82"/>
    <col min="15620" max="15620" width="3.7109375" style="82" customWidth="1"/>
    <col min="15621" max="15621" width="5.85546875" style="82" customWidth="1"/>
    <col min="15622" max="15622" width="24.7109375" style="82" customWidth="1"/>
    <col min="15623" max="15623" width="48" style="82" bestFit="1" customWidth="1"/>
    <col min="15624" max="15624" width="29.140625" style="82" bestFit="1" customWidth="1"/>
    <col min="15625" max="15625" width="19.5703125" style="82" customWidth="1"/>
    <col min="15626" max="15626" width="46.28515625" style="82" bestFit="1" customWidth="1"/>
    <col min="15627" max="15627" width="13" style="82" customWidth="1"/>
    <col min="15628" max="15634" width="14.42578125" style="82" customWidth="1"/>
    <col min="15635" max="15635" width="19.140625" style="82" customWidth="1"/>
    <col min="15636" max="15636" width="17" style="82" customWidth="1"/>
    <col min="15637" max="15637" width="13.42578125" style="82" customWidth="1"/>
    <col min="15638" max="15638" width="14.7109375" style="82" customWidth="1"/>
    <col min="15639" max="15639" width="10" style="82" customWidth="1"/>
    <col min="15640" max="15640" width="8" style="82" customWidth="1"/>
    <col min="15641" max="15641" width="8.28515625" style="82" customWidth="1"/>
    <col min="15642" max="15642" width="18.42578125" style="82" customWidth="1"/>
    <col min="15643" max="15643" width="14.28515625" style="82" customWidth="1"/>
    <col min="15644" max="15644" width="16.7109375" style="82" customWidth="1"/>
    <col min="15645" max="15875" width="9.140625" style="82"/>
    <col min="15876" max="15876" width="3.7109375" style="82" customWidth="1"/>
    <col min="15877" max="15877" width="5.85546875" style="82" customWidth="1"/>
    <col min="15878" max="15878" width="24.7109375" style="82" customWidth="1"/>
    <col min="15879" max="15879" width="48" style="82" bestFit="1" customWidth="1"/>
    <col min="15880" max="15880" width="29.140625" style="82" bestFit="1" customWidth="1"/>
    <col min="15881" max="15881" width="19.5703125" style="82" customWidth="1"/>
    <col min="15882" max="15882" width="46.28515625" style="82" bestFit="1" customWidth="1"/>
    <col min="15883" max="15883" width="13" style="82" customWidth="1"/>
    <col min="15884" max="15890" width="14.42578125" style="82" customWidth="1"/>
    <col min="15891" max="15891" width="19.140625" style="82" customWidth="1"/>
    <col min="15892" max="15892" width="17" style="82" customWidth="1"/>
    <col min="15893" max="15893" width="13.42578125" style="82" customWidth="1"/>
    <col min="15894" max="15894" width="14.7109375" style="82" customWidth="1"/>
    <col min="15895" max="15895" width="10" style="82" customWidth="1"/>
    <col min="15896" max="15896" width="8" style="82" customWidth="1"/>
    <col min="15897" max="15897" width="8.28515625" style="82" customWidth="1"/>
    <col min="15898" max="15898" width="18.42578125" style="82" customWidth="1"/>
    <col min="15899" max="15899" width="14.28515625" style="82" customWidth="1"/>
    <col min="15900" max="15900" width="16.7109375" style="82" customWidth="1"/>
    <col min="15901" max="16131" width="9.140625" style="82"/>
    <col min="16132" max="16132" width="3.7109375" style="82" customWidth="1"/>
    <col min="16133" max="16133" width="5.85546875" style="82" customWidth="1"/>
    <col min="16134" max="16134" width="24.7109375" style="82" customWidth="1"/>
    <col min="16135" max="16135" width="48" style="82" bestFit="1" customWidth="1"/>
    <col min="16136" max="16136" width="29.140625" style="82" bestFit="1" customWidth="1"/>
    <col min="16137" max="16137" width="19.5703125" style="82" customWidth="1"/>
    <col min="16138" max="16138" width="46.28515625" style="82" bestFit="1" customWidth="1"/>
    <col min="16139" max="16139" width="13" style="82" customWidth="1"/>
    <col min="16140" max="16146" width="14.42578125" style="82" customWidth="1"/>
    <col min="16147" max="16147" width="19.140625" style="82" customWidth="1"/>
    <col min="16148" max="16148" width="17" style="82" customWidth="1"/>
    <col min="16149" max="16149" width="13.42578125" style="82" customWidth="1"/>
    <col min="16150" max="16150" width="14.7109375" style="82" customWidth="1"/>
    <col min="16151" max="16151" width="10" style="82" customWidth="1"/>
    <col min="16152" max="16152" width="8" style="82" customWidth="1"/>
    <col min="16153" max="16153" width="8.28515625" style="82" customWidth="1"/>
    <col min="16154" max="16154" width="18.42578125" style="82" customWidth="1"/>
    <col min="16155" max="16155" width="14.28515625" style="82" customWidth="1"/>
    <col min="16156" max="16156" width="16.7109375" style="82" customWidth="1"/>
    <col min="16157" max="16384" width="9.140625" style="82"/>
  </cols>
  <sheetData>
    <row r="1" spans="1:24" ht="19.5" customHeight="1" x14ac:dyDescent="0.25">
      <c r="A1" s="38"/>
      <c r="B1" s="38"/>
      <c r="C1" s="38"/>
      <c r="D1" s="38"/>
      <c r="E1" s="38"/>
      <c r="F1" s="38"/>
      <c r="G1" s="38"/>
      <c r="H1" s="38"/>
      <c r="I1" s="38"/>
      <c r="J1" s="27"/>
      <c r="K1" s="27"/>
      <c r="L1" s="27"/>
      <c r="M1" s="27"/>
      <c r="N1" s="27"/>
      <c r="O1" s="27"/>
      <c r="P1" s="27"/>
      <c r="Q1" s="27"/>
      <c r="R1" s="38"/>
      <c r="S1" s="38"/>
      <c r="T1" s="38"/>
      <c r="U1" s="197" t="s">
        <v>76</v>
      </c>
      <c r="V1" s="197" t="s">
        <v>580</v>
      </c>
      <c r="W1" s="197"/>
      <c r="X1" s="83"/>
    </row>
    <row r="2" spans="1:24" ht="27" customHeight="1" x14ac:dyDescent="0.25">
      <c r="A2" s="38"/>
      <c r="B2" s="552" t="s">
        <v>581</v>
      </c>
      <c r="C2" s="553"/>
      <c r="D2" s="553"/>
      <c r="E2" s="553"/>
      <c r="F2" s="553"/>
      <c r="G2" s="553"/>
      <c r="H2" s="553"/>
      <c r="I2" s="553"/>
      <c r="J2" s="553"/>
      <c r="K2" s="553"/>
      <c r="L2" s="553"/>
      <c r="M2" s="553"/>
      <c r="N2" s="553"/>
      <c r="O2" s="553"/>
      <c r="P2" s="553"/>
      <c r="Q2" s="553"/>
      <c r="R2" s="553"/>
      <c r="S2" s="553"/>
      <c r="T2" s="553"/>
      <c r="U2" s="27"/>
      <c r="V2" s="27"/>
      <c r="W2" s="27"/>
      <c r="X2" s="83"/>
    </row>
    <row r="3" spans="1:24" ht="23.25" customHeight="1" x14ac:dyDescent="0.25">
      <c r="A3" s="38"/>
      <c r="B3" s="505" t="s">
        <v>79</v>
      </c>
      <c r="C3" s="506"/>
      <c r="D3" s="513" t="s">
        <v>582</v>
      </c>
      <c r="E3" s="513"/>
      <c r="F3" s="513"/>
      <c r="G3" s="513"/>
      <c r="H3" s="513"/>
      <c r="I3" s="38"/>
      <c r="J3" s="27"/>
      <c r="K3" s="27"/>
      <c r="L3" s="27"/>
      <c r="M3" s="27"/>
      <c r="N3" s="27"/>
      <c r="O3" s="27"/>
      <c r="P3" s="27"/>
      <c r="Q3" s="27"/>
      <c r="R3" s="38"/>
      <c r="S3" s="38"/>
      <c r="T3" s="38"/>
      <c r="U3" s="27"/>
      <c r="V3" s="27"/>
      <c r="W3" s="27"/>
      <c r="X3" s="83"/>
    </row>
    <row r="4" spans="1:24" ht="25.5" customHeight="1" x14ac:dyDescent="0.25">
      <c r="A4" s="38"/>
      <c r="B4" s="38"/>
      <c r="C4" s="38"/>
      <c r="D4" s="513"/>
      <c r="E4" s="513"/>
      <c r="F4" s="513"/>
      <c r="G4" s="513"/>
      <c r="H4" s="513"/>
      <c r="I4" s="38"/>
      <c r="J4" s="27"/>
      <c r="K4" s="27"/>
      <c r="L4" s="27"/>
      <c r="M4" s="27"/>
      <c r="N4" s="27"/>
      <c r="O4" s="27"/>
      <c r="P4" s="27"/>
      <c r="Q4" s="27"/>
      <c r="R4" s="38"/>
      <c r="S4" s="38"/>
      <c r="T4" s="38"/>
      <c r="U4" s="27"/>
      <c r="V4" s="27"/>
      <c r="W4" s="27"/>
      <c r="X4" s="83"/>
    </row>
    <row r="5" spans="1:24" ht="12.75" customHeight="1" x14ac:dyDescent="0.25">
      <c r="A5" s="38"/>
      <c r="B5" s="38"/>
      <c r="C5" s="38"/>
      <c r="D5" s="38"/>
      <c r="E5" s="38"/>
      <c r="F5" s="38"/>
      <c r="G5" s="38"/>
      <c r="H5" s="38"/>
      <c r="I5" s="38"/>
      <c r="J5" s="27"/>
      <c r="K5" s="27"/>
      <c r="L5" s="27"/>
      <c r="M5" s="27"/>
      <c r="N5" s="27"/>
      <c r="O5" s="27"/>
      <c r="P5" s="27"/>
      <c r="Q5" s="27"/>
      <c r="R5" s="38"/>
      <c r="S5" s="38"/>
      <c r="T5" s="38"/>
      <c r="U5" s="27"/>
      <c r="V5" s="27"/>
      <c r="W5" s="27"/>
      <c r="X5" s="83"/>
    </row>
    <row r="6" spans="1:24" ht="36" customHeight="1" x14ac:dyDescent="0.25">
      <c r="A6" s="38"/>
      <c r="B6" s="198" t="s">
        <v>194</v>
      </c>
      <c r="C6" s="198" t="s">
        <v>82</v>
      </c>
      <c r="D6" s="198" t="s">
        <v>83</v>
      </c>
      <c r="E6" s="198" t="s">
        <v>86</v>
      </c>
      <c r="F6" s="198" t="s">
        <v>87</v>
      </c>
      <c r="G6" s="198" t="s">
        <v>496</v>
      </c>
      <c r="H6" s="198" t="s">
        <v>583</v>
      </c>
      <c r="I6" s="198" t="s">
        <v>51</v>
      </c>
      <c r="J6" s="198" t="s">
        <v>84</v>
      </c>
      <c r="K6" s="198" t="s">
        <v>268</v>
      </c>
      <c r="L6" s="198" t="s">
        <v>584</v>
      </c>
      <c r="M6" s="198" t="s">
        <v>585</v>
      </c>
      <c r="N6" s="198" t="s">
        <v>586</v>
      </c>
      <c r="O6" s="198" t="s">
        <v>587</v>
      </c>
      <c r="P6" s="198" t="s">
        <v>588</v>
      </c>
      <c r="Q6" s="198" t="s">
        <v>215</v>
      </c>
      <c r="R6" s="198" t="s">
        <v>383</v>
      </c>
      <c r="S6" s="198" t="s">
        <v>96</v>
      </c>
      <c r="T6" s="198" t="s">
        <v>54</v>
      </c>
      <c r="U6" s="277" t="s">
        <v>97</v>
      </c>
      <c r="V6" s="277" t="s">
        <v>217</v>
      </c>
      <c r="W6" s="278" t="s">
        <v>71</v>
      </c>
      <c r="X6" s="83"/>
    </row>
    <row r="7" spans="1:24" ht="36" hidden="1" customHeight="1" x14ac:dyDescent="0.25">
      <c r="A7" s="38"/>
      <c r="B7" s="245" t="s">
        <v>100</v>
      </c>
      <c r="C7" s="245"/>
      <c r="D7" s="245" t="s">
        <v>101</v>
      </c>
      <c r="E7" s="245" t="s">
        <v>104</v>
      </c>
      <c r="F7" s="245" t="s">
        <v>105</v>
      </c>
      <c r="G7" s="245" t="s">
        <v>103</v>
      </c>
      <c r="H7" s="245" t="s">
        <v>589</v>
      </c>
      <c r="I7" s="245" t="s">
        <v>51</v>
      </c>
      <c r="J7" s="245" t="s">
        <v>102</v>
      </c>
      <c r="K7" s="245"/>
      <c r="L7" s="245"/>
      <c r="M7" s="245"/>
      <c r="N7" s="245"/>
      <c r="O7" s="245"/>
      <c r="P7" s="245"/>
      <c r="Q7" s="245" t="s">
        <v>108</v>
      </c>
      <c r="R7" s="245" t="s">
        <v>109</v>
      </c>
      <c r="S7" s="245" t="s">
        <v>110</v>
      </c>
      <c r="T7" s="245" t="s">
        <v>111</v>
      </c>
      <c r="U7" s="250" t="s">
        <v>112</v>
      </c>
      <c r="V7" s="250" t="s">
        <v>114</v>
      </c>
      <c r="W7" s="252" t="s">
        <v>113</v>
      </c>
      <c r="X7" s="83"/>
    </row>
    <row r="8" spans="1:24" ht="21.75" customHeight="1" x14ac:dyDescent="0.25">
      <c r="A8" s="38"/>
      <c r="B8" s="220">
        <v>1</v>
      </c>
      <c r="C8" s="9" t="s">
        <v>590</v>
      </c>
      <c r="D8" s="41"/>
      <c r="E8" s="41"/>
      <c r="F8" s="41"/>
      <c r="G8" s="41"/>
      <c r="H8" s="41"/>
      <c r="I8" s="41"/>
      <c r="J8" s="15"/>
      <c r="K8" s="15">
        <f t="shared" ref="K8:K15" si="0">$I$20</f>
        <v>8</v>
      </c>
      <c r="L8" s="15" t="e">
        <f t="array" ref="L8">INDEX($I$32:$I$39,MATCH(1,(H8=$D$32:$D$39)*(D8=$F$32:$F$39),0))</f>
        <v>#N/A</v>
      </c>
      <c r="M8" s="15" t="e">
        <f t="array" ref="M8">INDEX($J$32:$J$39,MATCH(1,(H8=$D$32:$D$39)*(D8=$F$32:$F$39),0))</f>
        <v>#N/A</v>
      </c>
      <c r="N8" s="15" t="e">
        <f t="array" ref="N8">INDEX($K$32:$K$39,MATCH(1,(H8=$D$32:$D$39)*(D8=$F$32:$F$39),0))</f>
        <v>#N/A</v>
      </c>
      <c r="O8" s="15" t="e">
        <f t="array" ref="O8">INDEX($L$32:$L$39,MATCH(1,(H8=$D$32:$D$39)*(D8=$F$32:$F$39),0))</f>
        <v>#N/A</v>
      </c>
      <c r="P8" s="15" t="e">
        <f t="array" ref="P8">INDEX($M$32:$M$39,MATCH(1,(H8=$D$32:$D$39)*(D8=$F$32:$F$39),0))</f>
        <v>#N/A</v>
      </c>
      <c r="Q8" s="15">
        <f>IFERROR(ROUND(R8/8760,6),"")</f>
        <v>0</v>
      </c>
      <c r="R8" s="415">
        <f>IFERROR(ROUND(P8*S8,6),0)</f>
        <v>0</v>
      </c>
      <c r="S8" s="413">
        <f>IFERROR(ROUND((((L8*N8)-(M8*O8))*365*8.3*1*($R$31-$S$31))/($Q$31*3412)*I8,4),0)</f>
        <v>0</v>
      </c>
      <c r="T8" s="199" t="str">
        <f>IF(I8="", "", I8*$D$20)</f>
        <v/>
      </c>
      <c r="U8" s="56">
        <f>G8</f>
        <v>0</v>
      </c>
      <c r="V8" t="str">
        <f>IF(S8&gt;0,"Yes","No")</f>
        <v>No</v>
      </c>
      <c r="W8" t="s">
        <v>591</v>
      </c>
      <c r="X8" s="83"/>
    </row>
    <row r="9" spans="1:24" ht="21.75" customHeight="1" x14ac:dyDescent="0.25">
      <c r="A9" s="38"/>
      <c r="B9" s="220">
        <v>2</v>
      </c>
      <c r="C9" s="9" t="s">
        <v>590</v>
      </c>
      <c r="D9" s="41"/>
      <c r="E9" s="41"/>
      <c r="F9" s="41"/>
      <c r="G9" s="41"/>
      <c r="H9" s="41"/>
      <c r="I9" s="41"/>
      <c r="J9" s="15"/>
      <c r="K9" s="15">
        <f t="shared" si="0"/>
        <v>8</v>
      </c>
      <c r="L9" s="15" t="e">
        <f t="array" ref="L9">INDEX($I$32:$I$39,MATCH(1,(H9=$D$32:$D$39)*(D9=$F$32:$F$39),0))</f>
        <v>#N/A</v>
      </c>
      <c r="M9" s="15" t="e">
        <f t="array" ref="M9">INDEX($J$32:$J$39,MATCH(1,(H9=$D$32:$D$39)*(D9=$F$32:$F$39),0))</f>
        <v>#N/A</v>
      </c>
      <c r="N9" s="15" t="e">
        <f t="array" ref="N9">INDEX($K$32:$K$39,MATCH(1,(H9=$D$32:$D$39)*(D9=$F$32:$F$39),0))</f>
        <v>#N/A</v>
      </c>
      <c r="O9" s="15" t="e">
        <f t="array" ref="O9">INDEX($L$32:$L$39,MATCH(1,(H9=$D$32:$D$39)*(D9=$F$32:$F$39),0))</f>
        <v>#N/A</v>
      </c>
      <c r="P9" s="15" t="e">
        <f t="array" ref="P9">INDEX($M$32:$M$39,MATCH(1,(H9=$D$32:$D$39)*(D9=$F$32:$F$39),0))</f>
        <v>#N/A</v>
      </c>
      <c r="Q9" s="15">
        <f>IFERROR(ROUND(R9/8760,6),"")</f>
        <v>0</v>
      </c>
      <c r="R9" s="415">
        <f t="shared" ref="R9:R15" si="1">IFERROR(ROUND(P9*S9,6),0)</f>
        <v>0</v>
      </c>
      <c r="S9" s="413">
        <f t="shared" ref="S9:S15" si="2">IFERROR(ROUND((((L9*N9)-(M9*O9))*365*8.3*1*($R$31-$S$31))/($Q$31*3412)*I9,4),0)</f>
        <v>0</v>
      </c>
      <c r="T9" s="199" t="str">
        <f t="shared" ref="T9:T15" si="3">IF(I9="", "", I9*$D$20)</f>
        <v/>
      </c>
      <c r="U9" s="56">
        <f t="shared" ref="U9:U15" si="4">G9</f>
        <v>0</v>
      </c>
      <c r="V9" t="str">
        <f t="shared" ref="V9:V15" si="5">IF(S9&gt;0,"Yes","No")</f>
        <v>No</v>
      </c>
      <c r="W9" t="s">
        <v>591</v>
      </c>
      <c r="X9" s="83"/>
    </row>
    <row r="10" spans="1:24" ht="21.75" customHeight="1" x14ac:dyDescent="0.25">
      <c r="A10" s="38"/>
      <c r="B10" s="220">
        <v>3</v>
      </c>
      <c r="C10" s="9" t="s">
        <v>590</v>
      </c>
      <c r="D10" s="41"/>
      <c r="E10" s="41"/>
      <c r="F10" s="41"/>
      <c r="G10" s="41"/>
      <c r="H10" s="41"/>
      <c r="I10" s="41"/>
      <c r="J10" s="15"/>
      <c r="K10" s="15">
        <f t="shared" si="0"/>
        <v>8</v>
      </c>
      <c r="L10" s="15" t="e">
        <f t="array" ref="L10">INDEX($I$32:$I$39,MATCH(1,(H10=$D$32:$D$39)*(D10=$F$32:$F$39),0))</f>
        <v>#N/A</v>
      </c>
      <c r="M10" s="15" t="e">
        <f t="array" ref="M10">INDEX($J$32:$J$39,MATCH(1,(H10=$D$32:$D$39)*(D10=$F$32:$F$39),0))</f>
        <v>#N/A</v>
      </c>
      <c r="N10" s="15" t="e">
        <f t="array" ref="N10">INDEX($K$32:$K$39,MATCH(1,(H10=$D$32:$D$39)*(D10=$F$32:$F$39),0))</f>
        <v>#N/A</v>
      </c>
      <c r="O10" s="15" t="e">
        <f t="array" ref="O10">INDEX($L$32:$L$39,MATCH(1,(H10=$D$32:$D$39)*(D10=$F$32:$F$39),0))</f>
        <v>#N/A</v>
      </c>
      <c r="P10" s="15" t="e">
        <f t="array" ref="P10">INDEX($M$32:$M$39,MATCH(1,(H10=$D$32:$D$39)*(D10=$F$32:$F$39),0))</f>
        <v>#N/A</v>
      </c>
      <c r="Q10" s="15">
        <f t="shared" ref="Q10:Q15" si="6">IFERROR(ROUND(R10/8760,6),"")</f>
        <v>0</v>
      </c>
      <c r="R10" s="415">
        <f t="shared" si="1"/>
        <v>0</v>
      </c>
      <c r="S10" s="413">
        <f t="shared" si="2"/>
        <v>0</v>
      </c>
      <c r="T10" s="199" t="str">
        <f t="shared" si="3"/>
        <v/>
      </c>
      <c r="U10" s="56">
        <f t="shared" si="4"/>
        <v>0</v>
      </c>
      <c r="V10" t="str">
        <f t="shared" si="5"/>
        <v>No</v>
      </c>
      <c r="W10" t="s">
        <v>591</v>
      </c>
      <c r="X10" s="83"/>
    </row>
    <row r="11" spans="1:24" ht="21.75" customHeight="1" x14ac:dyDescent="0.25">
      <c r="A11" s="38"/>
      <c r="B11" s="220">
        <v>4</v>
      </c>
      <c r="C11" s="9" t="s">
        <v>590</v>
      </c>
      <c r="D11" s="41"/>
      <c r="E11" s="41"/>
      <c r="F11" s="41"/>
      <c r="G11" s="41"/>
      <c r="H11" s="41"/>
      <c r="I11" s="41"/>
      <c r="J11" s="15"/>
      <c r="K11" s="15">
        <f t="shared" si="0"/>
        <v>8</v>
      </c>
      <c r="L11" s="15" t="e">
        <f t="array" ref="L11">INDEX($I$32:$I$39,MATCH(1,(H11=$D$32:$D$39)*(D11=$F$32:$F$39),0))</f>
        <v>#N/A</v>
      </c>
      <c r="M11" s="15" t="e">
        <f t="array" ref="M11">INDEX($J$32:$J$39,MATCH(1,(H11=$D$32:$D$39)*(D11=$F$32:$F$39),0))</f>
        <v>#N/A</v>
      </c>
      <c r="N11" s="15" t="e">
        <f t="array" ref="N11">INDEX($K$32:$K$39,MATCH(1,(H11=$D$32:$D$39)*(D11=$F$32:$F$39),0))</f>
        <v>#N/A</v>
      </c>
      <c r="O11" s="15" t="e">
        <f t="array" ref="O11">INDEX($L$32:$L$39,MATCH(1,(H11=$D$32:$D$39)*(D11=$F$32:$F$39),0))</f>
        <v>#N/A</v>
      </c>
      <c r="P11" s="15" t="e">
        <f t="array" ref="P11">INDEX($M$32:$M$39,MATCH(1,(H11=$D$32:$D$39)*(D11=$F$32:$F$39),0))</f>
        <v>#N/A</v>
      </c>
      <c r="Q11" s="15">
        <f t="shared" si="6"/>
        <v>0</v>
      </c>
      <c r="R11" s="415">
        <f t="shared" si="1"/>
        <v>0</v>
      </c>
      <c r="S11" s="413">
        <f t="shared" si="2"/>
        <v>0</v>
      </c>
      <c r="T11" s="199" t="str">
        <f t="shared" si="3"/>
        <v/>
      </c>
      <c r="U11" s="56">
        <f t="shared" si="4"/>
        <v>0</v>
      </c>
      <c r="V11" t="str">
        <f t="shared" si="5"/>
        <v>No</v>
      </c>
      <c r="W11" t="s">
        <v>591</v>
      </c>
      <c r="X11" s="83"/>
    </row>
    <row r="12" spans="1:24" ht="21.75" customHeight="1" x14ac:dyDescent="0.25">
      <c r="A12" s="38"/>
      <c r="B12" s="220">
        <v>5</v>
      </c>
      <c r="C12" s="9" t="s">
        <v>590</v>
      </c>
      <c r="D12" s="41"/>
      <c r="E12" s="41"/>
      <c r="F12" s="41"/>
      <c r="G12" s="41"/>
      <c r="H12" s="41"/>
      <c r="I12" s="41"/>
      <c r="J12" s="15"/>
      <c r="K12" s="15">
        <f t="shared" si="0"/>
        <v>8</v>
      </c>
      <c r="L12" s="15" t="e">
        <f t="array" ref="L12">INDEX($I$32:$I$39,MATCH(1,(H12=$D$32:$D$39)*(D12=$F$32:$F$39),0))</f>
        <v>#N/A</v>
      </c>
      <c r="M12" s="15" t="e">
        <f t="array" ref="M12">INDEX($J$32:$J$39,MATCH(1,(H12=$D$32:$D$39)*(D12=$F$32:$F$39),0))</f>
        <v>#N/A</v>
      </c>
      <c r="N12" s="15" t="e">
        <f t="array" ref="N12">INDEX($K$32:$K$39,MATCH(1,(H12=$D$32:$D$39)*(D12=$F$32:$F$39),0))</f>
        <v>#N/A</v>
      </c>
      <c r="O12" s="15" t="e">
        <f t="array" ref="O12">INDEX($L$32:$L$39,MATCH(1,(H12=$D$32:$D$39)*(D12=$F$32:$F$39),0))</f>
        <v>#N/A</v>
      </c>
      <c r="P12" s="15" t="e">
        <f t="array" ref="P12">INDEX($M$32:$M$39,MATCH(1,(H12=$D$32:$D$39)*(D12=$F$32:$F$39),0))</f>
        <v>#N/A</v>
      </c>
      <c r="Q12" s="15">
        <f t="shared" si="6"/>
        <v>0</v>
      </c>
      <c r="R12" s="415">
        <f t="shared" si="1"/>
        <v>0</v>
      </c>
      <c r="S12" s="413">
        <f t="shared" si="2"/>
        <v>0</v>
      </c>
      <c r="T12" s="199" t="str">
        <f t="shared" si="3"/>
        <v/>
      </c>
      <c r="U12" s="56">
        <f t="shared" si="4"/>
        <v>0</v>
      </c>
      <c r="V12" t="str">
        <f t="shared" si="5"/>
        <v>No</v>
      </c>
      <c r="W12" t="s">
        <v>591</v>
      </c>
      <c r="X12" s="83"/>
    </row>
    <row r="13" spans="1:24" ht="21.75" customHeight="1" x14ac:dyDescent="0.25">
      <c r="A13" s="38"/>
      <c r="B13" s="220">
        <v>6</v>
      </c>
      <c r="C13" s="9" t="s">
        <v>590</v>
      </c>
      <c r="D13" s="41"/>
      <c r="E13" s="41"/>
      <c r="F13" s="41"/>
      <c r="G13" s="41"/>
      <c r="H13" s="41"/>
      <c r="I13" s="41"/>
      <c r="J13" s="15"/>
      <c r="K13" s="15">
        <f t="shared" si="0"/>
        <v>8</v>
      </c>
      <c r="L13" s="15" t="e">
        <f t="array" ref="L13">INDEX($I$32:$I$39,MATCH(1,(H13=$D$32:$D$39)*(D13=$F$32:$F$39),0))</f>
        <v>#N/A</v>
      </c>
      <c r="M13" s="15" t="e">
        <f t="array" ref="M13">INDEX($J$32:$J$39,MATCH(1,(H13=$D$32:$D$39)*(D13=$F$32:$F$39),0))</f>
        <v>#N/A</v>
      </c>
      <c r="N13" s="15" t="e">
        <f t="array" ref="N13">INDEX($K$32:$K$39,MATCH(1,(H13=$D$32:$D$39)*(D13=$F$32:$F$39),0))</f>
        <v>#N/A</v>
      </c>
      <c r="O13" s="15" t="e">
        <f t="array" ref="O13">INDEX($L$32:$L$39,MATCH(1,(H13=$D$32:$D$39)*(D13=$F$32:$F$39),0))</f>
        <v>#N/A</v>
      </c>
      <c r="P13" s="15" t="e">
        <f t="array" ref="P13">INDEX($M$32:$M$39,MATCH(1,(H13=$D$32:$D$39)*(D13=$F$32:$F$39),0))</f>
        <v>#N/A</v>
      </c>
      <c r="Q13" s="15">
        <f t="shared" si="6"/>
        <v>0</v>
      </c>
      <c r="R13" s="415">
        <f t="shared" si="1"/>
        <v>0</v>
      </c>
      <c r="S13" s="413">
        <f t="shared" si="2"/>
        <v>0</v>
      </c>
      <c r="T13" s="199" t="str">
        <f t="shared" si="3"/>
        <v/>
      </c>
      <c r="U13" s="56">
        <f t="shared" si="4"/>
        <v>0</v>
      </c>
      <c r="V13" t="str">
        <f t="shared" si="5"/>
        <v>No</v>
      </c>
      <c r="W13" t="s">
        <v>591</v>
      </c>
      <c r="X13" s="83"/>
    </row>
    <row r="14" spans="1:24" ht="21.75" customHeight="1" x14ac:dyDescent="0.25">
      <c r="A14" s="38"/>
      <c r="B14" s="220">
        <v>7</v>
      </c>
      <c r="C14" s="9" t="s">
        <v>590</v>
      </c>
      <c r="D14" s="41"/>
      <c r="E14" s="41"/>
      <c r="F14" s="41"/>
      <c r="G14" s="41"/>
      <c r="H14" s="41"/>
      <c r="I14" s="41"/>
      <c r="J14" s="15"/>
      <c r="K14" s="15">
        <f t="shared" si="0"/>
        <v>8</v>
      </c>
      <c r="L14" s="15" t="e">
        <f t="array" ref="L14">INDEX($I$32:$I$39,MATCH(1,(H14=$D$32:$D$39)*(D14=$F$32:$F$39),0))</f>
        <v>#N/A</v>
      </c>
      <c r="M14" s="15" t="e">
        <f t="array" ref="M14">INDEX($J$32:$J$39,MATCH(1,(H14=$D$32:$D$39)*(D14=$F$32:$F$39),0))</f>
        <v>#N/A</v>
      </c>
      <c r="N14" s="15" t="e">
        <f t="array" ref="N14">INDEX($K$32:$K$39,MATCH(1,(H14=$D$32:$D$39)*(D14=$F$32:$F$39),0))</f>
        <v>#N/A</v>
      </c>
      <c r="O14" s="15" t="e">
        <f t="array" ref="O14">INDEX($L$32:$L$39,MATCH(1,(H14=$D$32:$D$39)*(D14=$F$32:$F$39),0))</f>
        <v>#N/A</v>
      </c>
      <c r="P14" s="15" t="e">
        <f t="array" ref="P14">INDEX($M$32:$M$39,MATCH(1,(H14=$D$32:$D$39)*(D14=$F$32:$F$39),0))</f>
        <v>#N/A</v>
      </c>
      <c r="Q14" s="15">
        <f t="shared" si="6"/>
        <v>0</v>
      </c>
      <c r="R14" s="415">
        <f t="shared" si="1"/>
        <v>0</v>
      </c>
      <c r="S14" s="413">
        <f t="shared" si="2"/>
        <v>0</v>
      </c>
      <c r="T14" s="199" t="str">
        <f t="shared" si="3"/>
        <v/>
      </c>
      <c r="U14" s="56">
        <f t="shared" si="4"/>
        <v>0</v>
      </c>
      <c r="V14" t="str">
        <f t="shared" si="5"/>
        <v>No</v>
      </c>
      <c r="W14" t="s">
        <v>591</v>
      </c>
      <c r="X14" s="83"/>
    </row>
    <row r="15" spans="1:24" ht="21.75" customHeight="1" x14ac:dyDescent="0.25">
      <c r="A15" s="38"/>
      <c r="B15" s="220">
        <v>8</v>
      </c>
      <c r="C15" s="9" t="s">
        <v>590</v>
      </c>
      <c r="D15" s="41"/>
      <c r="E15" s="41"/>
      <c r="F15" s="41"/>
      <c r="G15" s="41"/>
      <c r="H15" s="41"/>
      <c r="I15" s="41"/>
      <c r="J15" s="15"/>
      <c r="K15" s="15">
        <f t="shared" si="0"/>
        <v>8</v>
      </c>
      <c r="L15" s="15" t="e">
        <f t="array" ref="L15">INDEX($I$32:$I$39,MATCH(1,(H15=$D$32:$D$39)*(D15=$F$32:$F$39),0))</f>
        <v>#N/A</v>
      </c>
      <c r="M15" s="15" t="e">
        <f t="array" ref="M15">INDEX($J$32:$J$39,MATCH(1,(H15=$D$32:$D$39)*(D15=$F$32:$F$39),0))</f>
        <v>#N/A</v>
      </c>
      <c r="N15" s="15" t="e">
        <f t="array" ref="N15">INDEX($K$32:$K$39,MATCH(1,(H15=$D$32:$D$39)*(D15=$F$32:$F$39),0))</f>
        <v>#N/A</v>
      </c>
      <c r="O15" s="15" t="e">
        <f t="array" ref="O15">INDEX($L$32:$L$39,MATCH(1,(H15=$D$32:$D$39)*(D15=$F$32:$F$39),0))</f>
        <v>#N/A</v>
      </c>
      <c r="P15" s="15" t="e">
        <f t="array" ref="P15">INDEX($M$32:$M$39,MATCH(1,(H15=$D$32:$D$39)*(D15=$F$32:$F$39),0))</f>
        <v>#N/A</v>
      </c>
      <c r="Q15" s="15">
        <f t="shared" si="6"/>
        <v>0</v>
      </c>
      <c r="R15" s="415">
        <f t="shared" si="1"/>
        <v>0</v>
      </c>
      <c r="S15" s="413">
        <f t="shared" si="2"/>
        <v>0</v>
      </c>
      <c r="T15" s="199" t="str">
        <f t="shared" si="3"/>
        <v/>
      </c>
      <c r="U15" s="56">
        <f t="shared" si="4"/>
        <v>0</v>
      </c>
      <c r="V15" t="str">
        <f t="shared" si="5"/>
        <v>No</v>
      </c>
      <c r="W15" t="s">
        <v>591</v>
      </c>
      <c r="X15" s="83"/>
    </row>
    <row r="16" spans="1:24" hidden="1" x14ac:dyDescent="0.25">
      <c r="A16" s="27"/>
      <c r="X16" s="83"/>
    </row>
    <row r="17" spans="1:24" hidden="1" x14ac:dyDescent="0.25">
      <c r="A17" s="27"/>
      <c r="I17" s="33">
        <f>SUM(I8:I15)</f>
        <v>0</v>
      </c>
      <c r="J17" s="33"/>
      <c r="K17" s="33"/>
      <c r="L17" s="33"/>
      <c r="M17" s="33"/>
      <c r="N17" s="33"/>
      <c r="O17" s="33"/>
      <c r="P17" s="33"/>
      <c r="Q17" s="33"/>
      <c r="R17" s="35">
        <f>SUM(R8:R15)</f>
        <v>0</v>
      </c>
      <c r="S17" s="35">
        <f>SUM(S8:S15)</f>
        <v>0</v>
      </c>
      <c r="T17" s="34">
        <f>SUM(T8:T15)</f>
        <v>0</v>
      </c>
      <c r="X17" s="83"/>
    </row>
    <row r="18" spans="1:24" hidden="1" x14ac:dyDescent="0.25">
      <c r="A18" s="27"/>
      <c r="C18" s="121"/>
      <c r="D18" s="121"/>
      <c r="X18" s="83"/>
    </row>
    <row r="19" spans="1:24" hidden="1" x14ac:dyDescent="0.25">
      <c r="A19" s="27"/>
      <c r="C19" s="200" t="s">
        <v>82</v>
      </c>
      <c r="D19" s="201" t="s">
        <v>592</v>
      </c>
      <c r="E19" s="202" t="s">
        <v>83</v>
      </c>
      <c r="F19" s="202" t="s">
        <v>84</v>
      </c>
      <c r="G19" s="276"/>
      <c r="I19" s="15" t="s">
        <v>268</v>
      </c>
      <c r="J19" s="275"/>
      <c r="L19" t="e">
        <f>L8*N8</f>
        <v>#N/A</v>
      </c>
      <c r="M19" t="e">
        <f>M8*O8</f>
        <v>#N/A</v>
      </c>
      <c r="N19">
        <f>R31-S31</f>
        <v>75.5</v>
      </c>
      <c r="X19" s="83"/>
    </row>
    <row r="20" spans="1:24" hidden="1" x14ac:dyDescent="0.25">
      <c r="A20" s="27"/>
      <c r="C20" s="105" t="s">
        <v>593</v>
      </c>
      <c r="D20" s="78">
        <f>35*'Project Summary'!M12</f>
        <v>17.5</v>
      </c>
      <c r="E20" s="5" t="s">
        <v>124</v>
      </c>
      <c r="F20" s="5" t="s">
        <v>124</v>
      </c>
      <c r="G20" s="219"/>
      <c r="I20" s="4">
        <v>8</v>
      </c>
      <c r="X20" s="83"/>
    </row>
    <row r="21" spans="1:24" hidden="1" x14ac:dyDescent="0.25">
      <c r="A21" s="27"/>
      <c r="E21" s="5" t="s">
        <v>129</v>
      </c>
      <c r="F21" s="5" t="s">
        <v>130</v>
      </c>
      <c r="G21" s="219"/>
      <c r="X21" s="83"/>
    </row>
    <row r="22" spans="1:24" hidden="1" x14ac:dyDescent="0.25">
      <c r="A22" s="27"/>
      <c r="X22" s="83"/>
    </row>
    <row r="23" spans="1:24" hidden="1" x14ac:dyDescent="0.25">
      <c r="A23" s="27"/>
      <c r="X23" s="83"/>
    </row>
    <row r="24" spans="1:24" ht="15" hidden="1" customHeight="1" x14ac:dyDescent="0.25">
      <c r="A24" s="27"/>
      <c r="C24" t="s">
        <v>594</v>
      </c>
      <c r="D24" s="201" t="s">
        <v>595</v>
      </c>
      <c r="E24" s="201" t="s">
        <v>588</v>
      </c>
      <c r="X24" s="83"/>
    </row>
    <row r="25" spans="1:24" hidden="1" x14ac:dyDescent="0.25">
      <c r="A25" s="27"/>
      <c r="D25" s="5" t="s">
        <v>596</v>
      </c>
      <c r="E25" s="5">
        <v>1.8599999999999999E-4</v>
      </c>
      <c r="X25" s="83"/>
    </row>
    <row r="26" spans="1:24" hidden="1" x14ac:dyDescent="0.25">
      <c r="A26" s="27"/>
      <c r="D26" s="5" t="s">
        <v>597</v>
      </c>
      <c r="E26" s="5">
        <v>1.189E-4</v>
      </c>
      <c r="X26" s="83"/>
    </row>
    <row r="27" spans="1:24" ht="15" hidden="1" customHeight="1" x14ac:dyDescent="0.25">
      <c r="A27" s="27"/>
      <c r="D27" s="5" t="s">
        <v>598</v>
      </c>
      <c r="E27" s="5">
        <v>2.3699999999999999E-4</v>
      </c>
      <c r="X27" s="83"/>
    </row>
    <row r="28" spans="1:24" hidden="1" x14ac:dyDescent="0.25">
      <c r="A28" s="27"/>
      <c r="D28" s="5" t="s">
        <v>599</v>
      </c>
      <c r="E28" s="5">
        <v>2.5900000000000001E-4</v>
      </c>
      <c r="X28" s="83"/>
    </row>
    <row r="29" spans="1:24" hidden="1" x14ac:dyDescent="0.25">
      <c r="A29" s="27"/>
      <c r="X29" s="83"/>
    </row>
    <row r="30" spans="1:24" ht="15" hidden="1" customHeight="1" x14ac:dyDescent="0.25">
      <c r="A30" s="27"/>
      <c r="F30" s="554" t="s">
        <v>600</v>
      </c>
      <c r="G30" s="238" t="s">
        <v>601</v>
      </c>
      <c r="H30" s="240" t="s">
        <v>595</v>
      </c>
      <c r="I30" s="242" t="s">
        <v>602</v>
      </c>
      <c r="J30" s="243"/>
      <c r="K30" s="242" t="s">
        <v>603</v>
      </c>
      <c r="L30" s="244"/>
      <c r="M30" s="556" t="s">
        <v>588</v>
      </c>
      <c r="N30" s="82"/>
      <c r="Q30" s="203" t="s">
        <v>604</v>
      </c>
      <c r="R30" s="203" t="s">
        <v>605</v>
      </c>
      <c r="S30" s="203" t="s">
        <v>606</v>
      </c>
      <c r="X30" s="83"/>
    </row>
    <row r="31" spans="1:24" hidden="1" x14ac:dyDescent="0.25">
      <c r="A31" s="27"/>
      <c r="C31" s="201" t="s">
        <v>607</v>
      </c>
      <c r="D31" s="201" t="s">
        <v>608</v>
      </c>
      <c r="F31" s="555"/>
      <c r="G31" s="239"/>
      <c r="H31" s="241"/>
      <c r="I31" s="201" t="s">
        <v>584</v>
      </c>
      <c r="J31" s="201" t="s">
        <v>585</v>
      </c>
      <c r="K31" s="201" t="s">
        <v>586</v>
      </c>
      <c r="L31" s="242" t="s">
        <v>587</v>
      </c>
      <c r="M31" s="557"/>
      <c r="N31" s="82"/>
      <c r="Q31" s="204">
        <v>0.9</v>
      </c>
      <c r="R31" s="204">
        <v>127.5</v>
      </c>
      <c r="S31" s="204">
        <v>52</v>
      </c>
      <c r="X31" s="83"/>
    </row>
    <row r="32" spans="1:24" hidden="1" x14ac:dyDescent="0.25">
      <c r="A32" s="27"/>
      <c r="C32" t="s">
        <v>609</v>
      </c>
      <c r="D32" t="s">
        <v>610</v>
      </c>
      <c r="F32" t="s">
        <v>124</v>
      </c>
      <c r="G32" s="4" t="s">
        <v>611</v>
      </c>
      <c r="H32" s="5" t="s">
        <v>597</v>
      </c>
      <c r="I32" s="4">
        <v>2.25</v>
      </c>
      <c r="J32" s="4">
        <v>1.1200000000000001</v>
      </c>
      <c r="K32" s="4">
        <v>32.4</v>
      </c>
      <c r="L32" s="4">
        <v>43.8</v>
      </c>
      <c r="M32" s="205">
        <f t="shared" ref="M32:M39" si="7">VLOOKUP(H32,$D$25:$E$28,2,FALSE)</f>
        <v>1.189E-4</v>
      </c>
      <c r="N32" s="82"/>
      <c r="X32" s="83"/>
    </row>
    <row r="33" spans="1:24" hidden="1" x14ac:dyDescent="0.25">
      <c r="A33" s="27"/>
      <c r="C33" t="s">
        <v>612</v>
      </c>
      <c r="D33" t="s">
        <v>609</v>
      </c>
      <c r="F33" t="s">
        <v>124</v>
      </c>
      <c r="G33" s="4" t="s">
        <v>613</v>
      </c>
      <c r="H33" s="5" t="s">
        <v>598</v>
      </c>
      <c r="I33" s="4">
        <v>2.15</v>
      </c>
      <c r="J33" s="4">
        <v>1.1200000000000001</v>
      </c>
      <c r="K33" s="4">
        <v>4.8</v>
      </c>
      <c r="L33" s="4">
        <v>6</v>
      </c>
      <c r="M33" s="4">
        <f t="shared" si="7"/>
        <v>2.3699999999999999E-4</v>
      </c>
      <c r="N33" s="82"/>
      <c r="X33" s="83"/>
    </row>
    <row r="34" spans="1:24" hidden="1" x14ac:dyDescent="0.25">
      <c r="A34" s="27"/>
      <c r="C34" t="s">
        <v>610</v>
      </c>
      <c r="D34" t="s">
        <v>612</v>
      </c>
      <c r="F34" t="s">
        <v>129</v>
      </c>
      <c r="G34" s="4" t="s">
        <v>614</v>
      </c>
      <c r="H34" s="5" t="s">
        <v>596</v>
      </c>
      <c r="I34" s="4">
        <v>1.6</v>
      </c>
      <c r="J34" s="4">
        <v>1.1200000000000001</v>
      </c>
      <c r="K34" s="4">
        <v>32.4</v>
      </c>
      <c r="L34" s="4">
        <v>43.8</v>
      </c>
      <c r="M34" s="4">
        <f t="shared" si="7"/>
        <v>1.8599999999999999E-4</v>
      </c>
      <c r="N34" s="82"/>
      <c r="X34" s="83"/>
    </row>
    <row r="35" spans="1:24" hidden="1" x14ac:dyDescent="0.25">
      <c r="A35" s="27"/>
      <c r="C35" t="s">
        <v>615</v>
      </c>
      <c r="D35" t="s">
        <v>610</v>
      </c>
      <c r="F35" t="s">
        <v>129</v>
      </c>
      <c r="G35" s="4" t="s">
        <v>611</v>
      </c>
      <c r="H35" s="5" t="s">
        <v>597</v>
      </c>
      <c r="I35" s="4">
        <v>1.6</v>
      </c>
      <c r="J35" s="4">
        <v>1.1200000000000001</v>
      </c>
      <c r="K35" s="4">
        <v>32.4</v>
      </c>
      <c r="L35" s="4">
        <v>43.8</v>
      </c>
      <c r="M35" s="4">
        <f t="shared" si="7"/>
        <v>1.189E-4</v>
      </c>
      <c r="N35" s="82"/>
      <c r="X35" s="83"/>
    </row>
    <row r="36" spans="1:24" hidden="1" x14ac:dyDescent="0.25">
      <c r="A36" s="27"/>
      <c r="D36" t="s">
        <v>609</v>
      </c>
      <c r="F36" t="s">
        <v>129</v>
      </c>
      <c r="G36" s="4" t="s">
        <v>616</v>
      </c>
      <c r="H36" s="5" t="s">
        <v>599</v>
      </c>
      <c r="I36" s="4">
        <v>1.6</v>
      </c>
      <c r="J36" s="4">
        <v>1.1200000000000001</v>
      </c>
      <c r="K36" s="4">
        <v>26.4</v>
      </c>
      <c r="L36" s="4">
        <v>36</v>
      </c>
      <c r="M36" s="4">
        <f t="shared" si="7"/>
        <v>2.5900000000000001E-4</v>
      </c>
      <c r="N36" s="82"/>
      <c r="X36" s="83"/>
    </row>
    <row r="37" spans="1:24" hidden="1" x14ac:dyDescent="0.25">
      <c r="A37" s="27"/>
      <c r="D37" t="s">
        <v>612</v>
      </c>
      <c r="F37" t="s">
        <v>124</v>
      </c>
      <c r="G37" s="4" t="s">
        <v>614</v>
      </c>
      <c r="H37" s="5" t="s">
        <v>596</v>
      </c>
      <c r="I37" s="4">
        <v>2.25</v>
      </c>
      <c r="J37" s="4">
        <v>1.1200000000000001</v>
      </c>
      <c r="K37" s="4">
        <v>32.4</v>
      </c>
      <c r="L37" s="4">
        <v>43.8</v>
      </c>
      <c r="M37" s="4">
        <f t="shared" si="7"/>
        <v>1.8599999999999999E-4</v>
      </c>
      <c r="N37" s="82"/>
      <c r="X37" s="83"/>
    </row>
    <row r="38" spans="1:24" hidden="1" x14ac:dyDescent="0.25">
      <c r="A38" s="27"/>
      <c r="D38" t="s">
        <v>615</v>
      </c>
      <c r="F38" t="s">
        <v>124</v>
      </c>
      <c r="G38" s="4" t="s">
        <v>611</v>
      </c>
      <c r="H38" s="5" t="s">
        <v>597</v>
      </c>
      <c r="I38" s="4">
        <v>2.25</v>
      </c>
      <c r="J38" s="4">
        <v>1.1200000000000001</v>
      </c>
      <c r="K38" s="4">
        <v>32.4</v>
      </c>
      <c r="L38" s="4">
        <v>43.8</v>
      </c>
      <c r="M38" s="205">
        <f t="shared" si="7"/>
        <v>1.189E-4</v>
      </c>
      <c r="N38" s="82"/>
      <c r="X38" s="83"/>
    </row>
    <row r="39" spans="1:24" hidden="1" x14ac:dyDescent="0.25">
      <c r="A39" s="27"/>
      <c r="D39" t="s">
        <v>615</v>
      </c>
      <c r="F39" t="s">
        <v>129</v>
      </c>
      <c r="G39" s="4" t="s">
        <v>611</v>
      </c>
      <c r="H39" s="5" t="s">
        <v>597</v>
      </c>
      <c r="I39" s="4">
        <v>1.6</v>
      </c>
      <c r="J39" s="4">
        <v>1.1200000000000001</v>
      </c>
      <c r="K39" s="4">
        <v>32.4</v>
      </c>
      <c r="L39" s="4">
        <v>43.8</v>
      </c>
      <c r="M39" s="4">
        <f t="shared" si="7"/>
        <v>1.189E-4</v>
      </c>
      <c r="N39" s="82"/>
      <c r="X39" s="83"/>
    </row>
    <row r="40" spans="1:24" hidden="1" x14ac:dyDescent="0.25">
      <c r="A40" s="27"/>
      <c r="X40" s="83"/>
    </row>
    <row r="41" spans="1:24" hidden="1" x14ac:dyDescent="0.25">
      <c r="A41" s="27"/>
      <c r="X41" s="83"/>
    </row>
    <row r="42" spans="1:24" hidden="1" x14ac:dyDescent="0.25">
      <c r="A42" s="27"/>
      <c r="X42" s="83"/>
    </row>
    <row r="43" spans="1:24" hidden="1" x14ac:dyDescent="0.25">
      <c r="A43" s="27"/>
      <c r="X43" s="83"/>
    </row>
    <row r="44" spans="1:24" hidden="1" x14ac:dyDescent="0.25">
      <c r="A44" s="27"/>
      <c r="X44" s="83"/>
    </row>
    <row r="45" spans="1:24" hidden="1" x14ac:dyDescent="0.25">
      <c r="A45" s="27"/>
      <c r="X45" s="83"/>
    </row>
    <row r="46" spans="1:24" hidden="1" x14ac:dyDescent="0.25">
      <c r="A46" s="27"/>
      <c r="X46" s="83"/>
    </row>
    <row r="47" spans="1:24" hidden="1" x14ac:dyDescent="0.25">
      <c r="A47" s="27"/>
      <c r="X47" s="83"/>
    </row>
    <row r="48" spans="1:24" hidden="1" x14ac:dyDescent="0.25">
      <c r="A48" s="27"/>
      <c r="X48" s="83"/>
    </row>
    <row r="49" spans="1:24" hidden="1" x14ac:dyDescent="0.25">
      <c r="A49" s="27"/>
      <c r="X49" s="83"/>
    </row>
    <row r="50" spans="1:24" hidden="1" x14ac:dyDescent="0.25">
      <c r="A50" s="27"/>
      <c r="X50" s="83"/>
    </row>
    <row r="51" spans="1:24" hidden="1" x14ac:dyDescent="0.25">
      <c r="A51" s="27"/>
      <c r="X51" s="83"/>
    </row>
    <row r="52" spans="1:24" hidden="1" x14ac:dyDescent="0.25">
      <c r="A52" s="27"/>
      <c r="X52" s="83"/>
    </row>
    <row r="53" spans="1:24" hidden="1" x14ac:dyDescent="0.25">
      <c r="A53" s="27"/>
      <c r="X53" s="83"/>
    </row>
    <row r="54" spans="1:24" hidden="1" x14ac:dyDescent="0.25">
      <c r="A54" s="27"/>
      <c r="X54" s="83"/>
    </row>
    <row r="55" spans="1:24" hidden="1" x14ac:dyDescent="0.25">
      <c r="A55" s="27"/>
      <c r="X55" s="83"/>
    </row>
    <row r="56" spans="1:24" hidden="1" x14ac:dyDescent="0.25">
      <c r="A56" s="27"/>
      <c r="X56" s="83"/>
    </row>
    <row r="57" spans="1:24" hidden="1" x14ac:dyDescent="0.25">
      <c r="A57" s="27"/>
      <c r="X57" s="83"/>
    </row>
    <row r="58" spans="1:24" hidden="1" x14ac:dyDescent="0.25">
      <c r="A58" s="27"/>
      <c r="X58" s="83"/>
    </row>
    <row r="59" spans="1:24" hidden="1" x14ac:dyDescent="0.25">
      <c r="A59" s="27"/>
      <c r="X59" s="83"/>
    </row>
    <row r="60" spans="1:24" hidden="1" x14ac:dyDescent="0.25">
      <c r="A60" s="27"/>
      <c r="X60" s="83"/>
    </row>
    <row r="61" spans="1:24" hidden="1" x14ac:dyDescent="0.25">
      <c r="A61" s="27"/>
      <c r="X61" s="83"/>
    </row>
    <row r="62" spans="1:24" hidden="1" x14ac:dyDescent="0.25">
      <c r="A62" s="27"/>
      <c r="X62" s="83"/>
    </row>
    <row r="63" spans="1:24" hidden="1" x14ac:dyDescent="0.25">
      <c r="A63" s="27"/>
      <c r="X63" s="83"/>
    </row>
    <row r="64" spans="1:24" hidden="1" x14ac:dyDescent="0.25">
      <c r="A64" s="27"/>
      <c r="X64" s="83"/>
    </row>
    <row r="65" spans="1:24" hidden="1" x14ac:dyDescent="0.25">
      <c r="A65" s="27"/>
      <c r="X65" s="83"/>
    </row>
    <row r="66" spans="1:24" hidden="1" x14ac:dyDescent="0.25">
      <c r="A66" s="27"/>
      <c r="X66" s="83"/>
    </row>
    <row r="67" spans="1:24" hidden="1" x14ac:dyDescent="0.25">
      <c r="A67" s="27"/>
      <c r="X67" s="83"/>
    </row>
    <row r="68" spans="1:24" hidden="1" x14ac:dyDescent="0.25">
      <c r="A68" s="27"/>
      <c r="X68" s="83"/>
    </row>
    <row r="69" spans="1:24" hidden="1" x14ac:dyDescent="0.25">
      <c r="A69" s="27"/>
      <c r="X69" s="83"/>
    </row>
    <row r="70" spans="1:24" hidden="1" x14ac:dyDescent="0.25">
      <c r="A70" s="27"/>
      <c r="X70" s="83"/>
    </row>
    <row r="71" spans="1:24" hidden="1" x14ac:dyDescent="0.25">
      <c r="A71" s="27"/>
      <c r="X71" s="83"/>
    </row>
    <row r="72" spans="1:24" ht="2.25" hidden="1" x14ac:dyDescent="0.25">
      <c r="A72" s="27"/>
      <c r="X72" s="83"/>
    </row>
    <row r="73" spans="1:24"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row>
    <row r="74" spans="1:24"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row>
    <row r="75" spans="1:24"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row>
    <row r="76" spans="1:24"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row>
    <row r="77" spans="1:24"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row>
    <row r="78" spans="1:24"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row>
    <row r="79" spans="1:24"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row>
    <row r="80" spans="1:24"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row>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sheetData>
  <sheetProtection algorithmName="SHA-512" hashValue="jeTXHG6S2le7wSgQ2KWSfNC41X+hWE25dio+YxqGxh0C99XOs8dBaPkXnV+jbjtpNN036yXSkiOE0WoeI7hD/g==" saltValue="oszPlD/Dvpo8qonwfe/UvA==" spinCount="100000" sheet="1" selectLockedCells="1"/>
  <mergeCells count="5">
    <mergeCell ref="B2:T2"/>
    <mergeCell ref="B3:C3"/>
    <mergeCell ref="D3:H4"/>
    <mergeCell ref="F30:F31"/>
    <mergeCell ref="M30:M31"/>
  </mergeCells>
  <dataValidations count="2">
    <dataValidation type="list" allowBlank="1" showInputMessage="1" showErrorMessage="1" sqref="H8:H15 WVR983048:WVR983055 WLV983048:WLV983055 WBZ983048:WBZ983055 VSD983048:VSD983055 VIH983048:VIH983055 UYL983048:UYL983055 UOP983048:UOP983055 UET983048:UET983055 TUX983048:TUX983055 TLB983048:TLB983055 TBF983048:TBF983055 SRJ983048:SRJ983055 SHN983048:SHN983055 RXR983048:RXR983055 RNV983048:RNV983055 RDZ983048:RDZ983055 QUD983048:QUD983055 QKH983048:QKH983055 QAL983048:QAL983055 PQP983048:PQP983055 PGT983048:PGT983055 OWX983048:OWX983055 ONB983048:ONB983055 ODF983048:ODF983055 NTJ983048:NTJ983055 NJN983048:NJN983055 MZR983048:MZR983055 MPV983048:MPV983055 MFZ983048:MFZ983055 LWD983048:LWD983055 LMH983048:LMH983055 LCL983048:LCL983055 KSP983048:KSP983055 KIT983048:KIT983055 JYX983048:JYX983055 JPB983048:JPB983055 JFF983048:JFF983055 IVJ983048:IVJ983055 ILN983048:ILN983055 IBR983048:IBR983055 HRV983048:HRV983055 HHZ983048:HHZ983055 GYD983048:GYD983055 GOH983048:GOH983055 GEL983048:GEL983055 FUP983048:FUP983055 FKT983048:FKT983055 FAX983048:FAX983055 ERB983048:ERB983055 EHF983048:EHF983055 DXJ983048:DXJ983055 DNN983048:DNN983055 DDR983048:DDR983055 CTV983048:CTV983055 CJZ983048:CJZ983055 CAD983048:CAD983055 BQH983048:BQH983055 BGL983048:BGL983055 AWP983048:AWP983055 AMT983048:AMT983055 ACX983048:ACX983055 TB983048:TB983055 JF983048:JF983055 H983048:H983055 WVR917512:WVR917519 WLV917512:WLV917519 WBZ917512:WBZ917519 VSD917512:VSD917519 VIH917512:VIH917519 UYL917512:UYL917519 UOP917512:UOP917519 UET917512:UET917519 TUX917512:TUX917519 TLB917512:TLB917519 TBF917512:TBF917519 SRJ917512:SRJ917519 SHN917512:SHN917519 RXR917512:RXR917519 RNV917512:RNV917519 RDZ917512:RDZ917519 QUD917512:QUD917519 QKH917512:QKH917519 QAL917512:QAL917519 PQP917512:PQP917519 PGT917512:PGT917519 OWX917512:OWX917519 ONB917512:ONB917519 ODF917512:ODF917519 NTJ917512:NTJ917519 NJN917512:NJN917519 MZR917512:MZR917519 MPV917512:MPV917519 MFZ917512:MFZ917519 LWD917512:LWD917519 LMH917512:LMH917519 LCL917512:LCL917519 KSP917512:KSP917519 KIT917512:KIT917519 JYX917512:JYX917519 JPB917512:JPB917519 JFF917512:JFF917519 IVJ917512:IVJ917519 ILN917512:ILN917519 IBR917512:IBR917519 HRV917512:HRV917519 HHZ917512:HHZ917519 GYD917512:GYD917519 GOH917512:GOH917519 GEL917512:GEL917519 FUP917512:FUP917519 FKT917512:FKT917519 FAX917512:FAX917519 ERB917512:ERB917519 EHF917512:EHF917519 DXJ917512:DXJ917519 DNN917512:DNN917519 DDR917512:DDR917519 CTV917512:CTV917519 CJZ917512:CJZ917519 CAD917512:CAD917519 BQH917512:BQH917519 BGL917512:BGL917519 AWP917512:AWP917519 AMT917512:AMT917519 ACX917512:ACX917519 TB917512:TB917519 JF917512:JF917519 H917512:H917519 WVR851976:WVR851983 WLV851976:WLV851983 WBZ851976:WBZ851983 VSD851976:VSD851983 VIH851976:VIH851983 UYL851976:UYL851983 UOP851976:UOP851983 UET851976:UET851983 TUX851976:TUX851983 TLB851976:TLB851983 TBF851976:TBF851983 SRJ851976:SRJ851983 SHN851976:SHN851983 RXR851976:RXR851983 RNV851976:RNV851983 RDZ851976:RDZ851983 QUD851976:QUD851983 QKH851976:QKH851983 QAL851976:QAL851983 PQP851976:PQP851983 PGT851976:PGT851983 OWX851976:OWX851983 ONB851976:ONB851983 ODF851976:ODF851983 NTJ851976:NTJ851983 NJN851976:NJN851983 MZR851976:MZR851983 MPV851976:MPV851983 MFZ851976:MFZ851983 LWD851976:LWD851983 LMH851976:LMH851983 LCL851976:LCL851983 KSP851976:KSP851983 KIT851976:KIT851983 JYX851976:JYX851983 JPB851976:JPB851983 JFF851976:JFF851983 IVJ851976:IVJ851983 ILN851976:ILN851983 IBR851976:IBR851983 HRV851976:HRV851983 HHZ851976:HHZ851983 GYD851976:GYD851983 GOH851976:GOH851983 GEL851976:GEL851983 FUP851976:FUP851983 FKT851976:FKT851983 FAX851976:FAX851983 ERB851976:ERB851983 EHF851976:EHF851983 DXJ851976:DXJ851983 DNN851976:DNN851983 DDR851976:DDR851983 CTV851976:CTV851983 CJZ851976:CJZ851983 CAD851976:CAD851983 BQH851976:BQH851983 BGL851976:BGL851983 AWP851976:AWP851983 AMT851976:AMT851983 ACX851976:ACX851983 TB851976:TB851983 JF851976:JF851983 H851976:H851983 WVR786440:WVR786447 WLV786440:WLV786447 WBZ786440:WBZ786447 VSD786440:VSD786447 VIH786440:VIH786447 UYL786440:UYL786447 UOP786440:UOP786447 UET786440:UET786447 TUX786440:TUX786447 TLB786440:TLB786447 TBF786440:TBF786447 SRJ786440:SRJ786447 SHN786440:SHN786447 RXR786440:RXR786447 RNV786440:RNV786447 RDZ786440:RDZ786447 QUD786440:QUD786447 QKH786440:QKH786447 QAL786440:QAL786447 PQP786440:PQP786447 PGT786440:PGT786447 OWX786440:OWX786447 ONB786440:ONB786447 ODF786440:ODF786447 NTJ786440:NTJ786447 NJN786440:NJN786447 MZR786440:MZR786447 MPV786440:MPV786447 MFZ786440:MFZ786447 LWD786440:LWD786447 LMH786440:LMH786447 LCL786440:LCL786447 KSP786440:KSP786447 KIT786440:KIT786447 JYX786440:JYX786447 JPB786440:JPB786447 JFF786440:JFF786447 IVJ786440:IVJ786447 ILN786440:ILN786447 IBR786440:IBR786447 HRV786440:HRV786447 HHZ786440:HHZ786447 GYD786440:GYD786447 GOH786440:GOH786447 GEL786440:GEL786447 FUP786440:FUP786447 FKT786440:FKT786447 FAX786440:FAX786447 ERB786440:ERB786447 EHF786440:EHF786447 DXJ786440:DXJ786447 DNN786440:DNN786447 DDR786440:DDR786447 CTV786440:CTV786447 CJZ786440:CJZ786447 CAD786440:CAD786447 BQH786440:BQH786447 BGL786440:BGL786447 AWP786440:AWP786447 AMT786440:AMT786447 ACX786440:ACX786447 TB786440:TB786447 JF786440:JF786447 H786440:H786447 WVR720904:WVR720911 WLV720904:WLV720911 WBZ720904:WBZ720911 VSD720904:VSD720911 VIH720904:VIH720911 UYL720904:UYL720911 UOP720904:UOP720911 UET720904:UET720911 TUX720904:TUX720911 TLB720904:TLB720911 TBF720904:TBF720911 SRJ720904:SRJ720911 SHN720904:SHN720911 RXR720904:RXR720911 RNV720904:RNV720911 RDZ720904:RDZ720911 QUD720904:QUD720911 QKH720904:QKH720911 QAL720904:QAL720911 PQP720904:PQP720911 PGT720904:PGT720911 OWX720904:OWX720911 ONB720904:ONB720911 ODF720904:ODF720911 NTJ720904:NTJ720911 NJN720904:NJN720911 MZR720904:MZR720911 MPV720904:MPV720911 MFZ720904:MFZ720911 LWD720904:LWD720911 LMH720904:LMH720911 LCL720904:LCL720911 KSP720904:KSP720911 KIT720904:KIT720911 JYX720904:JYX720911 JPB720904:JPB720911 JFF720904:JFF720911 IVJ720904:IVJ720911 ILN720904:ILN720911 IBR720904:IBR720911 HRV720904:HRV720911 HHZ720904:HHZ720911 GYD720904:GYD720911 GOH720904:GOH720911 GEL720904:GEL720911 FUP720904:FUP720911 FKT720904:FKT720911 FAX720904:FAX720911 ERB720904:ERB720911 EHF720904:EHF720911 DXJ720904:DXJ720911 DNN720904:DNN720911 DDR720904:DDR720911 CTV720904:CTV720911 CJZ720904:CJZ720911 CAD720904:CAD720911 BQH720904:BQH720911 BGL720904:BGL720911 AWP720904:AWP720911 AMT720904:AMT720911 ACX720904:ACX720911 TB720904:TB720911 JF720904:JF720911 H720904:H720911 WVR655368:WVR655375 WLV655368:WLV655375 WBZ655368:WBZ655375 VSD655368:VSD655375 VIH655368:VIH655375 UYL655368:UYL655375 UOP655368:UOP655375 UET655368:UET655375 TUX655368:TUX655375 TLB655368:TLB655375 TBF655368:TBF655375 SRJ655368:SRJ655375 SHN655368:SHN655375 RXR655368:RXR655375 RNV655368:RNV655375 RDZ655368:RDZ655375 QUD655368:QUD655375 QKH655368:QKH655375 QAL655368:QAL655375 PQP655368:PQP655375 PGT655368:PGT655375 OWX655368:OWX655375 ONB655368:ONB655375 ODF655368:ODF655375 NTJ655368:NTJ655375 NJN655368:NJN655375 MZR655368:MZR655375 MPV655368:MPV655375 MFZ655368:MFZ655375 LWD655368:LWD655375 LMH655368:LMH655375 LCL655368:LCL655375 KSP655368:KSP655375 KIT655368:KIT655375 JYX655368:JYX655375 JPB655368:JPB655375 JFF655368:JFF655375 IVJ655368:IVJ655375 ILN655368:ILN655375 IBR655368:IBR655375 HRV655368:HRV655375 HHZ655368:HHZ655375 GYD655368:GYD655375 GOH655368:GOH655375 GEL655368:GEL655375 FUP655368:FUP655375 FKT655368:FKT655375 FAX655368:FAX655375 ERB655368:ERB655375 EHF655368:EHF655375 DXJ655368:DXJ655375 DNN655368:DNN655375 DDR655368:DDR655375 CTV655368:CTV655375 CJZ655368:CJZ655375 CAD655368:CAD655375 BQH655368:BQH655375 BGL655368:BGL655375 AWP655368:AWP655375 AMT655368:AMT655375 ACX655368:ACX655375 TB655368:TB655375 JF655368:JF655375 H655368:H655375 WVR589832:WVR589839 WLV589832:WLV589839 WBZ589832:WBZ589839 VSD589832:VSD589839 VIH589832:VIH589839 UYL589832:UYL589839 UOP589832:UOP589839 UET589832:UET589839 TUX589832:TUX589839 TLB589832:TLB589839 TBF589832:TBF589839 SRJ589832:SRJ589839 SHN589832:SHN589839 RXR589832:RXR589839 RNV589832:RNV589839 RDZ589832:RDZ589839 QUD589832:QUD589839 QKH589832:QKH589839 QAL589832:QAL589839 PQP589832:PQP589839 PGT589832:PGT589839 OWX589832:OWX589839 ONB589832:ONB589839 ODF589832:ODF589839 NTJ589832:NTJ589839 NJN589832:NJN589839 MZR589832:MZR589839 MPV589832:MPV589839 MFZ589832:MFZ589839 LWD589832:LWD589839 LMH589832:LMH589839 LCL589832:LCL589839 KSP589832:KSP589839 KIT589832:KIT589839 JYX589832:JYX589839 JPB589832:JPB589839 JFF589832:JFF589839 IVJ589832:IVJ589839 ILN589832:ILN589839 IBR589832:IBR589839 HRV589832:HRV589839 HHZ589832:HHZ589839 GYD589832:GYD589839 GOH589832:GOH589839 GEL589832:GEL589839 FUP589832:FUP589839 FKT589832:FKT589839 FAX589832:FAX589839 ERB589832:ERB589839 EHF589832:EHF589839 DXJ589832:DXJ589839 DNN589832:DNN589839 DDR589832:DDR589839 CTV589832:CTV589839 CJZ589832:CJZ589839 CAD589832:CAD589839 BQH589832:BQH589839 BGL589832:BGL589839 AWP589832:AWP589839 AMT589832:AMT589839 ACX589832:ACX589839 TB589832:TB589839 JF589832:JF589839 H589832:H589839 WVR524296:WVR524303 WLV524296:WLV524303 WBZ524296:WBZ524303 VSD524296:VSD524303 VIH524296:VIH524303 UYL524296:UYL524303 UOP524296:UOP524303 UET524296:UET524303 TUX524296:TUX524303 TLB524296:TLB524303 TBF524296:TBF524303 SRJ524296:SRJ524303 SHN524296:SHN524303 RXR524296:RXR524303 RNV524296:RNV524303 RDZ524296:RDZ524303 QUD524296:QUD524303 QKH524296:QKH524303 QAL524296:QAL524303 PQP524296:PQP524303 PGT524296:PGT524303 OWX524296:OWX524303 ONB524296:ONB524303 ODF524296:ODF524303 NTJ524296:NTJ524303 NJN524296:NJN524303 MZR524296:MZR524303 MPV524296:MPV524303 MFZ524296:MFZ524303 LWD524296:LWD524303 LMH524296:LMH524303 LCL524296:LCL524303 KSP524296:KSP524303 KIT524296:KIT524303 JYX524296:JYX524303 JPB524296:JPB524303 JFF524296:JFF524303 IVJ524296:IVJ524303 ILN524296:ILN524303 IBR524296:IBR524303 HRV524296:HRV524303 HHZ524296:HHZ524303 GYD524296:GYD524303 GOH524296:GOH524303 GEL524296:GEL524303 FUP524296:FUP524303 FKT524296:FKT524303 FAX524296:FAX524303 ERB524296:ERB524303 EHF524296:EHF524303 DXJ524296:DXJ524303 DNN524296:DNN524303 DDR524296:DDR524303 CTV524296:CTV524303 CJZ524296:CJZ524303 CAD524296:CAD524303 BQH524296:BQH524303 BGL524296:BGL524303 AWP524296:AWP524303 AMT524296:AMT524303 ACX524296:ACX524303 TB524296:TB524303 JF524296:JF524303 H524296:H524303 WVR458760:WVR458767 WLV458760:WLV458767 WBZ458760:WBZ458767 VSD458760:VSD458767 VIH458760:VIH458767 UYL458760:UYL458767 UOP458760:UOP458767 UET458760:UET458767 TUX458760:TUX458767 TLB458760:TLB458767 TBF458760:TBF458767 SRJ458760:SRJ458767 SHN458760:SHN458767 RXR458760:RXR458767 RNV458760:RNV458767 RDZ458760:RDZ458767 QUD458760:QUD458767 QKH458760:QKH458767 QAL458760:QAL458767 PQP458760:PQP458767 PGT458760:PGT458767 OWX458760:OWX458767 ONB458760:ONB458767 ODF458760:ODF458767 NTJ458760:NTJ458767 NJN458760:NJN458767 MZR458760:MZR458767 MPV458760:MPV458767 MFZ458760:MFZ458767 LWD458760:LWD458767 LMH458760:LMH458767 LCL458760:LCL458767 KSP458760:KSP458767 KIT458760:KIT458767 JYX458760:JYX458767 JPB458760:JPB458767 JFF458760:JFF458767 IVJ458760:IVJ458767 ILN458760:ILN458767 IBR458760:IBR458767 HRV458760:HRV458767 HHZ458760:HHZ458767 GYD458760:GYD458767 GOH458760:GOH458767 GEL458760:GEL458767 FUP458760:FUP458767 FKT458760:FKT458767 FAX458760:FAX458767 ERB458760:ERB458767 EHF458760:EHF458767 DXJ458760:DXJ458767 DNN458760:DNN458767 DDR458760:DDR458767 CTV458760:CTV458767 CJZ458760:CJZ458767 CAD458760:CAD458767 BQH458760:BQH458767 BGL458760:BGL458767 AWP458760:AWP458767 AMT458760:AMT458767 ACX458760:ACX458767 TB458760:TB458767 JF458760:JF458767 H458760:H458767 WVR393224:WVR393231 WLV393224:WLV393231 WBZ393224:WBZ393231 VSD393224:VSD393231 VIH393224:VIH393231 UYL393224:UYL393231 UOP393224:UOP393231 UET393224:UET393231 TUX393224:TUX393231 TLB393224:TLB393231 TBF393224:TBF393231 SRJ393224:SRJ393231 SHN393224:SHN393231 RXR393224:RXR393231 RNV393224:RNV393231 RDZ393224:RDZ393231 QUD393224:QUD393231 QKH393224:QKH393231 QAL393224:QAL393231 PQP393224:PQP393231 PGT393224:PGT393231 OWX393224:OWX393231 ONB393224:ONB393231 ODF393224:ODF393231 NTJ393224:NTJ393231 NJN393224:NJN393231 MZR393224:MZR393231 MPV393224:MPV393231 MFZ393224:MFZ393231 LWD393224:LWD393231 LMH393224:LMH393231 LCL393224:LCL393231 KSP393224:KSP393231 KIT393224:KIT393231 JYX393224:JYX393231 JPB393224:JPB393231 JFF393224:JFF393231 IVJ393224:IVJ393231 ILN393224:ILN393231 IBR393224:IBR393231 HRV393224:HRV393231 HHZ393224:HHZ393231 GYD393224:GYD393231 GOH393224:GOH393231 GEL393224:GEL393231 FUP393224:FUP393231 FKT393224:FKT393231 FAX393224:FAX393231 ERB393224:ERB393231 EHF393224:EHF393231 DXJ393224:DXJ393231 DNN393224:DNN393231 DDR393224:DDR393231 CTV393224:CTV393231 CJZ393224:CJZ393231 CAD393224:CAD393231 BQH393224:BQH393231 BGL393224:BGL393231 AWP393224:AWP393231 AMT393224:AMT393231 ACX393224:ACX393231 TB393224:TB393231 JF393224:JF393231 H393224:H393231 WVR327688:WVR327695 WLV327688:WLV327695 WBZ327688:WBZ327695 VSD327688:VSD327695 VIH327688:VIH327695 UYL327688:UYL327695 UOP327688:UOP327695 UET327688:UET327695 TUX327688:TUX327695 TLB327688:TLB327695 TBF327688:TBF327695 SRJ327688:SRJ327695 SHN327688:SHN327695 RXR327688:RXR327695 RNV327688:RNV327695 RDZ327688:RDZ327695 QUD327688:QUD327695 QKH327688:QKH327695 QAL327688:QAL327695 PQP327688:PQP327695 PGT327688:PGT327695 OWX327688:OWX327695 ONB327688:ONB327695 ODF327688:ODF327695 NTJ327688:NTJ327695 NJN327688:NJN327695 MZR327688:MZR327695 MPV327688:MPV327695 MFZ327688:MFZ327695 LWD327688:LWD327695 LMH327688:LMH327695 LCL327688:LCL327695 KSP327688:KSP327695 KIT327688:KIT327695 JYX327688:JYX327695 JPB327688:JPB327695 JFF327688:JFF327695 IVJ327688:IVJ327695 ILN327688:ILN327695 IBR327688:IBR327695 HRV327688:HRV327695 HHZ327688:HHZ327695 GYD327688:GYD327695 GOH327688:GOH327695 GEL327688:GEL327695 FUP327688:FUP327695 FKT327688:FKT327695 FAX327688:FAX327695 ERB327688:ERB327695 EHF327688:EHF327695 DXJ327688:DXJ327695 DNN327688:DNN327695 DDR327688:DDR327695 CTV327688:CTV327695 CJZ327688:CJZ327695 CAD327688:CAD327695 BQH327688:BQH327695 BGL327688:BGL327695 AWP327688:AWP327695 AMT327688:AMT327695 ACX327688:ACX327695 TB327688:TB327695 JF327688:JF327695 H327688:H327695 WVR262152:WVR262159 WLV262152:WLV262159 WBZ262152:WBZ262159 VSD262152:VSD262159 VIH262152:VIH262159 UYL262152:UYL262159 UOP262152:UOP262159 UET262152:UET262159 TUX262152:TUX262159 TLB262152:TLB262159 TBF262152:TBF262159 SRJ262152:SRJ262159 SHN262152:SHN262159 RXR262152:RXR262159 RNV262152:RNV262159 RDZ262152:RDZ262159 QUD262152:QUD262159 QKH262152:QKH262159 QAL262152:QAL262159 PQP262152:PQP262159 PGT262152:PGT262159 OWX262152:OWX262159 ONB262152:ONB262159 ODF262152:ODF262159 NTJ262152:NTJ262159 NJN262152:NJN262159 MZR262152:MZR262159 MPV262152:MPV262159 MFZ262152:MFZ262159 LWD262152:LWD262159 LMH262152:LMH262159 LCL262152:LCL262159 KSP262152:KSP262159 KIT262152:KIT262159 JYX262152:JYX262159 JPB262152:JPB262159 JFF262152:JFF262159 IVJ262152:IVJ262159 ILN262152:ILN262159 IBR262152:IBR262159 HRV262152:HRV262159 HHZ262152:HHZ262159 GYD262152:GYD262159 GOH262152:GOH262159 GEL262152:GEL262159 FUP262152:FUP262159 FKT262152:FKT262159 FAX262152:FAX262159 ERB262152:ERB262159 EHF262152:EHF262159 DXJ262152:DXJ262159 DNN262152:DNN262159 DDR262152:DDR262159 CTV262152:CTV262159 CJZ262152:CJZ262159 CAD262152:CAD262159 BQH262152:BQH262159 BGL262152:BGL262159 AWP262152:AWP262159 AMT262152:AMT262159 ACX262152:ACX262159 TB262152:TB262159 JF262152:JF262159 H262152:H262159 WVR196616:WVR196623 WLV196616:WLV196623 WBZ196616:WBZ196623 VSD196616:VSD196623 VIH196616:VIH196623 UYL196616:UYL196623 UOP196616:UOP196623 UET196616:UET196623 TUX196616:TUX196623 TLB196616:TLB196623 TBF196616:TBF196623 SRJ196616:SRJ196623 SHN196616:SHN196623 RXR196616:RXR196623 RNV196616:RNV196623 RDZ196616:RDZ196623 QUD196616:QUD196623 QKH196616:QKH196623 QAL196616:QAL196623 PQP196616:PQP196623 PGT196616:PGT196623 OWX196616:OWX196623 ONB196616:ONB196623 ODF196616:ODF196623 NTJ196616:NTJ196623 NJN196616:NJN196623 MZR196616:MZR196623 MPV196616:MPV196623 MFZ196616:MFZ196623 LWD196616:LWD196623 LMH196616:LMH196623 LCL196616:LCL196623 KSP196616:KSP196623 KIT196616:KIT196623 JYX196616:JYX196623 JPB196616:JPB196623 JFF196616:JFF196623 IVJ196616:IVJ196623 ILN196616:ILN196623 IBR196616:IBR196623 HRV196616:HRV196623 HHZ196616:HHZ196623 GYD196616:GYD196623 GOH196616:GOH196623 GEL196616:GEL196623 FUP196616:FUP196623 FKT196616:FKT196623 FAX196616:FAX196623 ERB196616:ERB196623 EHF196616:EHF196623 DXJ196616:DXJ196623 DNN196616:DNN196623 DDR196616:DDR196623 CTV196616:CTV196623 CJZ196616:CJZ196623 CAD196616:CAD196623 BQH196616:BQH196623 BGL196616:BGL196623 AWP196616:AWP196623 AMT196616:AMT196623 ACX196616:ACX196623 TB196616:TB196623 JF196616:JF196623 H196616:H196623 WVR131080:WVR131087 WLV131080:WLV131087 WBZ131080:WBZ131087 VSD131080:VSD131087 VIH131080:VIH131087 UYL131080:UYL131087 UOP131080:UOP131087 UET131080:UET131087 TUX131080:TUX131087 TLB131080:TLB131087 TBF131080:TBF131087 SRJ131080:SRJ131087 SHN131080:SHN131087 RXR131080:RXR131087 RNV131080:RNV131087 RDZ131080:RDZ131087 QUD131080:QUD131087 QKH131080:QKH131087 QAL131080:QAL131087 PQP131080:PQP131087 PGT131080:PGT131087 OWX131080:OWX131087 ONB131080:ONB131087 ODF131080:ODF131087 NTJ131080:NTJ131087 NJN131080:NJN131087 MZR131080:MZR131087 MPV131080:MPV131087 MFZ131080:MFZ131087 LWD131080:LWD131087 LMH131080:LMH131087 LCL131080:LCL131087 KSP131080:KSP131087 KIT131080:KIT131087 JYX131080:JYX131087 JPB131080:JPB131087 JFF131080:JFF131087 IVJ131080:IVJ131087 ILN131080:ILN131087 IBR131080:IBR131087 HRV131080:HRV131087 HHZ131080:HHZ131087 GYD131080:GYD131087 GOH131080:GOH131087 GEL131080:GEL131087 FUP131080:FUP131087 FKT131080:FKT131087 FAX131080:FAX131087 ERB131080:ERB131087 EHF131080:EHF131087 DXJ131080:DXJ131087 DNN131080:DNN131087 DDR131080:DDR131087 CTV131080:CTV131087 CJZ131080:CJZ131087 CAD131080:CAD131087 BQH131080:BQH131087 BGL131080:BGL131087 AWP131080:AWP131087 AMT131080:AMT131087 ACX131080:ACX131087 TB131080:TB131087 JF131080:JF131087 H131080:H131087 WVR65544:WVR65551 WLV65544:WLV65551 WBZ65544:WBZ65551 VSD65544:VSD65551 VIH65544:VIH65551 UYL65544:UYL65551 UOP65544:UOP65551 UET65544:UET65551 TUX65544:TUX65551 TLB65544:TLB65551 TBF65544:TBF65551 SRJ65544:SRJ65551 SHN65544:SHN65551 RXR65544:RXR65551 RNV65544:RNV65551 RDZ65544:RDZ65551 QUD65544:QUD65551 QKH65544:QKH65551 QAL65544:QAL65551 PQP65544:PQP65551 PGT65544:PGT65551 OWX65544:OWX65551 ONB65544:ONB65551 ODF65544:ODF65551 NTJ65544:NTJ65551 NJN65544:NJN65551 MZR65544:MZR65551 MPV65544:MPV65551 MFZ65544:MFZ65551 LWD65544:LWD65551 LMH65544:LMH65551 LCL65544:LCL65551 KSP65544:KSP65551 KIT65544:KIT65551 JYX65544:JYX65551 JPB65544:JPB65551 JFF65544:JFF65551 IVJ65544:IVJ65551 ILN65544:ILN65551 IBR65544:IBR65551 HRV65544:HRV65551 HHZ65544:HHZ65551 GYD65544:GYD65551 GOH65544:GOH65551 GEL65544:GEL65551 FUP65544:FUP65551 FKT65544:FKT65551 FAX65544:FAX65551 ERB65544:ERB65551 EHF65544:EHF65551 DXJ65544:DXJ65551 DNN65544:DNN65551 DDR65544:DDR65551 CTV65544:CTV65551 CJZ65544:CJZ65551 CAD65544:CAD65551 BQH65544:BQH65551 BGL65544:BGL65551 AWP65544:AWP65551 AMT65544:AMT65551 ACX65544:ACX65551 TB65544:TB65551 JF65544:JF65551 H65544:H65551 WVR8:WVR15 WLV8:WLV15 WBZ8:WBZ15 VSD8:VSD15 VIH8:VIH15 UYL8:UYL15 UOP8:UOP15 UET8:UET15 TUX8:TUX15 TLB8:TLB15 TBF8:TBF15 SRJ8:SRJ15 SHN8:SHN15 RXR8:RXR15 RNV8:RNV15 RDZ8:RDZ15 QUD8:QUD15 QKH8:QKH15 QAL8:QAL15 PQP8:PQP15 PGT8:PGT15 OWX8:OWX15 ONB8:ONB15 ODF8:ODF15 NTJ8:NTJ15 NJN8:NJN15 MZR8:MZR15 MPV8:MPV15 MFZ8:MFZ15 LWD8:LWD15 LMH8:LMH15 LCL8:LCL15 KSP8:KSP15 KIT8:KIT15 JYX8:JYX15 JPB8:JPB15 JFF8:JFF15 IVJ8:IVJ15 ILN8:ILN15 IBR8:IBR15 HRV8:HRV15 HHZ8:HHZ15 GYD8:GYD15 GOH8:GOH15 GEL8:GEL15 FUP8:FUP15 FKT8:FKT15 FAX8:FAX15 ERB8:ERB15 EHF8:EHF15 DXJ8:DXJ15 DNN8:DNN15 DDR8:DDR15 CTV8:CTV15 CJZ8:CJZ15 CAD8:CAD15 BQH8:BQH15 BGL8:BGL15 AWP8:AWP15 AMT8:AMT15 ACX8:ACX15 TB8:TB15 JF8:JF15" xr:uid="{8962A31A-0E9F-4422-9C94-BA969E5AD2EA}">
      <formula1>$C$32:$C$35</formula1>
    </dataValidation>
    <dataValidation type="list" allowBlank="1" showInputMessage="1" showErrorMessage="1" sqref="D8:D15 WVO983048:WVO983055 WLS983048:WLS983055 WBW983048:WBW983055 VSA983048:VSA983055 VIE983048:VIE983055 UYI983048:UYI983055 UOM983048:UOM983055 UEQ983048:UEQ983055 TUU983048:TUU983055 TKY983048:TKY983055 TBC983048:TBC983055 SRG983048:SRG983055 SHK983048:SHK983055 RXO983048:RXO983055 RNS983048:RNS983055 RDW983048:RDW983055 QUA983048:QUA983055 QKE983048:QKE983055 QAI983048:QAI983055 PQM983048:PQM983055 PGQ983048:PGQ983055 OWU983048:OWU983055 OMY983048:OMY983055 ODC983048:ODC983055 NTG983048:NTG983055 NJK983048:NJK983055 MZO983048:MZO983055 MPS983048:MPS983055 MFW983048:MFW983055 LWA983048:LWA983055 LME983048:LME983055 LCI983048:LCI983055 KSM983048:KSM983055 KIQ983048:KIQ983055 JYU983048:JYU983055 JOY983048:JOY983055 JFC983048:JFC983055 IVG983048:IVG983055 ILK983048:ILK983055 IBO983048:IBO983055 HRS983048:HRS983055 HHW983048:HHW983055 GYA983048:GYA983055 GOE983048:GOE983055 GEI983048:GEI983055 FUM983048:FUM983055 FKQ983048:FKQ983055 FAU983048:FAU983055 EQY983048:EQY983055 EHC983048:EHC983055 DXG983048:DXG983055 DNK983048:DNK983055 DDO983048:DDO983055 CTS983048:CTS983055 CJW983048:CJW983055 CAA983048:CAA983055 BQE983048:BQE983055 BGI983048:BGI983055 AWM983048:AWM983055 AMQ983048:AMQ983055 ACU983048:ACU983055 SY983048:SY983055 JC983048:JC983055 D983048:D983055 WVO917512:WVO917519 WLS917512:WLS917519 WBW917512:WBW917519 VSA917512:VSA917519 VIE917512:VIE917519 UYI917512:UYI917519 UOM917512:UOM917519 UEQ917512:UEQ917519 TUU917512:TUU917519 TKY917512:TKY917519 TBC917512:TBC917519 SRG917512:SRG917519 SHK917512:SHK917519 RXO917512:RXO917519 RNS917512:RNS917519 RDW917512:RDW917519 QUA917512:QUA917519 QKE917512:QKE917519 QAI917512:QAI917519 PQM917512:PQM917519 PGQ917512:PGQ917519 OWU917512:OWU917519 OMY917512:OMY917519 ODC917512:ODC917519 NTG917512:NTG917519 NJK917512:NJK917519 MZO917512:MZO917519 MPS917512:MPS917519 MFW917512:MFW917519 LWA917512:LWA917519 LME917512:LME917519 LCI917512:LCI917519 KSM917512:KSM917519 KIQ917512:KIQ917519 JYU917512:JYU917519 JOY917512:JOY917519 JFC917512:JFC917519 IVG917512:IVG917519 ILK917512:ILK917519 IBO917512:IBO917519 HRS917512:HRS917519 HHW917512:HHW917519 GYA917512:GYA917519 GOE917512:GOE917519 GEI917512:GEI917519 FUM917512:FUM917519 FKQ917512:FKQ917519 FAU917512:FAU917519 EQY917512:EQY917519 EHC917512:EHC917519 DXG917512:DXG917519 DNK917512:DNK917519 DDO917512:DDO917519 CTS917512:CTS917519 CJW917512:CJW917519 CAA917512:CAA917519 BQE917512:BQE917519 BGI917512:BGI917519 AWM917512:AWM917519 AMQ917512:AMQ917519 ACU917512:ACU917519 SY917512:SY917519 JC917512:JC917519 D917512:D917519 WVO851976:WVO851983 WLS851976:WLS851983 WBW851976:WBW851983 VSA851976:VSA851983 VIE851976:VIE851983 UYI851976:UYI851983 UOM851976:UOM851983 UEQ851976:UEQ851983 TUU851976:TUU851983 TKY851976:TKY851983 TBC851976:TBC851983 SRG851976:SRG851983 SHK851976:SHK851983 RXO851976:RXO851983 RNS851976:RNS851983 RDW851976:RDW851983 QUA851976:QUA851983 QKE851976:QKE851983 QAI851976:QAI851983 PQM851976:PQM851983 PGQ851976:PGQ851983 OWU851976:OWU851983 OMY851976:OMY851983 ODC851976:ODC851983 NTG851976:NTG851983 NJK851976:NJK851983 MZO851976:MZO851983 MPS851976:MPS851983 MFW851976:MFW851983 LWA851976:LWA851983 LME851976:LME851983 LCI851976:LCI851983 KSM851976:KSM851983 KIQ851976:KIQ851983 JYU851976:JYU851983 JOY851976:JOY851983 JFC851976:JFC851983 IVG851976:IVG851983 ILK851976:ILK851983 IBO851976:IBO851983 HRS851976:HRS851983 HHW851976:HHW851983 GYA851976:GYA851983 GOE851976:GOE851983 GEI851976:GEI851983 FUM851976:FUM851983 FKQ851976:FKQ851983 FAU851976:FAU851983 EQY851976:EQY851983 EHC851976:EHC851983 DXG851976:DXG851983 DNK851976:DNK851983 DDO851976:DDO851983 CTS851976:CTS851983 CJW851976:CJW851983 CAA851976:CAA851983 BQE851976:BQE851983 BGI851976:BGI851983 AWM851976:AWM851983 AMQ851976:AMQ851983 ACU851976:ACU851983 SY851976:SY851983 JC851976:JC851983 D851976:D851983 WVO786440:WVO786447 WLS786440:WLS786447 WBW786440:WBW786447 VSA786440:VSA786447 VIE786440:VIE786447 UYI786440:UYI786447 UOM786440:UOM786447 UEQ786440:UEQ786447 TUU786440:TUU786447 TKY786440:TKY786447 TBC786440:TBC786447 SRG786440:SRG786447 SHK786440:SHK786447 RXO786440:RXO786447 RNS786440:RNS786447 RDW786440:RDW786447 QUA786440:QUA786447 QKE786440:QKE786447 QAI786440:QAI786447 PQM786440:PQM786447 PGQ786440:PGQ786447 OWU786440:OWU786447 OMY786440:OMY786447 ODC786440:ODC786447 NTG786440:NTG786447 NJK786440:NJK786447 MZO786440:MZO786447 MPS786440:MPS786447 MFW786440:MFW786447 LWA786440:LWA786447 LME786440:LME786447 LCI786440:LCI786447 KSM786440:KSM786447 KIQ786440:KIQ786447 JYU786440:JYU786447 JOY786440:JOY786447 JFC786440:JFC786447 IVG786440:IVG786447 ILK786440:ILK786447 IBO786440:IBO786447 HRS786440:HRS786447 HHW786440:HHW786447 GYA786440:GYA786447 GOE786440:GOE786447 GEI786440:GEI786447 FUM786440:FUM786447 FKQ786440:FKQ786447 FAU786440:FAU786447 EQY786440:EQY786447 EHC786440:EHC786447 DXG786440:DXG786447 DNK786440:DNK786447 DDO786440:DDO786447 CTS786440:CTS786447 CJW786440:CJW786447 CAA786440:CAA786447 BQE786440:BQE786447 BGI786440:BGI786447 AWM786440:AWM786447 AMQ786440:AMQ786447 ACU786440:ACU786447 SY786440:SY786447 JC786440:JC786447 D786440:D786447 WVO720904:WVO720911 WLS720904:WLS720911 WBW720904:WBW720911 VSA720904:VSA720911 VIE720904:VIE720911 UYI720904:UYI720911 UOM720904:UOM720911 UEQ720904:UEQ720911 TUU720904:TUU720911 TKY720904:TKY720911 TBC720904:TBC720911 SRG720904:SRG720911 SHK720904:SHK720911 RXO720904:RXO720911 RNS720904:RNS720911 RDW720904:RDW720911 QUA720904:QUA720911 QKE720904:QKE720911 QAI720904:QAI720911 PQM720904:PQM720911 PGQ720904:PGQ720911 OWU720904:OWU720911 OMY720904:OMY720911 ODC720904:ODC720911 NTG720904:NTG720911 NJK720904:NJK720911 MZO720904:MZO720911 MPS720904:MPS720911 MFW720904:MFW720911 LWA720904:LWA720911 LME720904:LME720911 LCI720904:LCI720911 KSM720904:KSM720911 KIQ720904:KIQ720911 JYU720904:JYU720911 JOY720904:JOY720911 JFC720904:JFC720911 IVG720904:IVG720911 ILK720904:ILK720911 IBO720904:IBO720911 HRS720904:HRS720911 HHW720904:HHW720911 GYA720904:GYA720911 GOE720904:GOE720911 GEI720904:GEI720911 FUM720904:FUM720911 FKQ720904:FKQ720911 FAU720904:FAU720911 EQY720904:EQY720911 EHC720904:EHC720911 DXG720904:DXG720911 DNK720904:DNK720911 DDO720904:DDO720911 CTS720904:CTS720911 CJW720904:CJW720911 CAA720904:CAA720911 BQE720904:BQE720911 BGI720904:BGI720911 AWM720904:AWM720911 AMQ720904:AMQ720911 ACU720904:ACU720911 SY720904:SY720911 JC720904:JC720911 D720904:D720911 WVO655368:WVO655375 WLS655368:WLS655375 WBW655368:WBW655375 VSA655368:VSA655375 VIE655368:VIE655375 UYI655368:UYI655375 UOM655368:UOM655375 UEQ655368:UEQ655375 TUU655368:TUU655375 TKY655368:TKY655375 TBC655368:TBC655375 SRG655368:SRG655375 SHK655368:SHK655375 RXO655368:RXO655375 RNS655368:RNS655375 RDW655368:RDW655375 QUA655368:QUA655375 QKE655368:QKE655375 QAI655368:QAI655375 PQM655368:PQM655375 PGQ655368:PGQ655375 OWU655368:OWU655375 OMY655368:OMY655375 ODC655368:ODC655375 NTG655368:NTG655375 NJK655368:NJK655375 MZO655368:MZO655375 MPS655368:MPS655375 MFW655368:MFW655375 LWA655368:LWA655375 LME655368:LME655375 LCI655368:LCI655375 KSM655368:KSM655375 KIQ655368:KIQ655375 JYU655368:JYU655375 JOY655368:JOY655375 JFC655368:JFC655375 IVG655368:IVG655375 ILK655368:ILK655375 IBO655368:IBO655375 HRS655368:HRS655375 HHW655368:HHW655375 GYA655368:GYA655375 GOE655368:GOE655375 GEI655368:GEI655375 FUM655368:FUM655375 FKQ655368:FKQ655375 FAU655368:FAU655375 EQY655368:EQY655375 EHC655368:EHC655375 DXG655368:DXG655375 DNK655368:DNK655375 DDO655368:DDO655375 CTS655368:CTS655375 CJW655368:CJW655375 CAA655368:CAA655375 BQE655368:BQE655375 BGI655368:BGI655375 AWM655368:AWM655375 AMQ655368:AMQ655375 ACU655368:ACU655375 SY655368:SY655375 JC655368:JC655375 D655368:D655375 WVO589832:WVO589839 WLS589832:WLS589839 WBW589832:WBW589839 VSA589832:VSA589839 VIE589832:VIE589839 UYI589832:UYI589839 UOM589832:UOM589839 UEQ589832:UEQ589839 TUU589832:TUU589839 TKY589832:TKY589839 TBC589832:TBC589839 SRG589832:SRG589839 SHK589832:SHK589839 RXO589832:RXO589839 RNS589832:RNS589839 RDW589832:RDW589839 QUA589832:QUA589839 QKE589832:QKE589839 QAI589832:QAI589839 PQM589832:PQM589839 PGQ589832:PGQ589839 OWU589832:OWU589839 OMY589832:OMY589839 ODC589832:ODC589839 NTG589832:NTG589839 NJK589832:NJK589839 MZO589832:MZO589839 MPS589832:MPS589839 MFW589832:MFW589839 LWA589832:LWA589839 LME589832:LME589839 LCI589832:LCI589839 KSM589832:KSM589839 KIQ589832:KIQ589839 JYU589832:JYU589839 JOY589832:JOY589839 JFC589832:JFC589839 IVG589832:IVG589839 ILK589832:ILK589839 IBO589832:IBO589839 HRS589832:HRS589839 HHW589832:HHW589839 GYA589832:GYA589839 GOE589832:GOE589839 GEI589832:GEI589839 FUM589832:FUM589839 FKQ589832:FKQ589839 FAU589832:FAU589839 EQY589832:EQY589839 EHC589832:EHC589839 DXG589832:DXG589839 DNK589832:DNK589839 DDO589832:DDO589839 CTS589832:CTS589839 CJW589832:CJW589839 CAA589832:CAA589839 BQE589832:BQE589839 BGI589832:BGI589839 AWM589832:AWM589839 AMQ589832:AMQ589839 ACU589832:ACU589839 SY589832:SY589839 JC589832:JC589839 D589832:D589839 WVO524296:WVO524303 WLS524296:WLS524303 WBW524296:WBW524303 VSA524296:VSA524303 VIE524296:VIE524303 UYI524296:UYI524303 UOM524296:UOM524303 UEQ524296:UEQ524303 TUU524296:TUU524303 TKY524296:TKY524303 TBC524296:TBC524303 SRG524296:SRG524303 SHK524296:SHK524303 RXO524296:RXO524303 RNS524296:RNS524303 RDW524296:RDW524303 QUA524296:QUA524303 QKE524296:QKE524303 QAI524296:QAI524303 PQM524296:PQM524303 PGQ524296:PGQ524303 OWU524296:OWU524303 OMY524296:OMY524303 ODC524296:ODC524303 NTG524296:NTG524303 NJK524296:NJK524303 MZO524296:MZO524303 MPS524296:MPS524303 MFW524296:MFW524303 LWA524296:LWA524303 LME524296:LME524303 LCI524296:LCI524303 KSM524296:KSM524303 KIQ524296:KIQ524303 JYU524296:JYU524303 JOY524296:JOY524303 JFC524296:JFC524303 IVG524296:IVG524303 ILK524296:ILK524303 IBO524296:IBO524303 HRS524296:HRS524303 HHW524296:HHW524303 GYA524296:GYA524303 GOE524296:GOE524303 GEI524296:GEI524303 FUM524296:FUM524303 FKQ524296:FKQ524303 FAU524296:FAU524303 EQY524296:EQY524303 EHC524296:EHC524303 DXG524296:DXG524303 DNK524296:DNK524303 DDO524296:DDO524303 CTS524296:CTS524303 CJW524296:CJW524303 CAA524296:CAA524303 BQE524296:BQE524303 BGI524296:BGI524303 AWM524296:AWM524303 AMQ524296:AMQ524303 ACU524296:ACU524303 SY524296:SY524303 JC524296:JC524303 D524296:D524303 WVO458760:WVO458767 WLS458760:WLS458767 WBW458760:WBW458767 VSA458760:VSA458767 VIE458760:VIE458767 UYI458760:UYI458767 UOM458760:UOM458767 UEQ458760:UEQ458767 TUU458760:TUU458767 TKY458760:TKY458767 TBC458760:TBC458767 SRG458760:SRG458767 SHK458760:SHK458767 RXO458760:RXO458767 RNS458760:RNS458767 RDW458760:RDW458767 QUA458760:QUA458767 QKE458760:QKE458767 QAI458760:QAI458767 PQM458760:PQM458767 PGQ458760:PGQ458767 OWU458760:OWU458767 OMY458760:OMY458767 ODC458760:ODC458767 NTG458760:NTG458767 NJK458760:NJK458767 MZO458760:MZO458767 MPS458760:MPS458767 MFW458760:MFW458767 LWA458760:LWA458767 LME458760:LME458767 LCI458760:LCI458767 KSM458760:KSM458767 KIQ458760:KIQ458767 JYU458760:JYU458767 JOY458760:JOY458767 JFC458760:JFC458767 IVG458760:IVG458767 ILK458760:ILK458767 IBO458760:IBO458767 HRS458760:HRS458767 HHW458760:HHW458767 GYA458760:GYA458767 GOE458760:GOE458767 GEI458760:GEI458767 FUM458760:FUM458767 FKQ458760:FKQ458767 FAU458760:FAU458767 EQY458760:EQY458767 EHC458760:EHC458767 DXG458760:DXG458767 DNK458760:DNK458767 DDO458760:DDO458767 CTS458760:CTS458767 CJW458760:CJW458767 CAA458760:CAA458767 BQE458760:BQE458767 BGI458760:BGI458767 AWM458760:AWM458767 AMQ458760:AMQ458767 ACU458760:ACU458767 SY458760:SY458767 JC458760:JC458767 D458760:D458767 WVO393224:WVO393231 WLS393224:WLS393231 WBW393224:WBW393231 VSA393224:VSA393231 VIE393224:VIE393231 UYI393224:UYI393231 UOM393224:UOM393231 UEQ393224:UEQ393231 TUU393224:TUU393231 TKY393224:TKY393231 TBC393224:TBC393231 SRG393224:SRG393231 SHK393224:SHK393231 RXO393224:RXO393231 RNS393224:RNS393231 RDW393224:RDW393231 QUA393224:QUA393231 QKE393224:QKE393231 QAI393224:QAI393231 PQM393224:PQM393231 PGQ393224:PGQ393231 OWU393224:OWU393231 OMY393224:OMY393231 ODC393224:ODC393231 NTG393224:NTG393231 NJK393224:NJK393231 MZO393224:MZO393231 MPS393224:MPS393231 MFW393224:MFW393231 LWA393224:LWA393231 LME393224:LME393231 LCI393224:LCI393231 KSM393224:KSM393231 KIQ393224:KIQ393231 JYU393224:JYU393231 JOY393224:JOY393231 JFC393224:JFC393231 IVG393224:IVG393231 ILK393224:ILK393231 IBO393224:IBO393231 HRS393224:HRS393231 HHW393224:HHW393231 GYA393224:GYA393231 GOE393224:GOE393231 GEI393224:GEI393231 FUM393224:FUM393231 FKQ393224:FKQ393231 FAU393224:FAU393231 EQY393224:EQY393231 EHC393224:EHC393231 DXG393224:DXG393231 DNK393224:DNK393231 DDO393224:DDO393231 CTS393224:CTS393231 CJW393224:CJW393231 CAA393224:CAA393231 BQE393224:BQE393231 BGI393224:BGI393231 AWM393224:AWM393231 AMQ393224:AMQ393231 ACU393224:ACU393231 SY393224:SY393231 JC393224:JC393231 D393224:D393231 WVO327688:WVO327695 WLS327688:WLS327695 WBW327688:WBW327695 VSA327688:VSA327695 VIE327688:VIE327695 UYI327688:UYI327695 UOM327688:UOM327695 UEQ327688:UEQ327695 TUU327688:TUU327695 TKY327688:TKY327695 TBC327688:TBC327695 SRG327688:SRG327695 SHK327688:SHK327695 RXO327688:RXO327695 RNS327688:RNS327695 RDW327688:RDW327695 QUA327688:QUA327695 QKE327688:QKE327695 QAI327688:QAI327695 PQM327688:PQM327695 PGQ327688:PGQ327695 OWU327688:OWU327695 OMY327688:OMY327695 ODC327688:ODC327695 NTG327688:NTG327695 NJK327688:NJK327695 MZO327688:MZO327695 MPS327688:MPS327695 MFW327688:MFW327695 LWA327688:LWA327695 LME327688:LME327695 LCI327688:LCI327695 KSM327688:KSM327695 KIQ327688:KIQ327695 JYU327688:JYU327695 JOY327688:JOY327695 JFC327688:JFC327695 IVG327688:IVG327695 ILK327688:ILK327695 IBO327688:IBO327695 HRS327688:HRS327695 HHW327688:HHW327695 GYA327688:GYA327695 GOE327688:GOE327695 GEI327688:GEI327695 FUM327688:FUM327695 FKQ327688:FKQ327695 FAU327688:FAU327695 EQY327688:EQY327695 EHC327688:EHC327695 DXG327688:DXG327695 DNK327688:DNK327695 DDO327688:DDO327695 CTS327688:CTS327695 CJW327688:CJW327695 CAA327688:CAA327695 BQE327688:BQE327695 BGI327688:BGI327695 AWM327688:AWM327695 AMQ327688:AMQ327695 ACU327688:ACU327695 SY327688:SY327695 JC327688:JC327695 D327688:D327695 WVO262152:WVO262159 WLS262152:WLS262159 WBW262152:WBW262159 VSA262152:VSA262159 VIE262152:VIE262159 UYI262152:UYI262159 UOM262152:UOM262159 UEQ262152:UEQ262159 TUU262152:TUU262159 TKY262152:TKY262159 TBC262152:TBC262159 SRG262152:SRG262159 SHK262152:SHK262159 RXO262152:RXO262159 RNS262152:RNS262159 RDW262152:RDW262159 QUA262152:QUA262159 QKE262152:QKE262159 QAI262152:QAI262159 PQM262152:PQM262159 PGQ262152:PGQ262159 OWU262152:OWU262159 OMY262152:OMY262159 ODC262152:ODC262159 NTG262152:NTG262159 NJK262152:NJK262159 MZO262152:MZO262159 MPS262152:MPS262159 MFW262152:MFW262159 LWA262152:LWA262159 LME262152:LME262159 LCI262152:LCI262159 KSM262152:KSM262159 KIQ262152:KIQ262159 JYU262152:JYU262159 JOY262152:JOY262159 JFC262152:JFC262159 IVG262152:IVG262159 ILK262152:ILK262159 IBO262152:IBO262159 HRS262152:HRS262159 HHW262152:HHW262159 GYA262152:GYA262159 GOE262152:GOE262159 GEI262152:GEI262159 FUM262152:FUM262159 FKQ262152:FKQ262159 FAU262152:FAU262159 EQY262152:EQY262159 EHC262152:EHC262159 DXG262152:DXG262159 DNK262152:DNK262159 DDO262152:DDO262159 CTS262152:CTS262159 CJW262152:CJW262159 CAA262152:CAA262159 BQE262152:BQE262159 BGI262152:BGI262159 AWM262152:AWM262159 AMQ262152:AMQ262159 ACU262152:ACU262159 SY262152:SY262159 JC262152:JC262159 D262152:D262159 WVO196616:WVO196623 WLS196616:WLS196623 WBW196616:WBW196623 VSA196616:VSA196623 VIE196616:VIE196623 UYI196616:UYI196623 UOM196616:UOM196623 UEQ196616:UEQ196623 TUU196616:TUU196623 TKY196616:TKY196623 TBC196616:TBC196623 SRG196616:SRG196623 SHK196616:SHK196623 RXO196616:RXO196623 RNS196616:RNS196623 RDW196616:RDW196623 QUA196616:QUA196623 QKE196616:QKE196623 QAI196616:QAI196623 PQM196616:PQM196623 PGQ196616:PGQ196623 OWU196616:OWU196623 OMY196616:OMY196623 ODC196616:ODC196623 NTG196616:NTG196623 NJK196616:NJK196623 MZO196616:MZO196623 MPS196616:MPS196623 MFW196616:MFW196623 LWA196616:LWA196623 LME196616:LME196623 LCI196616:LCI196623 KSM196616:KSM196623 KIQ196616:KIQ196623 JYU196616:JYU196623 JOY196616:JOY196623 JFC196616:JFC196623 IVG196616:IVG196623 ILK196616:ILK196623 IBO196616:IBO196623 HRS196616:HRS196623 HHW196616:HHW196623 GYA196616:GYA196623 GOE196616:GOE196623 GEI196616:GEI196623 FUM196616:FUM196623 FKQ196616:FKQ196623 FAU196616:FAU196623 EQY196616:EQY196623 EHC196616:EHC196623 DXG196616:DXG196623 DNK196616:DNK196623 DDO196616:DDO196623 CTS196616:CTS196623 CJW196616:CJW196623 CAA196616:CAA196623 BQE196616:BQE196623 BGI196616:BGI196623 AWM196616:AWM196623 AMQ196616:AMQ196623 ACU196616:ACU196623 SY196616:SY196623 JC196616:JC196623 D196616:D196623 WVO131080:WVO131087 WLS131080:WLS131087 WBW131080:WBW131087 VSA131080:VSA131087 VIE131080:VIE131087 UYI131080:UYI131087 UOM131080:UOM131087 UEQ131080:UEQ131087 TUU131080:TUU131087 TKY131080:TKY131087 TBC131080:TBC131087 SRG131080:SRG131087 SHK131080:SHK131087 RXO131080:RXO131087 RNS131080:RNS131087 RDW131080:RDW131087 QUA131080:QUA131087 QKE131080:QKE131087 QAI131080:QAI131087 PQM131080:PQM131087 PGQ131080:PGQ131087 OWU131080:OWU131087 OMY131080:OMY131087 ODC131080:ODC131087 NTG131080:NTG131087 NJK131080:NJK131087 MZO131080:MZO131087 MPS131080:MPS131087 MFW131080:MFW131087 LWA131080:LWA131087 LME131080:LME131087 LCI131080:LCI131087 KSM131080:KSM131087 KIQ131080:KIQ131087 JYU131080:JYU131087 JOY131080:JOY131087 JFC131080:JFC131087 IVG131080:IVG131087 ILK131080:ILK131087 IBO131080:IBO131087 HRS131080:HRS131087 HHW131080:HHW131087 GYA131080:GYA131087 GOE131080:GOE131087 GEI131080:GEI131087 FUM131080:FUM131087 FKQ131080:FKQ131087 FAU131080:FAU131087 EQY131080:EQY131087 EHC131080:EHC131087 DXG131080:DXG131087 DNK131080:DNK131087 DDO131080:DDO131087 CTS131080:CTS131087 CJW131080:CJW131087 CAA131080:CAA131087 BQE131080:BQE131087 BGI131080:BGI131087 AWM131080:AWM131087 AMQ131080:AMQ131087 ACU131080:ACU131087 SY131080:SY131087 JC131080:JC131087 D131080:D131087 WVO65544:WVO65551 WLS65544:WLS65551 WBW65544:WBW65551 VSA65544:VSA65551 VIE65544:VIE65551 UYI65544:UYI65551 UOM65544:UOM65551 UEQ65544:UEQ65551 TUU65544:TUU65551 TKY65544:TKY65551 TBC65544:TBC65551 SRG65544:SRG65551 SHK65544:SHK65551 RXO65544:RXO65551 RNS65544:RNS65551 RDW65544:RDW65551 QUA65544:QUA65551 QKE65544:QKE65551 QAI65544:QAI65551 PQM65544:PQM65551 PGQ65544:PGQ65551 OWU65544:OWU65551 OMY65544:OMY65551 ODC65544:ODC65551 NTG65544:NTG65551 NJK65544:NJK65551 MZO65544:MZO65551 MPS65544:MPS65551 MFW65544:MFW65551 LWA65544:LWA65551 LME65544:LME65551 LCI65544:LCI65551 KSM65544:KSM65551 KIQ65544:KIQ65551 JYU65544:JYU65551 JOY65544:JOY65551 JFC65544:JFC65551 IVG65544:IVG65551 ILK65544:ILK65551 IBO65544:IBO65551 HRS65544:HRS65551 HHW65544:HHW65551 GYA65544:GYA65551 GOE65544:GOE65551 GEI65544:GEI65551 FUM65544:FUM65551 FKQ65544:FKQ65551 FAU65544:FAU65551 EQY65544:EQY65551 EHC65544:EHC65551 DXG65544:DXG65551 DNK65544:DNK65551 DDO65544:DDO65551 CTS65544:CTS65551 CJW65544:CJW65551 CAA65544:CAA65551 BQE65544:BQE65551 BGI65544:BGI65551 AWM65544:AWM65551 AMQ65544:AMQ65551 ACU65544:ACU65551 SY65544:SY65551 JC65544:JC65551 D65544:D65551 WVO8:WVO15 WLS8:WLS15 WBW8:WBW15 VSA8:VSA15 VIE8:VIE15 UYI8:UYI15 UOM8:UOM15 UEQ8:UEQ15 TUU8:TUU15 TKY8:TKY15 TBC8:TBC15 SRG8:SRG15 SHK8:SHK15 RXO8:RXO15 RNS8:RNS15 RDW8:RDW15 QUA8:QUA15 QKE8:QKE15 QAI8:QAI15 PQM8:PQM15 PGQ8:PGQ15 OWU8:OWU15 OMY8:OMY15 ODC8:ODC15 NTG8:NTG15 NJK8:NJK15 MZO8:MZO15 MPS8:MPS15 MFW8:MFW15 LWA8:LWA15 LME8:LME15 LCI8:LCI15 KSM8:KSM15 KIQ8:KIQ15 JYU8:JYU15 JOY8:JOY15 JFC8:JFC15 IVG8:IVG15 ILK8:ILK15 IBO8:IBO15 HRS8:HRS15 HHW8:HHW15 GYA8:GYA15 GOE8:GOE15 GEI8:GEI15 FUM8:FUM15 FKQ8:FKQ15 FAU8:FAU15 EQY8:EQY15 EHC8:EHC15 DXG8:DXG15 DNK8:DNK15 DDO8:DDO15 CTS8:CTS15 CJW8:CJW15 CAA8:CAA15 BQE8:BQE15 BGI8:BGI15 AWM8:AWM15 AMQ8:AMQ15 ACU8:ACU15 SY8:SY15 JC8:JC15" xr:uid="{120B3756-2A25-4F80-B497-E91064717D80}">
      <formula1>$E$20:$E$21</formula1>
    </dataValidation>
  </dataValidations>
  <hyperlinks>
    <hyperlink ref="B3" location="'Calculator Index'!A1" display="Return to Index" xr:uid="{D33A24C1-FC6E-4143-88A6-D8A668602F19}"/>
    <hyperlink ref="B3:C3" location="'Project Summary'!A1" display="Return to Index" xr:uid="{1AB0B30E-1B00-458F-84C7-69A23F288973}"/>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G1571"/>
  <sheetViews>
    <sheetView zoomScale="90" zoomScaleNormal="90" workbookViewId="0">
      <selection activeCell="D8" sqref="D8:J9"/>
    </sheetView>
  </sheetViews>
  <sheetFormatPr defaultRowHeight="15" x14ac:dyDescent="0.25"/>
  <cols>
    <col min="1" max="1" width="3.7109375" customWidth="1"/>
    <col min="2" max="2" width="5.7109375" customWidth="1"/>
    <col min="3" max="3" width="24.7109375" bestFit="1" customWidth="1"/>
    <col min="4" max="5" width="20" customWidth="1"/>
    <col min="6" max="6" width="20.5703125" customWidth="1"/>
    <col min="7" max="7" width="20.140625" customWidth="1"/>
    <col min="8" max="8" width="16.28515625" customWidth="1"/>
    <col min="9" max="9" width="18" customWidth="1"/>
    <col min="10" max="10" width="15.140625" customWidth="1"/>
    <col min="11" max="11" width="15.140625" hidden="1" customWidth="1"/>
    <col min="12" max="12" width="17.28515625" customWidth="1"/>
    <col min="13" max="13" width="16.5703125" customWidth="1"/>
    <col min="14" max="14" width="16.7109375" customWidth="1"/>
    <col min="15" max="15" width="16.7109375" hidden="1" customWidth="1"/>
    <col min="16" max="17" width="14.7109375" hidden="1" customWidth="1"/>
    <col min="18" max="18" width="6.140625" style="82" customWidth="1"/>
    <col min="19" max="189" width="9.140625" style="82"/>
  </cols>
  <sheetData>
    <row r="1" spans="1:18" ht="19.5" customHeight="1" x14ac:dyDescent="0.25">
      <c r="A1" s="38"/>
      <c r="B1" s="38"/>
      <c r="C1" s="38"/>
      <c r="D1" s="38"/>
      <c r="E1" s="38"/>
      <c r="F1" s="38"/>
      <c r="G1" s="38"/>
      <c r="H1" s="38"/>
      <c r="I1" s="38"/>
      <c r="J1" s="38"/>
      <c r="K1" s="38"/>
      <c r="L1" s="38"/>
      <c r="M1" s="38"/>
      <c r="N1" s="38"/>
      <c r="O1" s="38"/>
      <c r="P1" s="27" t="s">
        <v>404</v>
      </c>
      <c r="Q1" s="27" t="s">
        <v>405</v>
      </c>
      <c r="R1" s="83"/>
    </row>
    <row r="2" spans="1:18" ht="27" customHeight="1" x14ac:dyDescent="0.25">
      <c r="A2" s="38"/>
      <c r="B2" s="519" t="s">
        <v>406</v>
      </c>
      <c r="C2" s="520"/>
      <c r="D2" s="520"/>
      <c r="E2" s="520"/>
      <c r="F2" s="520"/>
      <c r="G2" s="520"/>
      <c r="H2" s="520"/>
      <c r="I2" s="520"/>
      <c r="J2" s="520"/>
      <c r="K2" s="520"/>
      <c r="L2" s="520"/>
      <c r="M2" s="520"/>
      <c r="N2" s="520"/>
      <c r="O2" s="27"/>
      <c r="P2" s="27"/>
      <c r="Q2" s="27"/>
      <c r="R2" s="83"/>
    </row>
    <row r="3" spans="1:18" ht="23.25" customHeight="1" x14ac:dyDescent="0.25">
      <c r="A3" s="38"/>
      <c r="B3" s="505" t="s">
        <v>79</v>
      </c>
      <c r="C3" s="506"/>
      <c r="D3" s="513" t="s">
        <v>407</v>
      </c>
      <c r="E3" s="513"/>
      <c r="F3" s="513"/>
      <c r="G3" s="513"/>
      <c r="H3" s="513"/>
      <c r="I3" s="513"/>
      <c r="J3" s="38"/>
      <c r="K3" s="38"/>
      <c r="L3" s="38"/>
      <c r="M3" s="38"/>
      <c r="N3" s="38"/>
      <c r="O3" s="27"/>
      <c r="P3" s="27"/>
      <c r="Q3" s="27"/>
      <c r="R3" s="83"/>
    </row>
    <row r="4" spans="1:18" ht="27" customHeight="1" x14ac:dyDescent="0.25">
      <c r="A4" s="38"/>
      <c r="B4" s="38"/>
      <c r="C4" s="38"/>
      <c r="D4" s="513"/>
      <c r="E4" s="513"/>
      <c r="F4" s="513"/>
      <c r="G4" s="513"/>
      <c r="H4" s="513"/>
      <c r="I4" s="513"/>
      <c r="J4" s="38"/>
      <c r="K4" s="38"/>
      <c r="L4" s="38"/>
      <c r="M4" s="38"/>
      <c r="N4" s="38"/>
      <c r="O4" s="27"/>
      <c r="P4" s="27"/>
      <c r="Q4" s="27"/>
      <c r="R4" s="83"/>
    </row>
    <row r="5" spans="1:18" ht="12.75" customHeight="1" x14ac:dyDescent="0.25">
      <c r="A5" s="38"/>
      <c r="B5" s="38"/>
      <c r="C5" s="38"/>
      <c r="D5" s="38"/>
      <c r="E5" s="38"/>
      <c r="F5" s="38"/>
      <c r="G5" s="38"/>
      <c r="H5" s="38"/>
      <c r="I5" s="38"/>
      <c r="J5" s="38"/>
      <c r="K5" s="38"/>
      <c r="L5" s="38"/>
      <c r="M5" s="38"/>
      <c r="N5" s="38"/>
      <c r="O5" s="27"/>
      <c r="P5" s="27"/>
      <c r="Q5" s="27"/>
      <c r="R5" s="83"/>
    </row>
    <row r="6" spans="1:18" ht="32.25" customHeight="1" x14ac:dyDescent="0.25">
      <c r="A6" s="38"/>
      <c r="B6" s="152" t="s">
        <v>194</v>
      </c>
      <c r="C6" s="152" t="s">
        <v>82</v>
      </c>
      <c r="D6" s="152" t="s">
        <v>83</v>
      </c>
      <c r="E6" s="153" t="s">
        <v>196</v>
      </c>
      <c r="F6" s="153" t="s">
        <v>86</v>
      </c>
      <c r="G6" s="153" t="s">
        <v>87</v>
      </c>
      <c r="H6" s="152" t="s">
        <v>271</v>
      </c>
      <c r="I6" s="153" t="s">
        <v>408</v>
      </c>
      <c r="J6" s="153" t="s">
        <v>51</v>
      </c>
      <c r="K6" s="153" t="s">
        <v>215</v>
      </c>
      <c r="L6" s="153" t="s">
        <v>52</v>
      </c>
      <c r="M6" s="153" t="s">
        <v>53</v>
      </c>
      <c r="N6" s="152" t="s">
        <v>70</v>
      </c>
      <c r="O6" s="257" t="s">
        <v>97</v>
      </c>
      <c r="P6" s="256" t="s">
        <v>217</v>
      </c>
      <c r="Q6" s="256" t="s">
        <v>71</v>
      </c>
      <c r="R6" s="83"/>
    </row>
    <row r="7" spans="1:18" ht="32.25" hidden="1" customHeight="1" x14ac:dyDescent="0.25">
      <c r="A7" s="38"/>
      <c r="B7" s="246" t="s">
        <v>100</v>
      </c>
      <c r="C7" s="246"/>
      <c r="D7" s="246" t="s">
        <v>102</v>
      </c>
      <c r="E7" s="245" t="s">
        <v>103</v>
      </c>
      <c r="F7" s="245" t="s">
        <v>104</v>
      </c>
      <c r="G7" s="245" t="s">
        <v>105</v>
      </c>
      <c r="H7" s="246" t="s">
        <v>409</v>
      </c>
      <c r="I7" s="245" t="s">
        <v>410</v>
      </c>
      <c r="J7" s="245" t="s">
        <v>51</v>
      </c>
      <c r="K7" s="245" t="s">
        <v>108</v>
      </c>
      <c r="L7" s="245" t="s">
        <v>109</v>
      </c>
      <c r="M7" s="245" t="s">
        <v>110</v>
      </c>
      <c r="N7" s="246" t="s">
        <v>111</v>
      </c>
      <c r="O7" s="246" t="s">
        <v>112</v>
      </c>
      <c r="P7" s="245" t="s">
        <v>114</v>
      </c>
      <c r="Q7" s="245" t="s">
        <v>113</v>
      </c>
      <c r="R7" s="83"/>
    </row>
    <row r="8" spans="1:18" ht="17.25" customHeight="1" x14ac:dyDescent="0.25">
      <c r="A8" s="38"/>
      <c r="B8" s="220">
        <v>1</v>
      </c>
      <c r="C8" s="220" t="s">
        <v>61</v>
      </c>
      <c r="D8" s="41"/>
      <c r="E8" s="41"/>
      <c r="F8" s="84"/>
      <c r="G8" s="84"/>
      <c r="H8" s="41"/>
      <c r="I8" s="41"/>
      <c r="J8" s="41"/>
      <c r="K8" s="41" t="str">
        <f t="shared" ref="K8:K15" si="0">IFERROR(ROUND(M8/8760,6),"")</f>
        <v/>
      </c>
      <c r="L8" s="405" t="str">
        <f>IF(AND(H8="", J8=""), "","0.00")</f>
        <v/>
      </c>
      <c r="M8" s="405" t="str">
        <f t="shared" ref="M8:M15" si="1">IF(J8="","",IF(I8="",VLOOKUP(H8,$C$19:$E$22,3,FALSE)*J8,I8/1000*8760*VLOOKUP(H8,$C$19:$E$22,2,FALSE)))</f>
        <v/>
      </c>
      <c r="N8" s="39" t="str">
        <f t="shared" ref="N8:N15" si="2">IF(J8="","",VLOOKUP(H8,$C$19:$F$22,4,FALSE)*J8)</f>
        <v/>
      </c>
      <c r="O8" s="39">
        <f>E8</f>
        <v>0</v>
      </c>
      <c r="P8" s="261" t="str">
        <f t="shared" ref="P8:P15" si="3">IF(M8&gt;0,"Yes","No")</f>
        <v>Yes</v>
      </c>
      <c r="Q8" s="4" t="s">
        <v>411</v>
      </c>
      <c r="R8" s="83"/>
    </row>
    <row r="9" spans="1:18" ht="17.25" customHeight="1" x14ac:dyDescent="0.25">
      <c r="A9" s="38"/>
      <c r="B9" s="220">
        <v>2</v>
      </c>
      <c r="C9" s="220" t="s">
        <v>61</v>
      </c>
      <c r="D9" s="41"/>
      <c r="E9" s="41"/>
      <c r="F9" s="84"/>
      <c r="G9" s="84"/>
      <c r="H9" s="41"/>
      <c r="I9" s="41"/>
      <c r="J9" s="41"/>
      <c r="K9" s="41" t="str">
        <f t="shared" si="0"/>
        <v/>
      </c>
      <c r="L9" s="405" t="str">
        <f t="shared" ref="L9:L15" si="4">IF(AND(H9="", J9=""), "","0.00")</f>
        <v/>
      </c>
      <c r="M9" s="405" t="str">
        <f t="shared" si="1"/>
        <v/>
      </c>
      <c r="N9" s="39" t="str">
        <f t="shared" si="2"/>
        <v/>
      </c>
      <c r="O9" s="39">
        <f t="shared" ref="O9:O15" si="5">E9</f>
        <v>0</v>
      </c>
      <c r="P9" s="261" t="str">
        <f t="shared" si="3"/>
        <v>Yes</v>
      </c>
      <c r="Q9" s="4" t="s">
        <v>411</v>
      </c>
      <c r="R9" s="83"/>
    </row>
    <row r="10" spans="1:18" ht="17.25" customHeight="1" x14ac:dyDescent="0.25">
      <c r="A10" s="38"/>
      <c r="B10" s="220">
        <v>3</v>
      </c>
      <c r="C10" s="220" t="s">
        <v>61</v>
      </c>
      <c r="D10" s="41"/>
      <c r="E10" s="41"/>
      <c r="F10" s="84"/>
      <c r="G10" s="84"/>
      <c r="H10" s="41"/>
      <c r="I10" s="41"/>
      <c r="J10" s="41"/>
      <c r="K10" s="41" t="str">
        <f t="shared" si="0"/>
        <v/>
      </c>
      <c r="L10" s="405" t="str">
        <f t="shared" si="4"/>
        <v/>
      </c>
      <c r="M10" s="405" t="str">
        <f t="shared" si="1"/>
        <v/>
      </c>
      <c r="N10" s="39" t="str">
        <f t="shared" si="2"/>
        <v/>
      </c>
      <c r="O10" s="39">
        <f t="shared" si="5"/>
        <v>0</v>
      </c>
      <c r="P10" s="261" t="str">
        <f t="shared" si="3"/>
        <v>Yes</v>
      </c>
      <c r="Q10" s="4" t="s">
        <v>411</v>
      </c>
      <c r="R10" s="83"/>
    </row>
    <row r="11" spans="1:18" ht="17.25" customHeight="1" x14ac:dyDescent="0.25">
      <c r="A11" s="38"/>
      <c r="B11" s="220">
        <v>4</v>
      </c>
      <c r="C11" s="220" t="s">
        <v>61</v>
      </c>
      <c r="D11" s="41"/>
      <c r="E11" s="41"/>
      <c r="F11" s="84"/>
      <c r="G11" s="84"/>
      <c r="H11" s="41"/>
      <c r="I11" s="41"/>
      <c r="J11" s="41"/>
      <c r="K11" s="41" t="str">
        <f t="shared" si="0"/>
        <v/>
      </c>
      <c r="L11" s="405" t="str">
        <f t="shared" si="4"/>
        <v/>
      </c>
      <c r="M11" s="405" t="str">
        <f t="shared" si="1"/>
        <v/>
      </c>
      <c r="N11" s="39" t="str">
        <f t="shared" si="2"/>
        <v/>
      </c>
      <c r="O11" s="39">
        <f t="shared" si="5"/>
        <v>0</v>
      </c>
      <c r="P11" s="261" t="str">
        <f t="shared" si="3"/>
        <v>Yes</v>
      </c>
      <c r="Q11" s="4" t="s">
        <v>411</v>
      </c>
      <c r="R11" s="83"/>
    </row>
    <row r="12" spans="1:18" ht="17.25" customHeight="1" x14ac:dyDescent="0.25">
      <c r="A12" s="38"/>
      <c r="B12" s="220">
        <v>5</v>
      </c>
      <c r="C12" s="220" t="s">
        <v>61</v>
      </c>
      <c r="D12" s="41"/>
      <c r="E12" s="41"/>
      <c r="F12" s="84"/>
      <c r="G12" s="84"/>
      <c r="H12" s="41"/>
      <c r="I12" s="41"/>
      <c r="J12" s="41"/>
      <c r="K12" s="41" t="str">
        <f t="shared" si="0"/>
        <v/>
      </c>
      <c r="L12" s="405" t="str">
        <f t="shared" si="4"/>
        <v/>
      </c>
      <c r="M12" s="405" t="str">
        <f t="shared" si="1"/>
        <v/>
      </c>
      <c r="N12" s="39" t="str">
        <f t="shared" si="2"/>
        <v/>
      </c>
      <c r="O12" s="39">
        <f t="shared" si="5"/>
        <v>0</v>
      </c>
      <c r="P12" s="261" t="str">
        <f t="shared" si="3"/>
        <v>Yes</v>
      </c>
      <c r="Q12" s="4" t="s">
        <v>411</v>
      </c>
      <c r="R12" s="83"/>
    </row>
    <row r="13" spans="1:18" ht="17.25" customHeight="1" x14ac:dyDescent="0.25">
      <c r="A13" s="38"/>
      <c r="B13" s="220">
        <v>6</v>
      </c>
      <c r="C13" s="220" t="s">
        <v>61</v>
      </c>
      <c r="D13" s="41"/>
      <c r="E13" s="41"/>
      <c r="F13" s="84"/>
      <c r="G13" s="84"/>
      <c r="H13" s="41"/>
      <c r="I13" s="41"/>
      <c r="J13" s="41"/>
      <c r="K13" s="41" t="str">
        <f t="shared" si="0"/>
        <v/>
      </c>
      <c r="L13" s="405" t="str">
        <f t="shared" si="4"/>
        <v/>
      </c>
      <c r="M13" s="405" t="str">
        <f t="shared" si="1"/>
        <v/>
      </c>
      <c r="N13" s="39" t="str">
        <f t="shared" si="2"/>
        <v/>
      </c>
      <c r="O13" s="39">
        <f t="shared" si="5"/>
        <v>0</v>
      </c>
      <c r="P13" s="261" t="str">
        <f t="shared" si="3"/>
        <v>Yes</v>
      </c>
      <c r="Q13" s="4" t="s">
        <v>411</v>
      </c>
      <c r="R13" s="83"/>
    </row>
    <row r="14" spans="1:18" ht="17.25" customHeight="1" x14ac:dyDescent="0.25">
      <c r="A14" s="38"/>
      <c r="B14" s="220">
        <v>7</v>
      </c>
      <c r="C14" s="220" t="s">
        <v>61</v>
      </c>
      <c r="D14" s="41"/>
      <c r="E14" s="41"/>
      <c r="F14" s="84"/>
      <c r="G14" s="84"/>
      <c r="H14" s="41"/>
      <c r="I14" s="41"/>
      <c r="J14" s="41"/>
      <c r="K14" s="41" t="str">
        <f t="shared" si="0"/>
        <v/>
      </c>
      <c r="L14" s="405" t="str">
        <f t="shared" si="4"/>
        <v/>
      </c>
      <c r="M14" s="405" t="str">
        <f t="shared" si="1"/>
        <v/>
      </c>
      <c r="N14" s="39" t="str">
        <f t="shared" si="2"/>
        <v/>
      </c>
      <c r="O14" s="39">
        <f t="shared" si="5"/>
        <v>0</v>
      </c>
      <c r="P14" s="261" t="str">
        <f t="shared" si="3"/>
        <v>Yes</v>
      </c>
      <c r="Q14" s="4" t="s">
        <v>411</v>
      </c>
      <c r="R14" s="83"/>
    </row>
    <row r="15" spans="1:18" ht="17.25" customHeight="1" x14ac:dyDescent="0.25">
      <c r="A15" s="38"/>
      <c r="B15" s="220">
        <v>8</v>
      </c>
      <c r="C15" s="220" t="s">
        <v>61</v>
      </c>
      <c r="D15" s="41"/>
      <c r="E15" s="41"/>
      <c r="F15" s="84"/>
      <c r="G15" s="84"/>
      <c r="H15" s="41"/>
      <c r="I15" s="41"/>
      <c r="J15" s="41"/>
      <c r="K15" s="41" t="str">
        <f t="shared" si="0"/>
        <v/>
      </c>
      <c r="L15" s="405" t="str">
        <f t="shared" si="4"/>
        <v/>
      </c>
      <c r="M15" s="405" t="str">
        <f t="shared" si="1"/>
        <v/>
      </c>
      <c r="N15" s="39" t="str">
        <f t="shared" si="2"/>
        <v/>
      </c>
      <c r="O15" s="39">
        <f t="shared" si="5"/>
        <v>0</v>
      </c>
      <c r="P15" s="261" t="str">
        <f t="shared" si="3"/>
        <v>Yes</v>
      </c>
      <c r="Q15" s="4" t="s">
        <v>411</v>
      </c>
      <c r="R15" s="83"/>
    </row>
    <row r="16" spans="1:18" hidden="1" x14ac:dyDescent="0.25">
      <c r="A16" s="27"/>
      <c r="J16">
        <f>SUM(J8:J15)</f>
        <v>0</v>
      </c>
      <c r="K16">
        <f>SUM(K8:K15)</f>
        <v>0</v>
      </c>
      <c r="L16">
        <f>SUM(L8:L15)</f>
        <v>0</v>
      </c>
      <c r="M16">
        <f>SUM(M8:M15)</f>
        <v>0</v>
      </c>
      <c r="N16">
        <f>SUM(N8:N15)</f>
        <v>0</v>
      </c>
      <c r="R16" s="83"/>
    </row>
    <row r="17" spans="1:18" hidden="1" x14ac:dyDescent="0.25">
      <c r="A17" s="27"/>
      <c r="R17" s="83"/>
    </row>
    <row r="18" spans="1:18" hidden="1" x14ac:dyDescent="0.25">
      <c r="A18" s="27"/>
      <c r="R18" s="83"/>
    </row>
    <row r="19" spans="1:18" ht="25.5" hidden="1" x14ac:dyDescent="0.25">
      <c r="A19" s="27"/>
      <c r="C19" s="50" t="s">
        <v>271</v>
      </c>
      <c r="D19" s="50" t="s">
        <v>412</v>
      </c>
      <c r="E19" s="51" t="s">
        <v>413</v>
      </c>
      <c r="F19" s="54" t="s">
        <v>54</v>
      </c>
      <c r="I19" s="14" t="s">
        <v>83</v>
      </c>
      <c r="R19" s="83"/>
    </row>
    <row r="20" spans="1:18" hidden="1" x14ac:dyDescent="0.25">
      <c r="A20" s="27"/>
      <c r="C20" s="5" t="s">
        <v>414</v>
      </c>
      <c r="D20" s="6">
        <v>0.46</v>
      </c>
      <c r="E20" s="53">
        <v>1611.8</v>
      </c>
      <c r="F20" s="215">
        <f>100*'Project Summary'!M12</f>
        <v>50</v>
      </c>
      <c r="I20" s="19" t="s">
        <v>124</v>
      </c>
      <c r="R20" s="83"/>
    </row>
    <row r="21" spans="1:18" hidden="1" x14ac:dyDescent="0.25">
      <c r="A21" s="27"/>
      <c r="C21" s="5" t="s">
        <v>415</v>
      </c>
      <c r="D21" s="6">
        <v>0.3</v>
      </c>
      <c r="E21" s="53">
        <v>1208.9000000000001</v>
      </c>
      <c r="F21" s="215">
        <f>100*'Project Summary'!M12</f>
        <v>50</v>
      </c>
      <c r="I21" s="19" t="s">
        <v>130</v>
      </c>
      <c r="R21" s="83"/>
    </row>
    <row r="22" spans="1:18" hidden="1" x14ac:dyDescent="0.25">
      <c r="A22" s="27"/>
      <c r="C22" s="5" t="s">
        <v>416</v>
      </c>
      <c r="D22" s="6">
        <v>0.46</v>
      </c>
      <c r="E22" s="53">
        <v>342.5</v>
      </c>
      <c r="F22" s="215">
        <f>50*'Project Summary'!M12</f>
        <v>25</v>
      </c>
      <c r="R22" s="83"/>
    </row>
    <row r="23" spans="1:18" hidden="1" x14ac:dyDescent="0.25">
      <c r="A23" s="27"/>
      <c r="C23" s="219"/>
      <c r="D23" s="33"/>
      <c r="E23" s="33"/>
      <c r="F23" s="52"/>
      <c r="G23" s="52"/>
      <c r="I23" s="45" t="s">
        <v>268</v>
      </c>
      <c r="R23" s="83"/>
    </row>
    <row r="24" spans="1:18" hidden="1" x14ac:dyDescent="0.25">
      <c r="A24" s="27"/>
      <c r="C24" s="216"/>
      <c r="F24" s="52"/>
      <c r="G24" s="52"/>
      <c r="I24" s="5">
        <v>5</v>
      </c>
      <c r="J24" s="4" t="s">
        <v>417</v>
      </c>
      <c r="R24" s="83"/>
    </row>
    <row r="25" spans="1:18" hidden="1" x14ac:dyDescent="0.25">
      <c r="A25" s="27"/>
      <c r="C25" s="217"/>
      <c r="F25" s="52"/>
      <c r="G25" s="52"/>
      <c r="R25" s="83"/>
    </row>
    <row r="26" spans="1:18" hidden="1" x14ac:dyDescent="0.25">
      <c r="A26" s="27"/>
      <c r="C26" s="218"/>
      <c r="I26" s="45" t="s">
        <v>357</v>
      </c>
      <c r="R26" s="83"/>
    </row>
    <row r="27" spans="1:18" hidden="1" x14ac:dyDescent="0.25">
      <c r="A27" s="27"/>
      <c r="I27" s="22">
        <v>0</v>
      </c>
      <c r="R27" s="83"/>
    </row>
    <row r="28" spans="1:18" hidden="1" x14ac:dyDescent="0.25">
      <c r="A28" s="27"/>
      <c r="R28" s="83"/>
    </row>
    <row r="29" spans="1:18" hidden="1" x14ac:dyDescent="0.25">
      <c r="A29" s="27"/>
      <c r="R29" s="83"/>
    </row>
    <row r="30" spans="1:18" s="82" customFormat="1" x14ac:dyDescent="0.25">
      <c r="A30" s="83"/>
      <c r="B30" s="83"/>
      <c r="C30" s="83"/>
      <c r="D30" s="83"/>
      <c r="E30" s="83"/>
      <c r="F30" s="83"/>
      <c r="G30" s="83"/>
      <c r="H30" s="83"/>
      <c r="I30" s="83"/>
      <c r="J30" s="83"/>
      <c r="K30" s="83"/>
      <c r="L30" s="83"/>
      <c r="M30" s="83"/>
      <c r="N30" s="83"/>
      <c r="O30" s="83"/>
      <c r="R30" s="83"/>
    </row>
    <row r="31" spans="1:18" s="82" customFormat="1" x14ac:dyDescent="0.25">
      <c r="A31" s="83"/>
      <c r="B31" s="83"/>
      <c r="C31" s="83"/>
      <c r="D31" s="83"/>
      <c r="E31" s="83"/>
      <c r="F31" s="83"/>
      <c r="G31" s="83"/>
      <c r="H31" s="83"/>
      <c r="I31" s="83"/>
      <c r="J31" s="83"/>
      <c r="K31" s="83"/>
      <c r="L31" s="83"/>
      <c r="M31" s="83"/>
      <c r="N31" s="83"/>
      <c r="O31" s="83"/>
      <c r="R31" s="83"/>
    </row>
    <row r="32" spans="1:18" s="82" customFormat="1" x14ac:dyDescent="0.25"/>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row r="1181" s="82" customFormat="1" x14ac:dyDescent="0.25"/>
    <row r="1182" s="82" customFormat="1" x14ac:dyDescent="0.25"/>
    <row r="1183" s="82" customFormat="1" x14ac:dyDescent="0.25"/>
    <row r="1184" s="82" customFormat="1" x14ac:dyDescent="0.25"/>
    <row r="1185" s="82" customFormat="1" x14ac:dyDescent="0.25"/>
    <row r="1186" s="82" customFormat="1" x14ac:dyDescent="0.25"/>
    <row r="1187" s="82" customFormat="1" x14ac:dyDescent="0.25"/>
    <row r="1188" s="82" customFormat="1" x14ac:dyDescent="0.25"/>
    <row r="1189" s="82" customFormat="1" x14ac:dyDescent="0.25"/>
    <row r="1190" s="82" customFormat="1" x14ac:dyDescent="0.25"/>
    <row r="1191" s="82" customFormat="1" x14ac:dyDescent="0.25"/>
    <row r="1192" s="82" customFormat="1" x14ac:dyDescent="0.25"/>
    <row r="1193" s="82" customFormat="1" x14ac:dyDescent="0.25"/>
    <row r="1194" s="82" customFormat="1" x14ac:dyDescent="0.25"/>
    <row r="1195" s="82" customFormat="1" x14ac:dyDescent="0.25"/>
    <row r="1196" s="82" customFormat="1" x14ac:dyDescent="0.25"/>
    <row r="1197" s="82" customFormat="1" x14ac:dyDescent="0.25"/>
    <row r="1198" s="82" customFormat="1" x14ac:dyDescent="0.25"/>
    <row r="1199" s="82" customFormat="1" x14ac:dyDescent="0.25"/>
    <row r="1200" s="82" customFormat="1" x14ac:dyDescent="0.25"/>
    <row r="1201" s="82" customFormat="1" x14ac:dyDescent="0.25"/>
    <row r="1202" s="82" customFormat="1" x14ac:dyDescent="0.25"/>
    <row r="1203" s="82" customFormat="1" x14ac:dyDescent="0.25"/>
    <row r="1204" s="82" customFormat="1" x14ac:dyDescent="0.25"/>
    <row r="1205" s="82" customFormat="1" x14ac:dyDescent="0.25"/>
    <row r="1206" s="82" customFormat="1" x14ac:dyDescent="0.25"/>
    <row r="1207" s="82" customFormat="1" x14ac:dyDescent="0.25"/>
    <row r="1208" s="82" customFormat="1" x14ac:dyDescent="0.25"/>
    <row r="1209" s="82" customFormat="1" x14ac:dyDescent="0.25"/>
    <row r="1210" s="82" customFormat="1" x14ac:dyDescent="0.25"/>
    <row r="1211" s="82" customFormat="1" x14ac:dyDescent="0.25"/>
    <row r="1212" s="82" customFormat="1" x14ac:dyDescent="0.25"/>
    <row r="1213" s="82" customFormat="1" x14ac:dyDescent="0.25"/>
    <row r="1214" s="82" customFormat="1" x14ac:dyDescent="0.25"/>
    <row r="1215" s="82" customFormat="1" x14ac:dyDescent="0.25"/>
    <row r="1216" s="82" customFormat="1" x14ac:dyDescent="0.25"/>
    <row r="1217" s="82" customFormat="1" x14ac:dyDescent="0.25"/>
    <row r="1218" s="82" customFormat="1" x14ac:dyDescent="0.25"/>
    <row r="1219" s="82" customFormat="1" x14ac:dyDescent="0.25"/>
    <row r="1220" s="82" customFormat="1" x14ac:dyDescent="0.25"/>
    <row r="1221" s="82" customFormat="1" x14ac:dyDescent="0.25"/>
    <row r="1222" s="82" customFormat="1" x14ac:dyDescent="0.25"/>
    <row r="1223" s="82" customFormat="1" x14ac:dyDescent="0.25"/>
    <row r="1224" s="82" customFormat="1" x14ac:dyDescent="0.25"/>
    <row r="1225" s="82" customFormat="1" x14ac:dyDescent="0.25"/>
    <row r="1226" s="82" customFormat="1" x14ac:dyDescent="0.25"/>
    <row r="1227" s="82" customFormat="1" x14ac:dyDescent="0.25"/>
    <row r="1228" s="82" customFormat="1" x14ac:dyDescent="0.25"/>
    <row r="1229" s="82" customFormat="1" x14ac:dyDescent="0.25"/>
    <row r="1230" s="82" customFormat="1" x14ac:dyDescent="0.25"/>
    <row r="1231" s="82" customFormat="1" x14ac:dyDescent="0.25"/>
    <row r="1232" s="82" customFormat="1" x14ac:dyDescent="0.25"/>
    <row r="1233" s="82" customFormat="1" x14ac:dyDescent="0.25"/>
    <row r="1234" s="82" customFormat="1" x14ac:dyDescent="0.25"/>
    <row r="1235" s="82" customFormat="1" x14ac:dyDescent="0.25"/>
    <row r="1236" s="82" customFormat="1" x14ac:dyDescent="0.25"/>
    <row r="1237" s="82" customFormat="1" x14ac:dyDescent="0.25"/>
    <row r="1238" s="82" customFormat="1" x14ac:dyDescent="0.25"/>
    <row r="1239" s="82" customFormat="1" x14ac:dyDescent="0.25"/>
    <row r="1240" s="82" customFormat="1" x14ac:dyDescent="0.25"/>
    <row r="1241" s="82" customFormat="1" x14ac:dyDescent="0.25"/>
    <row r="1242" s="82" customFormat="1" x14ac:dyDescent="0.25"/>
    <row r="1243" s="82" customFormat="1" x14ac:dyDescent="0.25"/>
    <row r="1244" s="82" customFormat="1" x14ac:dyDescent="0.25"/>
    <row r="1245" s="82" customFormat="1" x14ac:dyDescent="0.25"/>
    <row r="1246" s="82" customFormat="1" x14ac:dyDescent="0.25"/>
    <row r="1247" s="82" customFormat="1" x14ac:dyDescent="0.25"/>
    <row r="1248" s="82" customFormat="1" x14ac:dyDescent="0.25"/>
    <row r="1249" s="82" customFormat="1" x14ac:dyDescent="0.25"/>
    <row r="1250" s="82" customFormat="1" x14ac:dyDescent="0.25"/>
    <row r="1251" s="82" customFormat="1" x14ac:dyDescent="0.25"/>
    <row r="1252" s="82" customFormat="1" x14ac:dyDescent="0.25"/>
    <row r="1253" s="82" customFormat="1" x14ac:dyDescent="0.25"/>
    <row r="1254" s="82" customFormat="1" x14ac:dyDescent="0.25"/>
    <row r="1255" s="82" customFormat="1" x14ac:dyDescent="0.25"/>
    <row r="1256" s="82" customFormat="1" x14ac:dyDescent="0.25"/>
    <row r="1257" s="82" customFormat="1" x14ac:dyDescent="0.25"/>
    <row r="1258" s="82" customFormat="1" x14ac:dyDescent="0.25"/>
    <row r="1259" s="82" customFormat="1" x14ac:dyDescent="0.25"/>
    <row r="1260" s="82" customFormat="1" x14ac:dyDescent="0.25"/>
    <row r="1261" s="82" customFormat="1" x14ac:dyDescent="0.25"/>
    <row r="1262" s="82" customFormat="1" x14ac:dyDescent="0.25"/>
    <row r="1263" s="82" customFormat="1" x14ac:dyDescent="0.25"/>
    <row r="1264" s="82" customFormat="1" x14ac:dyDescent="0.25"/>
    <row r="1265" s="82" customFormat="1" x14ac:dyDescent="0.25"/>
    <row r="1266" s="82" customFormat="1" x14ac:dyDescent="0.25"/>
    <row r="1267" s="82" customFormat="1" x14ac:dyDescent="0.25"/>
    <row r="1268" s="82" customFormat="1" x14ac:dyDescent="0.25"/>
    <row r="1269" s="82" customFormat="1" x14ac:dyDescent="0.25"/>
    <row r="1270" s="82" customFormat="1" x14ac:dyDescent="0.25"/>
    <row r="1271" s="82" customFormat="1" x14ac:dyDescent="0.25"/>
    <row r="1272" s="82" customFormat="1" x14ac:dyDescent="0.25"/>
    <row r="1273" s="82" customFormat="1" x14ac:dyDescent="0.25"/>
    <row r="1274" s="82" customFormat="1" x14ac:dyDescent="0.25"/>
    <row r="1275" s="82" customFormat="1" x14ac:dyDescent="0.25"/>
    <row r="1276" s="82" customFormat="1" x14ac:dyDescent="0.25"/>
    <row r="1277" s="82" customFormat="1" x14ac:dyDescent="0.25"/>
    <row r="1278" s="82" customFormat="1" x14ac:dyDescent="0.25"/>
    <row r="1279" s="82" customFormat="1" x14ac:dyDescent="0.25"/>
    <row r="1280" s="82" customFormat="1" x14ac:dyDescent="0.25"/>
    <row r="1281" s="82" customFormat="1" x14ac:dyDescent="0.25"/>
    <row r="1282" s="82" customFormat="1" x14ac:dyDescent="0.25"/>
    <row r="1283" s="82" customFormat="1" x14ac:dyDescent="0.25"/>
    <row r="1284" s="82" customFormat="1" x14ac:dyDescent="0.25"/>
    <row r="1285" s="82" customFormat="1" x14ac:dyDescent="0.25"/>
    <row r="1286" s="82" customFormat="1" x14ac:dyDescent="0.25"/>
    <row r="1287" s="82" customFormat="1" x14ac:dyDescent="0.25"/>
    <row r="1288" s="82" customFormat="1" x14ac:dyDescent="0.25"/>
    <row r="1289" s="82" customFormat="1" x14ac:dyDescent="0.25"/>
    <row r="1290" s="82" customFormat="1" x14ac:dyDescent="0.25"/>
    <row r="1291" s="82" customFormat="1" x14ac:dyDescent="0.25"/>
    <row r="1292" s="82" customFormat="1" x14ac:dyDescent="0.25"/>
    <row r="1293" s="82" customFormat="1" x14ac:dyDescent="0.25"/>
    <row r="1294" s="82" customFormat="1" x14ac:dyDescent="0.25"/>
    <row r="1295" s="82" customFormat="1" x14ac:dyDescent="0.25"/>
    <row r="1296" s="82" customFormat="1" x14ac:dyDescent="0.25"/>
    <row r="1297" s="82" customFormat="1" x14ac:dyDescent="0.25"/>
    <row r="1298" s="82" customFormat="1" x14ac:dyDescent="0.25"/>
    <row r="1299" s="82" customFormat="1" x14ac:dyDescent="0.25"/>
    <row r="1300" s="82" customFormat="1" x14ac:dyDescent="0.25"/>
    <row r="1301" s="82" customFormat="1" x14ac:dyDescent="0.25"/>
    <row r="1302" s="82" customFormat="1" x14ac:dyDescent="0.25"/>
    <row r="1303" s="82" customFormat="1" x14ac:dyDescent="0.25"/>
    <row r="1304" s="82" customFormat="1" x14ac:dyDescent="0.25"/>
    <row r="1305" s="82" customFormat="1" x14ac:dyDescent="0.25"/>
    <row r="1306" s="82" customFormat="1" x14ac:dyDescent="0.25"/>
    <row r="1307" s="82" customFormat="1" x14ac:dyDescent="0.25"/>
    <row r="1308" s="82" customFormat="1" x14ac:dyDescent="0.25"/>
    <row r="1309" s="82" customFormat="1" x14ac:dyDescent="0.25"/>
    <row r="1310" s="82" customFormat="1" x14ac:dyDescent="0.25"/>
    <row r="1311" s="82" customFormat="1" x14ac:dyDescent="0.25"/>
    <row r="1312" s="82" customFormat="1" x14ac:dyDescent="0.25"/>
    <row r="1313" s="82" customFormat="1" x14ac:dyDescent="0.25"/>
    <row r="1314" s="82" customFormat="1" x14ac:dyDescent="0.25"/>
    <row r="1315" s="82" customFormat="1" x14ac:dyDescent="0.25"/>
    <row r="1316" s="82" customFormat="1" x14ac:dyDescent="0.25"/>
    <row r="1317" s="82" customFormat="1" x14ac:dyDescent="0.25"/>
    <row r="1318" s="82" customFormat="1" x14ac:dyDescent="0.25"/>
    <row r="1319" s="82" customFormat="1" x14ac:dyDescent="0.25"/>
    <row r="1320" s="82" customFormat="1" x14ac:dyDescent="0.25"/>
    <row r="1321" s="82" customFormat="1" x14ac:dyDescent="0.25"/>
    <row r="1322" s="82" customFormat="1" x14ac:dyDescent="0.25"/>
    <row r="1323" s="82" customFormat="1" x14ac:dyDescent="0.25"/>
    <row r="1324" s="82" customFormat="1" x14ac:dyDescent="0.25"/>
    <row r="1325" s="82" customFormat="1" x14ac:dyDescent="0.25"/>
    <row r="1326" s="82" customFormat="1" x14ac:dyDescent="0.25"/>
    <row r="1327" s="82" customFormat="1" x14ac:dyDescent="0.25"/>
    <row r="1328" s="82" customFormat="1" x14ac:dyDescent="0.25"/>
    <row r="1329" s="82" customFormat="1" x14ac:dyDescent="0.25"/>
    <row r="1330" s="82" customFormat="1" x14ac:dyDescent="0.25"/>
    <row r="1331" s="82" customFormat="1" x14ac:dyDescent="0.25"/>
    <row r="1332" s="82" customFormat="1" x14ac:dyDescent="0.25"/>
    <row r="1333" s="82" customFormat="1" x14ac:dyDescent="0.25"/>
    <row r="1334" s="82" customFormat="1" x14ac:dyDescent="0.25"/>
    <row r="1335" s="82" customFormat="1" x14ac:dyDescent="0.25"/>
    <row r="1336" s="82" customFormat="1" x14ac:dyDescent="0.25"/>
    <row r="1337" s="82" customFormat="1" x14ac:dyDescent="0.25"/>
    <row r="1338" s="82" customFormat="1" x14ac:dyDescent="0.25"/>
    <row r="1339" s="82" customFormat="1" x14ac:dyDescent="0.25"/>
    <row r="1340" s="82" customFormat="1" x14ac:dyDescent="0.25"/>
    <row r="1341" s="82" customFormat="1" x14ac:dyDescent="0.25"/>
    <row r="1342" s="82" customFormat="1" x14ac:dyDescent="0.25"/>
    <row r="1343" s="82" customFormat="1" x14ac:dyDescent="0.25"/>
    <row r="1344" s="82" customFormat="1" x14ac:dyDescent="0.25"/>
    <row r="1345" s="82" customFormat="1" x14ac:dyDescent="0.25"/>
    <row r="1346" s="82" customFormat="1" x14ac:dyDescent="0.25"/>
    <row r="1347" s="82" customFormat="1" x14ac:dyDescent="0.25"/>
    <row r="1348" s="82" customFormat="1" x14ac:dyDescent="0.25"/>
    <row r="1349" s="82" customFormat="1" x14ac:dyDescent="0.25"/>
    <row r="1350" s="82" customFormat="1" x14ac:dyDescent="0.25"/>
    <row r="1351" s="82" customFormat="1" x14ac:dyDescent="0.25"/>
    <row r="1352" s="82" customFormat="1" x14ac:dyDescent="0.25"/>
    <row r="1353" s="82" customFormat="1" x14ac:dyDescent="0.25"/>
    <row r="1354" s="82" customFormat="1" x14ac:dyDescent="0.25"/>
    <row r="1355" s="82" customFormat="1" x14ac:dyDescent="0.25"/>
    <row r="1356" s="82" customFormat="1" x14ac:dyDescent="0.25"/>
    <row r="1357" s="82" customFormat="1" x14ac:dyDescent="0.25"/>
    <row r="1358" s="82" customFormat="1" x14ac:dyDescent="0.25"/>
    <row r="1359" s="82" customFormat="1" x14ac:dyDescent="0.25"/>
    <row r="1360" s="82" customFormat="1" x14ac:dyDescent="0.25"/>
    <row r="1361" s="82" customFormat="1" x14ac:dyDescent="0.25"/>
    <row r="1362" s="82" customFormat="1" x14ac:dyDescent="0.25"/>
    <row r="1363" s="82" customFormat="1" x14ac:dyDescent="0.25"/>
    <row r="1364" s="82" customFormat="1" x14ac:dyDescent="0.25"/>
    <row r="1365" s="82" customFormat="1" x14ac:dyDescent="0.25"/>
    <row r="1366" s="82" customFormat="1" x14ac:dyDescent="0.25"/>
    <row r="1367" s="82" customFormat="1" x14ac:dyDescent="0.25"/>
    <row r="1368" s="82" customFormat="1" x14ac:dyDescent="0.25"/>
    <row r="1369" s="82" customFormat="1" x14ac:dyDescent="0.25"/>
    <row r="1370" s="82" customFormat="1" x14ac:dyDescent="0.25"/>
    <row r="1371" s="82" customFormat="1" x14ac:dyDescent="0.25"/>
    <row r="1372" s="82" customFormat="1" x14ac:dyDescent="0.25"/>
    <row r="1373" s="82" customFormat="1" x14ac:dyDescent="0.25"/>
    <row r="1374" s="82" customFormat="1" x14ac:dyDescent="0.25"/>
    <row r="1375" s="82" customFormat="1" x14ac:dyDescent="0.25"/>
    <row r="1376" s="82" customFormat="1" x14ac:dyDescent="0.25"/>
    <row r="1377" s="82" customFormat="1" x14ac:dyDescent="0.25"/>
    <row r="1378" s="82" customFormat="1" x14ac:dyDescent="0.25"/>
    <row r="1379" s="82" customFormat="1" x14ac:dyDescent="0.25"/>
    <row r="1380" s="82" customFormat="1" x14ac:dyDescent="0.25"/>
    <row r="1381" s="82" customFormat="1" x14ac:dyDescent="0.25"/>
    <row r="1382" s="82" customFormat="1" x14ac:dyDescent="0.25"/>
    <row r="1383" s="82" customFormat="1" x14ac:dyDescent="0.25"/>
    <row r="1384" s="82" customFormat="1" x14ac:dyDescent="0.25"/>
    <row r="1385" s="82" customFormat="1" x14ac:dyDescent="0.25"/>
    <row r="1386" s="82" customFormat="1" x14ac:dyDescent="0.25"/>
    <row r="1387" s="82" customFormat="1" x14ac:dyDescent="0.25"/>
    <row r="1388" s="82" customFormat="1" x14ac:dyDescent="0.25"/>
    <row r="1389" s="82" customFormat="1" x14ac:dyDescent="0.25"/>
    <row r="1390" s="82" customFormat="1" x14ac:dyDescent="0.25"/>
    <row r="1391" s="82" customFormat="1" x14ac:dyDescent="0.25"/>
    <row r="1392" s="82" customFormat="1" x14ac:dyDescent="0.25"/>
    <row r="1393" s="82" customFormat="1" x14ac:dyDescent="0.25"/>
    <row r="1394" s="82" customFormat="1" x14ac:dyDescent="0.25"/>
    <row r="1395" s="82" customFormat="1" x14ac:dyDescent="0.25"/>
    <row r="1396" s="82" customFormat="1" x14ac:dyDescent="0.25"/>
    <row r="1397" s="82" customFormat="1" x14ac:dyDescent="0.25"/>
    <row r="1398" s="82" customFormat="1" x14ac:dyDescent="0.25"/>
    <row r="1399" s="82" customFormat="1" x14ac:dyDescent="0.25"/>
    <row r="1400" s="82" customFormat="1" x14ac:dyDescent="0.25"/>
    <row r="1401" s="82" customFormat="1" x14ac:dyDescent="0.25"/>
    <row r="1402" s="82" customFormat="1" x14ac:dyDescent="0.25"/>
    <row r="1403" s="82" customFormat="1" x14ac:dyDescent="0.25"/>
    <row r="1404" s="82" customFormat="1" x14ac:dyDescent="0.25"/>
    <row r="1405" s="82" customFormat="1" x14ac:dyDescent="0.25"/>
    <row r="1406" s="82" customFormat="1" x14ac:dyDescent="0.25"/>
    <row r="1407" s="82" customFormat="1" x14ac:dyDescent="0.25"/>
    <row r="1408" s="82" customFormat="1" x14ac:dyDescent="0.25"/>
    <row r="1409" s="82" customFormat="1" x14ac:dyDescent="0.25"/>
    <row r="1410" s="82" customFormat="1" x14ac:dyDescent="0.25"/>
    <row r="1411" s="82" customFormat="1" x14ac:dyDescent="0.25"/>
    <row r="1412" s="82" customFormat="1" x14ac:dyDescent="0.25"/>
    <row r="1413" s="82" customFormat="1" x14ac:dyDescent="0.25"/>
    <row r="1414" s="82" customFormat="1" x14ac:dyDescent="0.25"/>
    <row r="1415" s="82" customFormat="1" x14ac:dyDescent="0.25"/>
    <row r="1416" s="82" customFormat="1" x14ac:dyDescent="0.25"/>
    <row r="1417" s="82" customFormat="1" x14ac:dyDescent="0.25"/>
    <row r="1418" s="82" customFormat="1" x14ac:dyDescent="0.25"/>
    <row r="1419" s="82" customFormat="1" x14ac:dyDescent="0.25"/>
    <row r="1420" s="82" customFormat="1" x14ac:dyDescent="0.25"/>
    <row r="1421" s="82" customFormat="1" x14ac:dyDescent="0.25"/>
    <row r="1422" s="82" customFormat="1" x14ac:dyDescent="0.25"/>
    <row r="1423" s="82" customFormat="1" x14ac:dyDescent="0.25"/>
    <row r="1424" s="82" customFormat="1" x14ac:dyDescent="0.25"/>
    <row r="1425" s="82" customFormat="1" x14ac:dyDescent="0.25"/>
    <row r="1426" s="82" customFormat="1" x14ac:dyDescent="0.25"/>
    <row r="1427" s="82" customFormat="1" x14ac:dyDescent="0.25"/>
    <row r="1428" s="82" customFormat="1" x14ac:dyDescent="0.25"/>
    <row r="1429" s="82" customFormat="1" x14ac:dyDescent="0.25"/>
    <row r="1430" s="82" customFormat="1" x14ac:dyDescent="0.25"/>
    <row r="1431" s="82" customFormat="1" x14ac:dyDescent="0.25"/>
    <row r="1432" s="82" customFormat="1" x14ac:dyDescent="0.25"/>
    <row r="1433" s="82" customFormat="1" x14ac:dyDescent="0.25"/>
    <row r="1434" s="82" customFormat="1" x14ac:dyDescent="0.25"/>
    <row r="1435" s="82" customFormat="1" x14ac:dyDescent="0.25"/>
    <row r="1436" s="82" customFormat="1" x14ac:dyDescent="0.25"/>
    <row r="1437" s="82" customFormat="1" x14ac:dyDescent="0.25"/>
    <row r="1438" s="82" customFormat="1" x14ac:dyDescent="0.25"/>
    <row r="1439" s="82" customFormat="1" x14ac:dyDescent="0.25"/>
    <row r="1440" s="82" customFormat="1" x14ac:dyDescent="0.25"/>
    <row r="1441" s="82" customFormat="1" x14ac:dyDescent="0.25"/>
    <row r="1442" s="82" customFormat="1" x14ac:dyDescent="0.25"/>
    <row r="1443" s="82" customFormat="1" x14ac:dyDescent="0.25"/>
    <row r="1444" s="82" customFormat="1" x14ac:dyDescent="0.25"/>
    <row r="1445" s="82" customFormat="1" x14ac:dyDescent="0.25"/>
    <row r="1446" s="82" customFormat="1" x14ac:dyDescent="0.25"/>
    <row r="1447" s="82" customFormat="1" x14ac:dyDescent="0.25"/>
    <row r="1448" s="82" customFormat="1" x14ac:dyDescent="0.25"/>
    <row r="1449" s="82" customFormat="1" x14ac:dyDescent="0.25"/>
    <row r="1450" s="82" customFormat="1" x14ac:dyDescent="0.25"/>
    <row r="1451" s="82" customFormat="1" x14ac:dyDescent="0.25"/>
    <row r="1452" s="82" customFormat="1" x14ac:dyDescent="0.25"/>
    <row r="1453" s="82" customFormat="1" x14ac:dyDescent="0.25"/>
    <row r="1454" s="82" customFormat="1" x14ac:dyDescent="0.25"/>
    <row r="1455" s="82" customFormat="1" x14ac:dyDescent="0.25"/>
    <row r="1456" s="82" customFormat="1" x14ac:dyDescent="0.25"/>
    <row r="1457" s="82" customFormat="1" x14ac:dyDescent="0.25"/>
    <row r="1458" s="82" customFormat="1" x14ac:dyDescent="0.25"/>
    <row r="1459" s="82" customFormat="1" x14ac:dyDescent="0.25"/>
    <row r="1460" s="82" customFormat="1" x14ac:dyDescent="0.25"/>
    <row r="1461" s="82" customFormat="1" x14ac:dyDescent="0.25"/>
    <row r="1462" s="82" customFormat="1" x14ac:dyDescent="0.25"/>
    <row r="1463" s="82" customFormat="1" x14ac:dyDescent="0.25"/>
    <row r="1464" s="82" customFormat="1" x14ac:dyDescent="0.25"/>
    <row r="1465" s="82" customFormat="1" x14ac:dyDescent="0.25"/>
    <row r="1466" s="82" customFormat="1" x14ac:dyDescent="0.25"/>
    <row r="1467" s="82" customFormat="1" x14ac:dyDescent="0.25"/>
    <row r="1468" s="82" customFormat="1" x14ac:dyDescent="0.25"/>
    <row r="1469" s="82" customFormat="1" x14ac:dyDescent="0.25"/>
    <row r="1470" s="82" customFormat="1" x14ac:dyDescent="0.25"/>
    <row r="1471" s="82" customFormat="1" x14ac:dyDescent="0.25"/>
    <row r="1472" s="82" customFormat="1" x14ac:dyDescent="0.25"/>
    <row r="1473" s="82" customFormat="1" x14ac:dyDescent="0.25"/>
    <row r="1474" s="82" customFormat="1" x14ac:dyDescent="0.25"/>
    <row r="1475" s="82" customFormat="1" x14ac:dyDescent="0.25"/>
    <row r="1476" s="82" customFormat="1" x14ac:dyDescent="0.25"/>
    <row r="1477" s="82" customFormat="1" x14ac:dyDescent="0.25"/>
    <row r="1478" s="82" customFormat="1" x14ac:dyDescent="0.25"/>
    <row r="1479" s="82" customFormat="1" x14ac:dyDescent="0.25"/>
    <row r="1480" s="82" customFormat="1" x14ac:dyDescent="0.25"/>
    <row r="1481" s="82" customFormat="1" x14ac:dyDescent="0.25"/>
    <row r="1482" s="82" customFormat="1" x14ac:dyDescent="0.25"/>
    <row r="1483" s="82" customFormat="1" x14ac:dyDescent="0.25"/>
    <row r="1484" s="82" customFormat="1" x14ac:dyDescent="0.25"/>
    <row r="1485" s="82" customFormat="1" x14ac:dyDescent="0.25"/>
    <row r="1486" s="82" customFormat="1" x14ac:dyDescent="0.25"/>
    <row r="1487" s="82" customFormat="1" x14ac:dyDescent="0.25"/>
    <row r="1488" s="82" customFormat="1" x14ac:dyDescent="0.25"/>
    <row r="1489" s="82" customFormat="1" x14ac:dyDescent="0.25"/>
    <row r="1490" s="82" customFormat="1" x14ac:dyDescent="0.25"/>
    <row r="1491" s="82" customFormat="1" x14ac:dyDescent="0.25"/>
    <row r="1492" s="82" customFormat="1" x14ac:dyDescent="0.25"/>
    <row r="1493" s="82" customFormat="1" x14ac:dyDescent="0.25"/>
    <row r="1494" s="82" customFormat="1" x14ac:dyDescent="0.25"/>
    <row r="1495" s="82" customFormat="1" x14ac:dyDescent="0.25"/>
    <row r="1496" s="82" customFormat="1" x14ac:dyDescent="0.25"/>
    <row r="1497" s="82" customFormat="1" x14ac:dyDescent="0.25"/>
    <row r="1498" s="82" customFormat="1" x14ac:dyDescent="0.25"/>
    <row r="1499" s="82" customFormat="1" x14ac:dyDescent="0.25"/>
    <row r="1500" s="82" customFormat="1" x14ac:dyDescent="0.25"/>
    <row r="1501" s="82" customFormat="1" x14ac:dyDescent="0.25"/>
    <row r="1502" s="82" customFormat="1" x14ac:dyDescent="0.25"/>
    <row r="1503" s="82" customFormat="1" x14ac:dyDescent="0.25"/>
    <row r="1504" s="82" customFormat="1" x14ac:dyDescent="0.25"/>
    <row r="1505" s="82" customFormat="1" x14ac:dyDescent="0.25"/>
    <row r="1506" s="82" customFormat="1" x14ac:dyDescent="0.25"/>
    <row r="1507" s="82" customFormat="1" x14ac:dyDescent="0.25"/>
    <row r="1508" s="82" customFormat="1" x14ac:dyDescent="0.25"/>
    <row r="1509" s="82" customFormat="1" x14ac:dyDescent="0.25"/>
    <row r="1510" s="82" customFormat="1" x14ac:dyDescent="0.25"/>
    <row r="1511" s="82" customFormat="1" x14ac:dyDescent="0.25"/>
    <row r="1512" s="82" customFormat="1" x14ac:dyDescent="0.25"/>
    <row r="1513" s="82" customFormat="1" x14ac:dyDescent="0.25"/>
    <row r="1514" s="82" customFormat="1" x14ac:dyDescent="0.25"/>
    <row r="1515" s="82" customFormat="1" x14ac:dyDescent="0.25"/>
    <row r="1516" s="82" customFormat="1" x14ac:dyDescent="0.25"/>
    <row r="1517" s="82" customFormat="1" x14ac:dyDescent="0.25"/>
    <row r="1518" s="82" customFormat="1" x14ac:dyDescent="0.25"/>
    <row r="1519" s="82" customFormat="1" x14ac:dyDescent="0.25"/>
    <row r="1520" s="82" customFormat="1" x14ac:dyDescent="0.25"/>
    <row r="1521" s="82" customFormat="1" x14ac:dyDescent="0.25"/>
    <row r="1522" s="82" customFormat="1" x14ac:dyDescent="0.25"/>
    <row r="1523" s="82" customFormat="1" x14ac:dyDescent="0.25"/>
    <row r="1524" s="82" customFormat="1" x14ac:dyDescent="0.25"/>
    <row r="1525" s="82" customFormat="1" x14ac:dyDescent="0.25"/>
    <row r="1526" s="82" customFormat="1" x14ac:dyDescent="0.25"/>
    <row r="1527" s="82" customFormat="1" x14ac:dyDescent="0.25"/>
    <row r="1528" s="82" customFormat="1" x14ac:dyDescent="0.25"/>
    <row r="1529" s="82" customFormat="1" x14ac:dyDescent="0.25"/>
    <row r="1530" s="82" customFormat="1" x14ac:dyDescent="0.25"/>
    <row r="1531" s="82" customFormat="1" x14ac:dyDescent="0.25"/>
    <row r="1532" s="82" customFormat="1" x14ac:dyDescent="0.25"/>
    <row r="1533" s="82" customFormat="1" x14ac:dyDescent="0.25"/>
    <row r="1534" s="82" customFormat="1" x14ac:dyDescent="0.25"/>
    <row r="1535" s="82" customFormat="1" x14ac:dyDescent="0.25"/>
    <row r="1536" s="82" customFormat="1" x14ac:dyDescent="0.25"/>
    <row r="1537" s="82" customFormat="1" x14ac:dyDescent="0.25"/>
    <row r="1538" s="82" customFormat="1" x14ac:dyDescent="0.25"/>
    <row r="1539" s="82" customFormat="1" x14ac:dyDescent="0.25"/>
    <row r="1540" s="82" customFormat="1" x14ac:dyDescent="0.25"/>
    <row r="1541" s="82" customFormat="1" x14ac:dyDescent="0.25"/>
    <row r="1542" s="82" customFormat="1" x14ac:dyDescent="0.25"/>
    <row r="1543" s="82" customFormat="1" x14ac:dyDescent="0.25"/>
    <row r="1544" s="82" customFormat="1" x14ac:dyDescent="0.25"/>
    <row r="1545" s="82" customFormat="1" x14ac:dyDescent="0.25"/>
    <row r="1546" s="82" customFormat="1" x14ac:dyDescent="0.25"/>
    <row r="1547" s="82" customFormat="1" x14ac:dyDescent="0.25"/>
    <row r="1548" s="82" customFormat="1" x14ac:dyDescent="0.25"/>
    <row r="1549" s="82" customFormat="1" x14ac:dyDescent="0.25"/>
    <row r="1550" s="82" customFormat="1" x14ac:dyDescent="0.25"/>
    <row r="1551" s="82" customFormat="1" x14ac:dyDescent="0.25"/>
    <row r="1552" s="82" customFormat="1" x14ac:dyDescent="0.25"/>
    <row r="1553" s="82" customFormat="1" x14ac:dyDescent="0.25"/>
    <row r="1554" s="82" customFormat="1" x14ac:dyDescent="0.25"/>
    <row r="1555" s="82" customFormat="1" x14ac:dyDescent="0.25"/>
    <row r="1556" s="82" customFormat="1" x14ac:dyDescent="0.25"/>
    <row r="1557" s="82" customFormat="1" x14ac:dyDescent="0.25"/>
    <row r="1558" s="82" customFormat="1" x14ac:dyDescent="0.25"/>
    <row r="1559" s="82" customFormat="1" x14ac:dyDescent="0.25"/>
    <row r="1560" s="82" customFormat="1" x14ac:dyDescent="0.25"/>
    <row r="1561" s="82" customFormat="1" x14ac:dyDescent="0.25"/>
    <row r="1562" s="82" customFormat="1" x14ac:dyDescent="0.25"/>
    <row r="1563" s="82" customFormat="1" x14ac:dyDescent="0.25"/>
    <row r="1564" s="82" customFormat="1" x14ac:dyDescent="0.25"/>
    <row r="1565" s="82" customFormat="1" x14ac:dyDescent="0.25"/>
    <row r="1566" s="82" customFormat="1" x14ac:dyDescent="0.25"/>
    <row r="1567" s="82" customFormat="1" x14ac:dyDescent="0.25"/>
    <row r="1568" s="82" customFormat="1" x14ac:dyDescent="0.25"/>
    <row r="1569" s="82" customFormat="1" x14ac:dyDescent="0.25"/>
    <row r="1570" s="82" customFormat="1" x14ac:dyDescent="0.25"/>
    <row r="1571" s="82" customFormat="1" x14ac:dyDescent="0.25"/>
  </sheetData>
  <sheetProtection algorithmName="SHA-512" hashValue="kDrtAEGQP0Ue2e/AFgnb+KGjJNT/wX/W4URxI1hLWmfAQOtPC0vCKIVEEcQRH3QVp57BfsY60xeiLztaxGObGw==" saltValue="iz4CyPGoH3lq969T989Bdw==" spinCount="100000" sheet="1" selectLockedCells="1"/>
  <mergeCells count="3">
    <mergeCell ref="B3:C3"/>
    <mergeCell ref="D3:I4"/>
    <mergeCell ref="B2:N2"/>
  </mergeCells>
  <dataValidations count="2">
    <dataValidation type="list" allowBlank="1" showInputMessage="1" showErrorMessage="1" sqref="H8:H15" xr:uid="{081B8E98-0337-412F-9526-8914C4E2AF02}">
      <formula1>$C$20:$C$22</formula1>
    </dataValidation>
    <dataValidation type="list" allowBlank="1" showInputMessage="1" showErrorMessage="1" sqref="D8:E15" xr:uid="{00000000-0002-0000-0800-000002000000}">
      <formula1>$I$20:$I$21</formula1>
    </dataValidation>
  </dataValidations>
  <hyperlinks>
    <hyperlink ref="B3" location="'Calculator Index'!A1" display="Return to Index" xr:uid="{00000000-0004-0000-0800-000000000000}"/>
    <hyperlink ref="B3:C3" location="'Project Summary'!A1" display="Return to Project Summary" xr:uid="{00000000-0004-0000-0800-000001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C1078"/>
  <sheetViews>
    <sheetView topLeftCell="B2" zoomScale="90" zoomScaleNormal="90" workbookViewId="0">
      <selection activeCell="D8" sqref="D8:J8"/>
    </sheetView>
  </sheetViews>
  <sheetFormatPr defaultRowHeight="15" x14ac:dyDescent="0.25"/>
  <cols>
    <col min="1" max="1" width="3.7109375" customWidth="1"/>
    <col min="2" max="2" width="7.42578125" customWidth="1"/>
    <col min="3" max="3" width="19.85546875" customWidth="1"/>
    <col min="4" max="5" width="19.42578125" customWidth="1"/>
    <col min="6" max="6" width="23.7109375" customWidth="1"/>
    <col min="7" max="7" width="20.85546875" bestFit="1" customWidth="1"/>
    <col min="8" max="8" width="30.28515625" customWidth="1"/>
    <col min="9" max="9" width="29.85546875" customWidth="1"/>
    <col min="10" max="10" width="25.5703125" customWidth="1"/>
    <col min="11" max="11" width="16.28515625" hidden="1" customWidth="1"/>
    <col min="12" max="12" width="21.7109375" hidden="1" customWidth="1"/>
    <col min="13" max="13" width="17.28515625" customWidth="1"/>
    <col min="14" max="14" width="18.5703125" customWidth="1"/>
    <col min="15" max="15" width="13.28515625" customWidth="1"/>
    <col min="16" max="16" width="19" hidden="1" customWidth="1"/>
    <col min="17" max="17" width="18.5703125" hidden="1" customWidth="1"/>
    <col min="18" max="18" width="31.85546875" hidden="1" customWidth="1"/>
    <col min="19" max="19" width="6.85546875" customWidth="1"/>
    <col min="20" max="133" width="9.140625" style="82"/>
  </cols>
  <sheetData>
    <row r="1" spans="1:19" ht="19.5" customHeight="1" x14ac:dyDescent="0.25">
      <c r="A1" s="38"/>
      <c r="B1" s="38"/>
      <c r="C1" s="38"/>
      <c r="D1" s="38"/>
      <c r="E1" s="38"/>
      <c r="F1" s="38"/>
      <c r="G1" s="38"/>
      <c r="H1" s="38"/>
      <c r="I1" s="38"/>
      <c r="J1" s="38"/>
      <c r="K1" s="27"/>
      <c r="L1" s="27"/>
      <c r="M1" s="38"/>
      <c r="N1" s="38"/>
      <c r="O1" s="38"/>
      <c r="P1" s="38"/>
      <c r="Q1" s="27" t="s">
        <v>335</v>
      </c>
      <c r="R1" s="27" t="s">
        <v>336</v>
      </c>
      <c r="S1" s="83"/>
    </row>
    <row r="2" spans="1:19" ht="27" customHeight="1" x14ac:dyDescent="0.25">
      <c r="A2" s="38"/>
      <c r="B2" s="530" t="s">
        <v>337</v>
      </c>
      <c r="C2" s="531"/>
      <c r="D2" s="531"/>
      <c r="E2" s="531"/>
      <c r="F2" s="531"/>
      <c r="G2" s="531"/>
      <c r="H2" s="531"/>
      <c r="I2" s="531"/>
      <c r="J2" s="531"/>
      <c r="K2" s="531"/>
      <c r="L2" s="531"/>
      <c r="M2" s="531"/>
      <c r="N2" s="531"/>
      <c r="O2" s="531"/>
      <c r="P2" s="232"/>
      <c r="Q2" s="27"/>
      <c r="R2" s="27"/>
      <c r="S2" s="83"/>
    </row>
    <row r="3" spans="1:19" ht="23.25" customHeight="1" x14ac:dyDescent="0.25">
      <c r="A3" s="38"/>
      <c r="B3" s="505" t="s">
        <v>79</v>
      </c>
      <c r="C3" s="506"/>
      <c r="D3" s="513" t="s">
        <v>338</v>
      </c>
      <c r="E3" s="513"/>
      <c r="F3" s="513"/>
      <c r="G3" s="513"/>
      <c r="H3" s="513"/>
      <c r="I3" s="38"/>
      <c r="J3" s="38"/>
      <c r="K3" s="27"/>
      <c r="L3" s="27"/>
      <c r="M3" s="38"/>
      <c r="N3" s="38"/>
      <c r="O3" s="38"/>
      <c r="P3" s="38"/>
      <c r="Q3" s="27"/>
      <c r="R3" s="27"/>
      <c r="S3" s="83"/>
    </row>
    <row r="4" spans="1:19" ht="12.75" customHeight="1" x14ac:dyDescent="0.25">
      <c r="A4" s="38"/>
      <c r="B4" s="38"/>
      <c r="C4" s="38"/>
      <c r="D4" s="513"/>
      <c r="E4" s="513"/>
      <c r="F4" s="513"/>
      <c r="G4" s="513"/>
      <c r="H4" s="513"/>
      <c r="I4" s="38"/>
      <c r="J4" s="38"/>
      <c r="K4" s="27"/>
      <c r="L4" s="27"/>
      <c r="M4" s="38"/>
      <c r="N4" s="38"/>
      <c r="O4" s="38"/>
      <c r="P4" s="38"/>
      <c r="Q4" s="27"/>
      <c r="R4" s="27"/>
      <c r="S4" s="83"/>
    </row>
    <row r="5" spans="1:19" ht="12.75" customHeight="1" x14ac:dyDescent="0.25">
      <c r="A5" s="38"/>
      <c r="B5" s="38"/>
      <c r="C5" s="38"/>
      <c r="D5" s="38"/>
      <c r="E5" s="38"/>
      <c r="F5" s="38"/>
      <c r="G5" s="38"/>
      <c r="H5" s="38"/>
      <c r="I5" s="38"/>
      <c r="J5" s="38"/>
      <c r="K5" s="27"/>
      <c r="L5" s="27"/>
      <c r="M5" s="38"/>
      <c r="N5" s="38"/>
      <c r="O5" s="38"/>
      <c r="P5" s="38"/>
      <c r="Q5" s="27"/>
      <c r="R5" s="27"/>
      <c r="S5" s="83"/>
    </row>
    <row r="6" spans="1:19" ht="34.5" customHeight="1" x14ac:dyDescent="0.25">
      <c r="A6" s="38"/>
      <c r="B6" s="152" t="s">
        <v>194</v>
      </c>
      <c r="C6" s="152" t="s">
        <v>82</v>
      </c>
      <c r="D6" s="152" t="s">
        <v>83</v>
      </c>
      <c r="E6" s="153" t="s">
        <v>196</v>
      </c>
      <c r="F6" s="153" t="s">
        <v>86</v>
      </c>
      <c r="G6" s="153" t="s">
        <v>87</v>
      </c>
      <c r="H6" s="153" t="s">
        <v>339</v>
      </c>
      <c r="I6" s="153" t="s">
        <v>340</v>
      </c>
      <c r="J6" s="153" t="s">
        <v>341</v>
      </c>
      <c r="K6" s="153" t="s">
        <v>342</v>
      </c>
      <c r="L6" s="153" t="s">
        <v>343</v>
      </c>
      <c r="M6" s="153" t="s">
        <v>52</v>
      </c>
      <c r="N6" s="153" t="s">
        <v>53</v>
      </c>
      <c r="O6" s="152" t="s">
        <v>54</v>
      </c>
      <c r="P6" s="257" t="s">
        <v>97</v>
      </c>
      <c r="Q6" s="257" t="s">
        <v>344</v>
      </c>
      <c r="R6" s="257" t="s">
        <v>71</v>
      </c>
      <c r="S6" s="83"/>
    </row>
    <row r="7" spans="1:19" ht="22.5" hidden="1" customHeight="1" x14ac:dyDescent="0.25">
      <c r="A7" s="38"/>
      <c r="B7" s="246" t="s">
        <v>100</v>
      </c>
      <c r="C7" s="246"/>
      <c r="D7" s="246" t="s">
        <v>102</v>
      </c>
      <c r="E7" s="246" t="s">
        <v>103</v>
      </c>
      <c r="F7" s="245" t="s">
        <v>104</v>
      </c>
      <c r="G7" s="245" t="s">
        <v>105</v>
      </c>
      <c r="H7" s="245" t="s">
        <v>345</v>
      </c>
      <c r="I7" s="245" t="s">
        <v>51</v>
      </c>
      <c r="J7" s="245" t="s">
        <v>346</v>
      </c>
      <c r="K7" s="245"/>
      <c r="L7" s="245" t="s">
        <v>108</v>
      </c>
      <c r="M7" s="245" t="s">
        <v>109</v>
      </c>
      <c r="N7" s="245" t="s">
        <v>110</v>
      </c>
      <c r="O7" s="246" t="s">
        <v>111</v>
      </c>
      <c r="P7" s="259" t="s">
        <v>112</v>
      </c>
      <c r="Q7" s="259" t="s">
        <v>114</v>
      </c>
      <c r="R7" s="259" t="s">
        <v>113</v>
      </c>
      <c r="S7" s="83"/>
    </row>
    <row r="8" spans="1:19" x14ac:dyDescent="0.25">
      <c r="A8" s="38"/>
      <c r="B8" s="220">
        <v>1</v>
      </c>
      <c r="C8" s="220" t="s">
        <v>347</v>
      </c>
      <c r="D8" s="11"/>
      <c r="E8" s="11"/>
      <c r="F8" s="84"/>
      <c r="G8" s="84"/>
      <c r="H8" s="41"/>
      <c r="I8" s="41"/>
      <c r="J8" s="41"/>
      <c r="K8" s="42" t="str">
        <f>IF(H8="", "", VLOOKUP(H8, $F$19:$G$22, 2, FALSE))</f>
        <v/>
      </c>
      <c r="L8" s="42" t="str">
        <f t="shared" ref="L8:L15" si="0">IFERROR(ROUND(K8*I8,6),"")</f>
        <v/>
      </c>
      <c r="M8" s="405" t="str">
        <f>IF(OR(H8="", J8=""), "", "0.00")</f>
        <v/>
      </c>
      <c r="N8" s="405" t="str">
        <f t="shared" ref="N8:N15" si="1">IF(OR(H8="", J8=""), "",ROUND( I8*K8*J8*365,4))</f>
        <v/>
      </c>
      <c r="O8" s="39" t="str">
        <f>IF(OR(H8="",J8=""), "", IF(J8&lt;3, "", I8*$F$25))</f>
        <v/>
      </c>
      <c r="P8" s="39">
        <f t="shared" ref="P8:P15" si="2">E8</f>
        <v>0</v>
      </c>
      <c r="Q8" s="258" t="s">
        <v>348</v>
      </c>
      <c r="R8" s="258" t="s">
        <v>349</v>
      </c>
      <c r="S8" s="83"/>
    </row>
    <row r="9" spans="1:19" x14ac:dyDescent="0.25">
      <c r="A9" s="38"/>
      <c r="B9" s="220">
        <v>2</v>
      </c>
      <c r="C9" s="220" t="s">
        <v>347</v>
      </c>
      <c r="D9" s="11"/>
      <c r="E9" s="11"/>
      <c r="F9" s="84"/>
      <c r="G9" s="84"/>
      <c r="H9" s="41"/>
      <c r="I9" s="41"/>
      <c r="J9" s="41"/>
      <c r="K9" s="42" t="str">
        <f t="shared" ref="K9:K15" si="3">IF(H9="", "", VLOOKUP(H9, $F$19:$G$21, 2, FALSE))</f>
        <v/>
      </c>
      <c r="L9" s="42" t="str">
        <f t="shared" si="0"/>
        <v/>
      </c>
      <c r="M9" s="405" t="str">
        <f t="shared" ref="M9:M15" si="4">IF(OR(H9="", J9=""), "", "0.00")</f>
        <v/>
      </c>
      <c r="N9" s="405" t="str">
        <f t="shared" si="1"/>
        <v/>
      </c>
      <c r="O9" s="39" t="str">
        <f t="shared" ref="O9:O15" si="5">IF(OR(H9="",J9=""), "", IF(J9&lt;3, "", I9*$F$25))</f>
        <v/>
      </c>
      <c r="P9" s="39">
        <f t="shared" si="2"/>
        <v>0</v>
      </c>
      <c r="Q9" s="258" t="s">
        <v>348</v>
      </c>
      <c r="R9" s="258" t="s">
        <v>349</v>
      </c>
      <c r="S9" s="83"/>
    </row>
    <row r="10" spans="1:19" x14ac:dyDescent="0.25">
      <c r="A10" s="38"/>
      <c r="B10" s="220">
        <v>3</v>
      </c>
      <c r="C10" s="220" t="s">
        <v>347</v>
      </c>
      <c r="D10" s="11"/>
      <c r="E10" s="11"/>
      <c r="F10" s="84"/>
      <c r="G10" s="84"/>
      <c r="H10" s="41"/>
      <c r="I10" s="41"/>
      <c r="J10" s="41"/>
      <c r="K10" s="42" t="str">
        <f t="shared" si="3"/>
        <v/>
      </c>
      <c r="L10" s="42" t="str">
        <f t="shared" si="0"/>
        <v/>
      </c>
      <c r="M10" s="405" t="str">
        <f t="shared" si="4"/>
        <v/>
      </c>
      <c r="N10" s="405" t="str">
        <f t="shared" si="1"/>
        <v/>
      </c>
      <c r="O10" s="39" t="str">
        <f t="shared" si="5"/>
        <v/>
      </c>
      <c r="P10" s="39">
        <f t="shared" si="2"/>
        <v>0</v>
      </c>
      <c r="Q10" s="258" t="s">
        <v>348</v>
      </c>
      <c r="R10" s="258" t="s">
        <v>349</v>
      </c>
      <c r="S10" s="83"/>
    </row>
    <row r="11" spans="1:19" x14ac:dyDescent="0.25">
      <c r="A11" s="38"/>
      <c r="B11" s="220">
        <v>4</v>
      </c>
      <c r="C11" s="220" t="s">
        <v>347</v>
      </c>
      <c r="D11" s="11"/>
      <c r="E11" s="11"/>
      <c r="F11" s="84"/>
      <c r="G11" s="84"/>
      <c r="H11" s="41"/>
      <c r="I11" s="41"/>
      <c r="J11" s="41"/>
      <c r="K11" s="42" t="str">
        <f t="shared" si="3"/>
        <v/>
      </c>
      <c r="L11" s="42" t="str">
        <f t="shared" si="0"/>
        <v/>
      </c>
      <c r="M11" s="405" t="str">
        <f t="shared" si="4"/>
        <v/>
      </c>
      <c r="N11" s="405" t="str">
        <f t="shared" si="1"/>
        <v/>
      </c>
      <c r="O11" s="39" t="str">
        <f t="shared" si="5"/>
        <v/>
      </c>
      <c r="P11" s="39">
        <f t="shared" si="2"/>
        <v>0</v>
      </c>
      <c r="Q11" s="258" t="s">
        <v>348</v>
      </c>
      <c r="R11" s="258" t="s">
        <v>349</v>
      </c>
      <c r="S11" s="83"/>
    </row>
    <row r="12" spans="1:19" x14ac:dyDescent="0.25">
      <c r="A12" s="38"/>
      <c r="B12" s="220">
        <v>5</v>
      </c>
      <c r="C12" s="220" t="s">
        <v>347</v>
      </c>
      <c r="D12" s="11"/>
      <c r="E12" s="11"/>
      <c r="F12" s="84"/>
      <c r="G12" s="84"/>
      <c r="H12" s="41"/>
      <c r="I12" s="41"/>
      <c r="J12" s="41"/>
      <c r="K12" s="42" t="str">
        <f t="shared" si="3"/>
        <v/>
      </c>
      <c r="L12" s="42" t="str">
        <f t="shared" si="0"/>
        <v/>
      </c>
      <c r="M12" s="405" t="str">
        <f t="shared" si="4"/>
        <v/>
      </c>
      <c r="N12" s="405" t="str">
        <f t="shared" si="1"/>
        <v/>
      </c>
      <c r="O12" s="39" t="str">
        <f t="shared" si="5"/>
        <v/>
      </c>
      <c r="P12" s="39">
        <f t="shared" si="2"/>
        <v>0</v>
      </c>
      <c r="Q12" s="258" t="s">
        <v>348</v>
      </c>
      <c r="R12" s="258" t="s">
        <v>349</v>
      </c>
      <c r="S12" s="83"/>
    </row>
    <row r="13" spans="1:19" x14ac:dyDescent="0.25">
      <c r="A13" s="38"/>
      <c r="B13" s="220">
        <v>6</v>
      </c>
      <c r="C13" s="220" t="s">
        <v>347</v>
      </c>
      <c r="D13" s="11"/>
      <c r="E13" s="11"/>
      <c r="F13" s="84"/>
      <c r="G13" s="84"/>
      <c r="H13" s="41"/>
      <c r="I13" s="41"/>
      <c r="J13" s="41"/>
      <c r="K13" s="42" t="str">
        <f t="shared" si="3"/>
        <v/>
      </c>
      <c r="L13" s="42" t="str">
        <f t="shared" si="0"/>
        <v/>
      </c>
      <c r="M13" s="405" t="str">
        <f t="shared" si="4"/>
        <v/>
      </c>
      <c r="N13" s="405" t="str">
        <f t="shared" si="1"/>
        <v/>
      </c>
      <c r="O13" s="39" t="str">
        <f t="shared" si="5"/>
        <v/>
      </c>
      <c r="P13" s="39">
        <f t="shared" si="2"/>
        <v>0</v>
      </c>
      <c r="Q13" s="258" t="s">
        <v>348</v>
      </c>
      <c r="R13" s="258" t="s">
        <v>349</v>
      </c>
      <c r="S13" s="83"/>
    </row>
    <row r="14" spans="1:19" x14ac:dyDescent="0.25">
      <c r="A14" s="38"/>
      <c r="B14" s="220">
        <v>7</v>
      </c>
      <c r="C14" s="220" t="s">
        <v>347</v>
      </c>
      <c r="D14" s="11"/>
      <c r="E14" s="11"/>
      <c r="F14" s="84"/>
      <c r="G14" s="84"/>
      <c r="H14" s="41"/>
      <c r="I14" s="41"/>
      <c r="J14" s="41"/>
      <c r="K14" s="42" t="str">
        <f t="shared" si="3"/>
        <v/>
      </c>
      <c r="L14" s="42" t="str">
        <f t="shared" si="0"/>
        <v/>
      </c>
      <c r="M14" s="405" t="str">
        <f t="shared" si="4"/>
        <v/>
      </c>
      <c r="N14" s="405" t="str">
        <f t="shared" si="1"/>
        <v/>
      </c>
      <c r="O14" s="39" t="str">
        <f t="shared" si="5"/>
        <v/>
      </c>
      <c r="P14" s="39">
        <f t="shared" si="2"/>
        <v>0</v>
      </c>
      <c r="Q14" s="258" t="s">
        <v>348</v>
      </c>
      <c r="R14" s="258" t="s">
        <v>349</v>
      </c>
      <c r="S14" s="83"/>
    </row>
    <row r="15" spans="1:19" x14ac:dyDescent="0.25">
      <c r="A15" s="38"/>
      <c r="B15" s="220">
        <v>8</v>
      </c>
      <c r="C15" s="220" t="s">
        <v>347</v>
      </c>
      <c r="D15" s="11"/>
      <c r="E15" s="11"/>
      <c r="F15" s="84"/>
      <c r="G15" s="84"/>
      <c r="H15" s="41"/>
      <c r="I15" s="41"/>
      <c r="J15" s="41"/>
      <c r="K15" s="42" t="str">
        <f t="shared" si="3"/>
        <v/>
      </c>
      <c r="L15" s="42" t="str">
        <f t="shared" si="0"/>
        <v/>
      </c>
      <c r="M15" s="405" t="str">
        <f t="shared" si="4"/>
        <v/>
      </c>
      <c r="N15" s="405" t="str">
        <f t="shared" si="1"/>
        <v/>
      </c>
      <c r="O15" s="39" t="str">
        <f t="shared" si="5"/>
        <v/>
      </c>
      <c r="P15" s="39">
        <f t="shared" si="2"/>
        <v>0</v>
      </c>
      <c r="Q15" s="258" t="s">
        <v>348</v>
      </c>
      <c r="R15" s="258" t="s">
        <v>349</v>
      </c>
      <c r="S15" s="83"/>
    </row>
    <row r="16" spans="1:19" hidden="1" x14ac:dyDescent="0.25">
      <c r="A16" s="27"/>
      <c r="I16">
        <f>SUM(I8:I15)</f>
        <v>0</v>
      </c>
      <c r="M16">
        <f>SUM(M8:M15)</f>
        <v>0</v>
      </c>
      <c r="N16">
        <f>SUM(N8:N15)</f>
        <v>0</v>
      </c>
      <c r="O16">
        <f>SUM(O8:O15)</f>
        <v>0</v>
      </c>
      <c r="S16" s="83"/>
    </row>
    <row r="17" spans="1:19" hidden="1" x14ac:dyDescent="0.25">
      <c r="A17" s="27"/>
      <c r="S17" s="83"/>
    </row>
    <row r="18" spans="1:19" hidden="1" x14ac:dyDescent="0.25">
      <c r="A18" s="27"/>
      <c r="F18" s="44" t="s">
        <v>350</v>
      </c>
      <c r="G18" s="221" t="s">
        <v>351</v>
      </c>
      <c r="S18" s="83"/>
    </row>
    <row r="19" spans="1:19" hidden="1" x14ac:dyDescent="0.25">
      <c r="A19" s="27"/>
      <c r="F19" s="6" t="s">
        <v>352</v>
      </c>
      <c r="G19" s="5">
        <v>0.03</v>
      </c>
      <c r="S19" s="83"/>
    </row>
    <row r="20" spans="1:19" hidden="1" x14ac:dyDescent="0.25">
      <c r="A20" s="27"/>
      <c r="F20" s="6" t="s">
        <v>353</v>
      </c>
      <c r="G20" s="5">
        <v>0.02</v>
      </c>
      <c r="S20" s="83"/>
    </row>
    <row r="21" spans="1:19" hidden="1" x14ac:dyDescent="0.25">
      <c r="A21" s="27"/>
      <c r="F21" s="6" t="s">
        <v>354</v>
      </c>
      <c r="G21" s="5">
        <v>0.01</v>
      </c>
      <c r="S21" s="83"/>
    </row>
    <row r="22" spans="1:19" hidden="1" x14ac:dyDescent="0.25">
      <c r="A22" s="27"/>
      <c r="F22" s="6" t="s">
        <v>355</v>
      </c>
      <c r="G22" s="5">
        <v>0.01</v>
      </c>
      <c r="S22" s="83"/>
    </row>
    <row r="23" spans="1:19" hidden="1" x14ac:dyDescent="0.25">
      <c r="A23" s="27"/>
      <c r="S23" s="83"/>
    </row>
    <row r="24" spans="1:19" hidden="1" x14ac:dyDescent="0.25">
      <c r="A24" s="27"/>
      <c r="F24" s="44" t="s">
        <v>54</v>
      </c>
      <c r="S24" s="83"/>
    </row>
    <row r="25" spans="1:19" hidden="1" x14ac:dyDescent="0.25">
      <c r="A25" s="27"/>
      <c r="F25" s="212">
        <f>10*'Project Summary'!M12</f>
        <v>5</v>
      </c>
      <c r="G25" s="4" t="s">
        <v>356</v>
      </c>
      <c r="S25" s="83"/>
    </row>
    <row r="26" spans="1:19" hidden="1" x14ac:dyDescent="0.25">
      <c r="A26" s="27"/>
      <c r="S26" s="83"/>
    </row>
    <row r="27" spans="1:19" hidden="1" x14ac:dyDescent="0.25">
      <c r="A27" s="27"/>
      <c r="F27" s="24" t="s">
        <v>83</v>
      </c>
      <c r="S27" s="83"/>
    </row>
    <row r="28" spans="1:19" hidden="1" x14ac:dyDescent="0.25">
      <c r="A28" s="27"/>
      <c r="F28" s="19" t="s">
        <v>124</v>
      </c>
      <c r="S28" s="83"/>
    </row>
    <row r="29" spans="1:19" hidden="1" x14ac:dyDescent="0.25">
      <c r="A29" s="27"/>
      <c r="F29" s="19" t="s">
        <v>130</v>
      </c>
      <c r="S29" s="83"/>
    </row>
    <row r="30" spans="1:19" hidden="1" x14ac:dyDescent="0.25">
      <c r="A30" s="27"/>
      <c r="S30" s="83"/>
    </row>
    <row r="31" spans="1:19" hidden="1" x14ac:dyDescent="0.25">
      <c r="A31" s="27"/>
      <c r="F31" s="44" t="s">
        <v>268</v>
      </c>
      <c r="S31" s="83"/>
    </row>
    <row r="32" spans="1:19" hidden="1" x14ac:dyDescent="0.25">
      <c r="A32" s="27"/>
      <c r="F32" s="5">
        <v>5</v>
      </c>
      <c r="S32" s="83"/>
    </row>
    <row r="33" spans="1:19" hidden="1" x14ac:dyDescent="0.25">
      <c r="A33" s="27"/>
      <c r="S33" s="83"/>
    </row>
    <row r="34" spans="1:19" hidden="1" x14ac:dyDescent="0.25">
      <c r="A34" s="27"/>
      <c r="F34" s="45" t="s">
        <v>357</v>
      </c>
      <c r="S34" s="83"/>
    </row>
    <row r="35" spans="1:19" hidden="1" x14ac:dyDescent="0.25">
      <c r="A35" s="27"/>
      <c r="F35" s="6">
        <v>0</v>
      </c>
      <c r="S35" s="83"/>
    </row>
    <row r="36" spans="1:19" x14ac:dyDescent="0.25">
      <c r="A36" s="83"/>
      <c r="B36" s="83"/>
      <c r="C36" s="83"/>
      <c r="D36" s="83"/>
      <c r="E36" s="83"/>
      <c r="F36" s="83"/>
      <c r="G36" s="83"/>
      <c r="H36" s="83"/>
      <c r="I36" s="83"/>
      <c r="J36" s="83"/>
      <c r="K36" s="83"/>
      <c r="L36" s="83"/>
      <c r="M36" s="83"/>
      <c r="N36" s="83"/>
      <c r="O36" s="83"/>
      <c r="P36" s="83"/>
      <c r="Q36" s="83"/>
      <c r="R36" s="83"/>
      <c r="S36" s="83"/>
    </row>
    <row r="37" spans="1:19" x14ac:dyDescent="0.25">
      <c r="A37" s="83"/>
      <c r="B37" s="83"/>
      <c r="C37" s="83"/>
      <c r="D37" s="83"/>
      <c r="E37" s="83"/>
      <c r="F37" s="83"/>
      <c r="G37" s="83"/>
      <c r="H37" s="83"/>
      <c r="I37" s="83"/>
      <c r="J37" s="83"/>
      <c r="K37" s="83"/>
      <c r="L37" s="83"/>
      <c r="M37" s="83"/>
      <c r="N37" s="83"/>
      <c r="O37" s="83"/>
      <c r="P37" s="83"/>
      <c r="Q37" s="83"/>
      <c r="R37" s="83"/>
      <c r="S37" s="83"/>
    </row>
    <row r="38" spans="1:19" s="82" customFormat="1" x14ac:dyDescent="0.25"/>
    <row r="39" spans="1:19" s="82" customFormat="1" x14ac:dyDescent="0.25"/>
    <row r="40" spans="1:19" s="82" customFormat="1" x14ac:dyDescent="0.25"/>
    <row r="41" spans="1:19" s="82" customFormat="1" x14ac:dyDescent="0.25"/>
    <row r="42" spans="1:19" s="82" customFormat="1" x14ac:dyDescent="0.25"/>
    <row r="43" spans="1:19" s="82" customFormat="1" x14ac:dyDescent="0.25"/>
    <row r="44" spans="1:19" s="82" customFormat="1" x14ac:dyDescent="0.25"/>
    <row r="45" spans="1:19" s="82" customFormat="1" x14ac:dyDescent="0.25"/>
    <row r="46" spans="1:19" s="82" customFormat="1" x14ac:dyDescent="0.25"/>
    <row r="47" spans="1:19" s="82" customFormat="1" x14ac:dyDescent="0.25"/>
    <row r="48" spans="1:19"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sheetData>
  <sheetProtection algorithmName="SHA-512" hashValue="lL30POIZw7U49OyWDIajtv+yioXewTlEr6J9D072A6NhuteFjVBNQUvtrJ1SOC0i/bPmYK7AZ2xwz/p65qX0rA==" saltValue="j3vj+tXZqKSOGU4uyXip7g==" spinCount="100000" sheet="1" selectLockedCells="1"/>
  <mergeCells count="3">
    <mergeCell ref="B3:C3"/>
    <mergeCell ref="D3:H4"/>
    <mergeCell ref="B2:O2"/>
  </mergeCells>
  <dataValidations count="3">
    <dataValidation type="list" allowBlank="1" showInputMessage="1" showErrorMessage="1" sqref="H9:H15" xr:uid="{00000000-0002-0000-0500-000000000000}">
      <formula1>$F$19:$F$21</formula1>
    </dataValidation>
    <dataValidation type="list" allowBlank="1" showInputMessage="1" showErrorMessage="1" sqref="D8:E15" xr:uid="{00000000-0002-0000-0500-000001000000}">
      <formula1>$F$28:$F$29</formula1>
    </dataValidation>
    <dataValidation type="list" allowBlank="1" showInputMessage="1" showErrorMessage="1" sqref="H8" xr:uid="{D8904603-1E14-40CE-9D23-2277BAF130AA}">
      <formula1>$F$19:$F$22</formula1>
    </dataValidation>
  </dataValidations>
  <hyperlinks>
    <hyperlink ref="B3" location="'Calculator Index'!A1" display="Return to Index" xr:uid="{00000000-0004-0000-0500-000000000000}"/>
    <hyperlink ref="B3:C3" location="'Project Summary'!A1" display="Return to Project Summary" xr:uid="{00000000-0004-0000-0500-000001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U1009"/>
  <sheetViews>
    <sheetView zoomScale="90" zoomScaleNormal="90" workbookViewId="0">
      <selection activeCell="G8" sqref="G8:I8"/>
    </sheetView>
  </sheetViews>
  <sheetFormatPr defaultRowHeight="15" x14ac:dyDescent="0.25"/>
  <cols>
    <col min="1" max="1" width="3.7109375" customWidth="1"/>
    <col min="2" max="2" width="6" customWidth="1"/>
    <col min="3" max="3" width="20.7109375" customWidth="1"/>
    <col min="4" max="4" width="19.85546875" customWidth="1"/>
    <col min="5" max="5" width="18.7109375" customWidth="1"/>
    <col min="6" max="6" width="17.85546875" customWidth="1"/>
    <col min="7" max="7" width="26.5703125" bestFit="1" customWidth="1"/>
    <col min="8" max="8" width="16.5703125" hidden="1" customWidth="1"/>
    <col min="9" max="10" width="18.28515625" customWidth="1"/>
    <col min="11" max="11" width="17.7109375" customWidth="1"/>
    <col min="12" max="12" width="17.28515625" customWidth="1"/>
    <col min="13" max="13" width="16" customWidth="1"/>
    <col min="14" max="14" width="16" hidden="1" customWidth="1"/>
    <col min="15" max="15" width="17.5703125" hidden="1" customWidth="1"/>
    <col min="16" max="16" width="31.85546875" hidden="1" customWidth="1"/>
    <col min="17" max="17" width="14.28515625" hidden="1" customWidth="1"/>
    <col min="18" max="18" width="10.85546875" hidden="1" customWidth="1"/>
    <col min="19" max="19" width="7.42578125" customWidth="1"/>
    <col min="20" max="151" width="9.140625" style="82"/>
  </cols>
  <sheetData>
    <row r="1" spans="1:19" ht="19.5" customHeight="1" x14ac:dyDescent="0.25">
      <c r="A1" s="38"/>
      <c r="B1" s="38"/>
      <c r="C1" s="38"/>
      <c r="D1" s="38"/>
      <c r="E1" s="38"/>
      <c r="F1" s="38"/>
      <c r="G1" s="38"/>
      <c r="H1" s="38"/>
      <c r="I1" s="38"/>
      <c r="J1" s="38"/>
      <c r="K1" s="38"/>
      <c r="L1" s="38"/>
      <c r="M1" s="38"/>
      <c r="N1" s="38"/>
      <c r="O1" s="38"/>
      <c r="P1" s="38"/>
      <c r="Q1" s="27" t="s">
        <v>76</v>
      </c>
      <c r="R1" s="27" t="s">
        <v>358</v>
      </c>
      <c r="S1" s="83"/>
    </row>
    <row r="2" spans="1:19" ht="27" customHeight="1" x14ac:dyDescent="0.25">
      <c r="A2" s="38"/>
      <c r="B2" s="544" t="s">
        <v>359</v>
      </c>
      <c r="C2" s="544"/>
      <c r="D2" s="544"/>
      <c r="E2" s="544"/>
      <c r="F2" s="544"/>
      <c r="G2" s="544"/>
      <c r="H2" s="544"/>
      <c r="I2" s="544"/>
      <c r="J2" s="544"/>
      <c r="K2" s="544"/>
      <c r="L2" s="544"/>
      <c r="M2" s="544"/>
      <c r="N2" s="232"/>
      <c r="O2" s="232"/>
      <c r="P2" s="232"/>
      <c r="Q2" s="27"/>
      <c r="R2" s="27"/>
      <c r="S2" s="83"/>
    </row>
    <row r="3" spans="1:19" ht="23.25" customHeight="1" x14ac:dyDescent="0.25">
      <c r="A3" s="38"/>
      <c r="B3" s="505" t="s">
        <v>79</v>
      </c>
      <c r="C3" s="506"/>
      <c r="D3" s="545" t="s">
        <v>360</v>
      </c>
      <c r="E3" s="545"/>
      <c r="F3" s="545"/>
      <c r="G3" s="545"/>
      <c r="H3" s="38"/>
      <c r="I3" s="38"/>
      <c r="J3" s="38"/>
      <c r="K3" s="38"/>
      <c r="L3" s="38"/>
      <c r="M3" s="38"/>
      <c r="N3" s="38"/>
      <c r="O3" s="38"/>
      <c r="P3" s="38"/>
      <c r="Q3" s="27"/>
      <c r="R3" s="27"/>
      <c r="S3" s="83"/>
    </row>
    <row r="4" spans="1:19" ht="40.5" customHeight="1" x14ac:dyDescent="0.25">
      <c r="A4" s="38"/>
      <c r="B4" s="38"/>
      <c r="C4" s="38"/>
      <c r="D4" s="513"/>
      <c r="E4" s="513"/>
      <c r="F4" s="513"/>
      <c r="G4" s="513"/>
      <c r="H4" s="38"/>
      <c r="I4" s="38"/>
      <c r="J4" s="38"/>
      <c r="K4" s="38"/>
      <c r="L4" s="38"/>
      <c r="M4" s="38"/>
      <c r="N4" s="38"/>
      <c r="O4" s="38"/>
      <c r="P4" s="38"/>
      <c r="Q4" s="27"/>
      <c r="R4" s="27"/>
      <c r="S4" s="83"/>
    </row>
    <row r="5" spans="1:19" ht="12.75" customHeight="1" x14ac:dyDescent="0.25">
      <c r="A5" s="38"/>
      <c r="B5" s="38"/>
      <c r="C5" s="38"/>
      <c r="D5" s="38"/>
      <c r="E5" s="38"/>
      <c r="F5" s="38"/>
      <c r="G5" s="38"/>
      <c r="H5" s="38"/>
      <c r="I5" s="38"/>
      <c r="J5" s="38"/>
      <c r="K5" s="38"/>
      <c r="L5" s="38"/>
      <c r="M5" s="38"/>
      <c r="N5" s="38"/>
      <c r="O5" s="38"/>
      <c r="P5" s="38"/>
      <c r="Q5" s="27"/>
      <c r="R5" s="27"/>
      <c r="S5" s="83"/>
    </row>
    <row r="6" spans="1:19" ht="32.25" customHeight="1" x14ac:dyDescent="0.25">
      <c r="A6" s="38"/>
      <c r="B6" s="152" t="s">
        <v>194</v>
      </c>
      <c r="C6" s="152" t="s">
        <v>82</v>
      </c>
      <c r="D6" s="152" t="s">
        <v>83</v>
      </c>
      <c r="E6" s="153" t="s">
        <v>86</v>
      </c>
      <c r="F6" s="153" t="s">
        <v>87</v>
      </c>
      <c r="G6" s="153" t="s">
        <v>361</v>
      </c>
      <c r="H6" s="153" t="s">
        <v>362</v>
      </c>
      <c r="I6" s="153" t="s">
        <v>363</v>
      </c>
      <c r="J6" s="153" t="s">
        <v>215</v>
      </c>
      <c r="K6" s="153" t="s">
        <v>52</v>
      </c>
      <c r="L6" s="153" t="s">
        <v>53</v>
      </c>
      <c r="M6" s="152" t="s">
        <v>54</v>
      </c>
      <c r="N6" s="153" t="s">
        <v>97</v>
      </c>
      <c r="O6" s="152" t="s">
        <v>344</v>
      </c>
      <c r="P6" s="152" t="s">
        <v>71</v>
      </c>
      <c r="S6" s="83"/>
    </row>
    <row r="7" spans="1:19" ht="20.25" hidden="1" customHeight="1" x14ac:dyDescent="0.25">
      <c r="A7" s="38"/>
      <c r="B7" s="246" t="s">
        <v>100</v>
      </c>
      <c r="C7" s="246"/>
      <c r="D7" s="246" t="s">
        <v>102</v>
      </c>
      <c r="E7" s="245" t="s">
        <v>364</v>
      </c>
      <c r="F7" s="245" t="s">
        <v>105</v>
      </c>
      <c r="G7" s="245" t="s">
        <v>365</v>
      </c>
      <c r="H7" s="245"/>
      <c r="I7" s="245" t="s">
        <v>51</v>
      </c>
      <c r="J7" s="245" t="s">
        <v>108</v>
      </c>
      <c r="K7" s="245" t="s">
        <v>109</v>
      </c>
      <c r="L7" s="245" t="s">
        <v>110</v>
      </c>
      <c r="M7" s="246" t="s">
        <v>111</v>
      </c>
      <c r="N7" s="245" t="s">
        <v>112</v>
      </c>
      <c r="O7" s="246" t="s">
        <v>114</v>
      </c>
      <c r="P7" s="246" t="s">
        <v>113</v>
      </c>
      <c r="S7" s="83"/>
    </row>
    <row r="8" spans="1:19" x14ac:dyDescent="0.25">
      <c r="A8" s="38"/>
      <c r="B8" s="220">
        <v>1</v>
      </c>
      <c r="C8" s="220" t="s">
        <v>75</v>
      </c>
      <c r="D8" s="41"/>
      <c r="E8" s="84"/>
      <c r="F8" s="84"/>
      <c r="G8" s="41"/>
      <c r="H8" s="162"/>
      <c r="I8" s="48"/>
      <c r="J8" s="414" t="str">
        <f t="shared" ref="J8:J15" si="0">IFERROR(ROUND(IF(OR(G8="", I8=""), "", VLOOKUP(G8, $E$17:$H$24, 4, FALSE)*I8),6),"")</f>
        <v/>
      </c>
      <c r="K8" s="405" t="str">
        <f t="shared" ref="K8:K15" si="1">IFERROR(ROUND(IF(OR(G8="", I8=""), "", VLOOKUP(G8, $E$17:$H$24, 4, FALSE)*I8),6),"")</f>
        <v/>
      </c>
      <c r="L8" s="405" t="str">
        <f t="shared" ref="L8:L15" si="2">IFERROR(ROUND(IF(OR(G8="",I8=""),"",VLOOKUP(G8,$E$17:$H$24,3,FALSE)*I8),4),"")</f>
        <v/>
      </c>
      <c r="M8" s="39" t="str">
        <f>IF(OR(G8="", I8=""), "", I8*$K$27)</f>
        <v/>
      </c>
      <c r="N8" s="39"/>
      <c r="O8" s="39"/>
      <c r="P8" s="39" t="s">
        <v>366</v>
      </c>
      <c r="Q8" s="56"/>
      <c r="S8" s="83"/>
    </row>
    <row r="9" spans="1:19" x14ac:dyDescent="0.25">
      <c r="A9" s="38"/>
      <c r="B9" s="220">
        <v>2</v>
      </c>
      <c r="C9" s="220" t="s">
        <v>75</v>
      </c>
      <c r="D9" s="41"/>
      <c r="E9" s="84"/>
      <c r="F9" s="84"/>
      <c r="G9" s="41"/>
      <c r="H9" s="162"/>
      <c r="I9" s="48"/>
      <c r="J9" s="414" t="str">
        <f t="shared" si="0"/>
        <v/>
      </c>
      <c r="K9" s="405" t="str">
        <f t="shared" si="1"/>
        <v/>
      </c>
      <c r="L9" s="405" t="str">
        <f t="shared" si="2"/>
        <v/>
      </c>
      <c r="M9" s="39" t="str">
        <f t="shared" ref="M9:M15" si="3">IF(OR(G9="", I9=""), "", I9*$K$27)</f>
        <v/>
      </c>
      <c r="N9" s="39"/>
      <c r="O9" s="39"/>
      <c r="P9" s="39" t="s">
        <v>366</v>
      </c>
      <c r="Q9" s="56"/>
      <c r="S9" s="83"/>
    </row>
    <row r="10" spans="1:19" x14ac:dyDescent="0.25">
      <c r="A10" s="38"/>
      <c r="B10" s="220">
        <v>3</v>
      </c>
      <c r="C10" s="220" t="s">
        <v>75</v>
      </c>
      <c r="D10" s="41"/>
      <c r="E10" s="84"/>
      <c r="F10" s="84"/>
      <c r="G10" s="41"/>
      <c r="H10" s="162"/>
      <c r="I10" s="48"/>
      <c r="J10" s="414" t="str">
        <f t="shared" si="0"/>
        <v/>
      </c>
      <c r="K10" s="405" t="str">
        <f t="shared" si="1"/>
        <v/>
      </c>
      <c r="L10" s="405" t="str">
        <f t="shared" si="2"/>
        <v/>
      </c>
      <c r="M10" s="39" t="str">
        <f t="shared" si="3"/>
        <v/>
      </c>
      <c r="N10" s="39"/>
      <c r="O10" s="39"/>
      <c r="P10" s="39" t="s">
        <v>366</v>
      </c>
      <c r="Q10" s="56"/>
      <c r="S10" s="83"/>
    </row>
    <row r="11" spans="1:19" x14ac:dyDescent="0.25">
      <c r="A11" s="38"/>
      <c r="B11" s="220">
        <v>4</v>
      </c>
      <c r="C11" s="220" t="s">
        <v>75</v>
      </c>
      <c r="D11" s="41"/>
      <c r="E11" s="84"/>
      <c r="F11" s="84"/>
      <c r="G11" s="41"/>
      <c r="H11" s="162"/>
      <c r="I11" s="48"/>
      <c r="J11" s="414" t="str">
        <f t="shared" si="0"/>
        <v/>
      </c>
      <c r="K11" s="405" t="str">
        <f t="shared" si="1"/>
        <v/>
      </c>
      <c r="L11" s="405" t="str">
        <f t="shared" si="2"/>
        <v/>
      </c>
      <c r="M11" s="39" t="str">
        <f t="shared" si="3"/>
        <v/>
      </c>
      <c r="N11" s="39"/>
      <c r="O11" s="39"/>
      <c r="P11" s="39" t="s">
        <v>366</v>
      </c>
      <c r="Q11" s="56"/>
      <c r="S11" s="83"/>
    </row>
    <row r="12" spans="1:19" x14ac:dyDescent="0.25">
      <c r="A12" s="38"/>
      <c r="B12" s="220">
        <v>5</v>
      </c>
      <c r="C12" s="220" t="s">
        <v>75</v>
      </c>
      <c r="D12" s="41"/>
      <c r="E12" s="84"/>
      <c r="F12" s="84"/>
      <c r="G12" s="41"/>
      <c r="H12" s="162"/>
      <c r="I12" s="48"/>
      <c r="J12" s="414" t="str">
        <f t="shared" si="0"/>
        <v/>
      </c>
      <c r="K12" s="405" t="str">
        <f t="shared" si="1"/>
        <v/>
      </c>
      <c r="L12" s="405" t="str">
        <f t="shared" si="2"/>
        <v/>
      </c>
      <c r="M12" s="39" t="str">
        <f t="shared" si="3"/>
        <v/>
      </c>
      <c r="N12" s="39"/>
      <c r="O12" s="39"/>
      <c r="P12" s="39" t="s">
        <v>366</v>
      </c>
      <c r="Q12" s="56"/>
      <c r="S12" s="83"/>
    </row>
    <row r="13" spans="1:19" x14ac:dyDescent="0.25">
      <c r="A13" s="38"/>
      <c r="B13" s="220">
        <v>6</v>
      </c>
      <c r="C13" s="220" t="s">
        <v>75</v>
      </c>
      <c r="D13" s="41"/>
      <c r="E13" s="84"/>
      <c r="F13" s="84"/>
      <c r="G13" s="41"/>
      <c r="H13" s="162"/>
      <c r="I13" s="48"/>
      <c r="J13" s="414" t="str">
        <f t="shared" si="0"/>
        <v/>
      </c>
      <c r="K13" s="405" t="str">
        <f t="shared" si="1"/>
        <v/>
      </c>
      <c r="L13" s="405" t="str">
        <f t="shared" si="2"/>
        <v/>
      </c>
      <c r="M13" s="39" t="str">
        <f t="shared" si="3"/>
        <v/>
      </c>
      <c r="N13" s="39"/>
      <c r="O13" s="39"/>
      <c r="P13" s="39" t="s">
        <v>366</v>
      </c>
      <c r="Q13" s="56"/>
      <c r="S13" s="83"/>
    </row>
    <row r="14" spans="1:19" x14ac:dyDescent="0.25">
      <c r="A14" s="38"/>
      <c r="B14" s="220">
        <v>7</v>
      </c>
      <c r="C14" s="220" t="s">
        <v>75</v>
      </c>
      <c r="D14" s="41"/>
      <c r="E14" s="84"/>
      <c r="F14" s="84"/>
      <c r="G14" s="41"/>
      <c r="H14" s="162"/>
      <c r="I14" s="48"/>
      <c r="J14" s="414" t="str">
        <f t="shared" si="0"/>
        <v/>
      </c>
      <c r="K14" s="405" t="str">
        <f t="shared" si="1"/>
        <v/>
      </c>
      <c r="L14" s="405" t="str">
        <f t="shared" si="2"/>
        <v/>
      </c>
      <c r="M14" s="39" t="str">
        <f t="shared" si="3"/>
        <v/>
      </c>
      <c r="N14" s="39"/>
      <c r="O14" s="39"/>
      <c r="P14" s="39" t="s">
        <v>366</v>
      </c>
      <c r="Q14" s="56"/>
      <c r="S14" s="83"/>
    </row>
    <row r="15" spans="1:19" x14ac:dyDescent="0.25">
      <c r="A15" s="38"/>
      <c r="B15" s="220">
        <v>8</v>
      </c>
      <c r="C15" s="220" t="s">
        <v>75</v>
      </c>
      <c r="D15" s="41"/>
      <c r="E15" s="84"/>
      <c r="F15" s="84"/>
      <c r="G15" s="41"/>
      <c r="H15" s="162"/>
      <c r="I15" s="48"/>
      <c r="J15" s="414" t="str">
        <f t="shared" si="0"/>
        <v/>
      </c>
      <c r="K15" s="405" t="str">
        <f t="shared" si="1"/>
        <v/>
      </c>
      <c r="L15" s="405" t="str">
        <f t="shared" si="2"/>
        <v/>
      </c>
      <c r="M15" s="39" t="str">
        <f t="shared" si="3"/>
        <v/>
      </c>
      <c r="N15" s="39"/>
      <c r="O15" s="39"/>
      <c r="P15" s="39" t="s">
        <v>366</v>
      </c>
      <c r="Q15" s="56"/>
      <c r="S15" s="83"/>
    </row>
    <row r="16" spans="1:19" hidden="1" x14ac:dyDescent="0.25">
      <c r="A16" s="27"/>
      <c r="D16" s="161"/>
      <c r="I16" s="314">
        <f>SUM(I8:I15)</f>
        <v>0</v>
      </c>
      <c r="K16" s="314">
        <f>SUM(K8:K15)</f>
        <v>0</v>
      </c>
      <c r="L16" s="314">
        <f>SUM(L8:L15)</f>
        <v>0</v>
      </c>
      <c r="M16" s="314">
        <f>SUM(M8:M15)</f>
        <v>0</v>
      </c>
      <c r="S16" s="83"/>
    </row>
    <row r="17" spans="1:19" ht="30" hidden="1" x14ac:dyDescent="0.25">
      <c r="A17" s="27"/>
      <c r="D17" s="161"/>
      <c r="E17" s="222" t="s">
        <v>361</v>
      </c>
      <c r="F17" s="222" t="s">
        <v>362</v>
      </c>
      <c r="G17" s="222" t="s">
        <v>367</v>
      </c>
      <c r="H17" s="222" t="s">
        <v>368</v>
      </c>
      <c r="K17" s="222" t="s">
        <v>361</v>
      </c>
      <c r="S17" s="83"/>
    </row>
    <row r="18" spans="1:19" hidden="1" x14ac:dyDescent="0.25">
      <c r="A18" s="27"/>
      <c r="D18" s="161"/>
      <c r="E18" s="6" t="s">
        <v>369</v>
      </c>
      <c r="F18" s="6"/>
      <c r="G18" s="6">
        <v>123</v>
      </c>
      <c r="H18" s="6">
        <v>1.6E-2</v>
      </c>
      <c r="K18" s="6" t="s">
        <v>369</v>
      </c>
      <c r="S18" s="83"/>
    </row>
    <row r="19" spans="1:19" hidden="1" x14ac:dyDescent="0.25">
      <c r="A19" s="27"/>
      <c r="D19" s="161"/>
      <c r="E19" s="6" t="s">
        <v>370</v>
      </c>
      <c r="F19" s="6"/>
      <c r="G19" s="6">
        <v>535</v>
      </c>
      <c r="H19" s="6">
        <v>6.59E-2</v>
      </c>
      <c r="K19" s="6" t="s">
        <v>370</v>
      </c>
      <c r="S19" s="83"/>
    </row>
    <row r="20" spans="1:19" hidden="1" x14ac:dyDescent="0.25">
      <c r="A20" s="27"/>
      <c r="D20" s="161"/>
      <c r="E20" s="6" t="s">
        <v>371</v>
      </c>
      <c r="F20" s="6"/>
      <c r="G20" s="6">
        <v>19</v>
      </c>
      <c r="H20" s="6">
        <v>2.5000000000000001E-3</v>
      </c>
      <c r="K20" s="6" t="s">
        <v>371</v>
      </c>
      <c r="S20" s="83"/>
    </row>
    <row r="21" spans="1:19" hidden="1" x14ac:dyDescent="0.25">
      <c r="A21" s="27"/>
      <c r="D21" s="161"/>
      <c r="E21" s="6" t="s">
        <v>372</v>
      </c>
      <c r="F21" s="6"/>
      <c r="G21" s="6">
        <v>31</v>
      </c>
      <c r="H21" s="6">
        <v>3.8E-3</v>
      </c>
      <c r="K21" s="6" t="s">
        <v>372</v>
      </c>
      <c r="S21" s="83"/>
    </row>
    <row r="22" spans="1:19" hidden="1" x14ac:dyDescent="0.25">
      <c r="A22" s="27"/>
      <c r="D22" s="161"/>
      <c r="E22" s="6" t="s">
        <v>373</v>
      </c>
      <c r="F22" s="6"/>
      <c r="G22" s="6">
        <v>24</v>
      </c>
      <c r="H22" s="6">
        <v>3.0999999999999999E-3</v>
      </c>
      <c r="K22" s="6" t="s">
        <v>373</v>
      </c>
      <c r="S22" s="83"/>
    </row>
    <row r="23" spans="1:19" hidden="1" x14ac:dyDescent="0.25">
      <c r="A23" s="27"/>
      <c r="D23" s="161"/>
      <c r="E23" s="6" t="s">
        <v>374</v>
      </c>
      <c r="F23" s="6"/>
      <c r="G23" s="6">
        <v>129</v>
      </c>
      <c r="H23" s="6">
        <v>1.5800000000000002E-2</v>
      </c>
      <c r="K23" s="6" t="s">
        <v>374</v>
      </c>
      <c r="S23" s="83"/>
    </row>
    <row r="24" spans="1:19" hidden="1" x14ac:dyDescent="0.25">
      <c r="A24" s="27"/>
      <c r="D24" s="161"/>
      <c r="E24" s="6" t="s">
        <v>375</v>
      </c>
      <c r="F24" s="6"/>
      <c r="G24" s="6">
        <v>410</v>
      </c>
      <c r="H24" s="6">
        <v>5.3199999999999997E-2</v>
      </c>
      <c r="K24" s="6" t="s">
        <v>375</v>
      </c>
      <c r="S24" s="83"/>
    </row>
    <row r="25" spans="1:19" hidden="1" x14ac:dyDescent="0.25">
      <c r="A25" s="27"/>
      <c r="D25" s="161"/>
      <c r="F25" s="33"/>
      <c r="G25" s="33"/>
      <c r="H25" s="33"/>
      <c r="S25" s="83"/>
    </row>
    <row r="26" spans="1:19" hidden="1" x14ac:dyDescent="0.25">
      <c r="A26" s="27"/>
      <c r="D26" s="161"/>
      <c r="F26" s="33"/>
      <c r="G26" s="33"/>
      <c r="H26" s="33"/>
      <c r="K26" s="221" t="s">
        <v>54</v>
      </c>
      <c r="S26" s="83"/>
    </row>
    <row r="27" spans="1:19" ht="17.25" hidden="1" x14ac:dyDescent="0.25">
      <c r="A27" s="27"/>
      <c r="D27" s="161"/>
      <c r="F27" s="33"/>
      <c r="G27" s="33"/>
      <c r="H27" s="33"/>
      <c r="K27" s="211">
        <f>2*'Project Summary'!M12</f>
        <v>1</v>
      </c>
      <c r="L27" s="46" t="s">
        <v>376</v>
      </c>
      <c r="S27" s="83"/>
    </row>
    <row r="28" spans="1:19" hidden="1" x14ac:dyDescent="0.25">
      <c r="A28" s="27"/>
      <c r="D28" s="161"/>
      <c r="F28" s="33"/>
      <c r="G28" s="33"/>
      <c r="H28" s="33"/>
      <c r="S28" s="83"/>
    </row>
    <row r="29" spans="1:19" hidden="1" x14ac:dyDescent="0.25">
      <c r="A29" s="27"/>
      <c r="D29" s="161"/>
      <c r="F29" s="33"/>
      <c r="G29" s="33"/>
      <c r="H29" s="33"/>
      <c r="K29" s="14" t="s">
        <v>83</v>
      </c>
      <c r="S29" s="83"/>
    </row>
    <row r="30" spans="1:19" hidden="1" x14ac:dyDescent="0.25">
      <c r="A30" s="27"/>
      <c r="D30" s="161"/>
      <c r="F30" s="33"/>
      <c r="G30" s="33"/>
      <c r="H30" s="33"/>
      <c r="K30" s="19" t="s">
        <v>124</v>
      </c>
      <c r="S30" s="83"/>
    </row>
    <row r="31" spans="1:19" hidden="1" x14ac:dyDescent="0.25">
      <c r="A31" s="27"/>
      <c r="D31" s="161"/>
      <c r="F31" s="33"/>
      <c r="G31" s="33"/>
      <c r="H31" s="33"/>
      <c r="K31" s="19" t="s">
        <v>130</v>
      </c>
      <c r="S31" s="83"/>
    </row>
    <row r="32" spans="1:19" hidden="1" x14ac:dyDescent="0.25">
      <c r="A32" s="27"/>
      <c r="D32" s="161"/>
      <c r="F32" s="33"/>
      <c r="G32" s="33"/>
      <c r="H32" s="33"/>
      <c r="S32" s="83"/>
    </row>
    <row r="33" spans="1:19" hidden="1" x14ac:dyDescent="0.25">
      <c r="A33" s="27"/>
      <c r="D33" s="161"/>
      <c r="F33" s="33"/>
      <c r="G33" s="33"/>
      <c r="H33" s="33"/>
      <c r="K33" s="45" t="s">
        <v>268</v>
      </c>
      <c r="S33" s="83"/>
    </row>
    <row r="34" spans="1:19" hidden="1" x14ac:dyDescent="0.25">
      <c r="A34" s="27"/>
      <c r="D34" s="161"/>
      <c r="F34" s="33"/>
      <c r="G34" s="33"/>
      <c r="H34" s="33"/>
      <c r="K34" s="5">
        <v>4</v>
      </c>
      <c r="S34" s="83"/>
    </row>
    <row r="35" spans="1:19" hidden="1" x14ac:dyDescent="0.25">
      <c r="A35" s="27"/>
      <c r="D35" s="161"/>
      <c r="F35" s="33"/>
      <c r="G35" s="33"/>
      <c r="H35" s="33"/>
      <c r="S35" s="83"/>
    </row>
    <row r="36" spans="1:19" hidden="1" x14ac:dyDescent="0.25">
      <c r="A36" s="27"/>
      <c r="D36" s="161"/>
      <c r="F36" s="33"/>
      <c r="G36" s="33"/>
      <c r="H36" s="33"/>
      <c r="K36" s="45" t="s">
        <v>357</v>
      </c>
      <c r="S36" s="83"/>
    </row>
    <row r="37" spans="1:19" hidden="1" x14ac:dyDescent="0.25">
      <c r="A37" s="27"/>
      <c r="D37" s="161"/>
      <c r="F37" s="33"/>
      <c r="G37" s="33"/>
      <c r="H37" s="33"/>
      <c r="K37" s="47">
        <v>1</v>
      </c>
      <c r="S37" s="83"/>
    </row>
    <row r="38" spans="1:19" hidden="1" x14ac:dyDescent="0.25">
      <c r="A38" s="27"/>
      <c r="D38" s="161"/>
      <c r="F38" s="33"/>
      <c r="G38" s="33"/>
      <c r="H38" s="33"/>
      <c r="S38" s="83"/>
    </row>
    <row r="39" spans="1:19" x14ac:dyDescent="0.25">
      <c r="A39" s="83"/>
      <c r="B39" s="83"/>
      <c r="C39" s="83"/>
      <c r="D39" s="83"/>
      <c r="E39" s="83"/>
      <c r="F39" s="83"/>
      <c r="G39" s="83"/>
      <c r="H39" s="83"/>
      <c r="I39" s="83"/>
      <c r="J39" s="83"/>
      <c r="K39" s="83"/>
      <c r="L39" s="83"/>
      <c r="M39" s="83"/>
      <c r="N39" s="83"/>
      <c r="O39" s="83"/>
      <c r="P39" s="83"/>
      <c r="S39" s="83"/>
    </row>
    <row r="40" spans="1:19" x14ac:dyDescent="0.25">
      <c r="A40" s="83"/>
      <c r="B40" s="83"/>
      <c r="C40" s="83"/>
      <c r="D40" s="83"/>
      <c r="E40" s="83"/>
      <c r="F40" s="83"/>
      <c r="G40" s="83"/>
      <c r="H40" s="83"/>
      <c r="I40" s="83"/>
      <c r="J40" s="83"/>
      <c r="K40" s="83"/>
      <c r="L40" s="83"/>
      <c r="M40" s="83"/>
      <c r="N40" s="83"/>
      <c r="O40" s="83"/>
      <c r="P40" s="83"/>
      <c r="S40" s="83"/>
    </row>
    <row r="41" spans="1:19" s="82" customFormat="1" x14ac:dyDescent="0.25"/>
    <row r="42" spans="1:19" s="82" customFormat="1" x14ac:dyDescent="0.25"/>
    <row r="43" spans="1:19" s="82" customFormat="1" x14ac:dyDescent="0.25"/>
    <row r="44" spans="1:19" s="82" customFormat="1" x14ac:dyDescent="0.25"/>
    <row r="45" spans="1:19" s="82" customFormat="1" x14ac:dyDescent="0.25"/>
    <row r="46" spans="1:19" s="82" customFormat="1" x14ac:dyDescent="0.25"/>
    <row r="47" spans="1:19" s="82" customFormat="1" x14ac:dyDescent="0.25"/>
    <row r="48" spans="1:19"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sheetData>
  <sheetProtection algorithmName="SHA-512" hashValue="FekR/EG+1rnoCKfQSeCTFEfz6l86JXDshsLvl+87wW7rmkSvu0f/juyPwp1VeyAoBGP8KDp9N/o+yNxiXcb9bw==" saltValue="91en84MGxNUbhKw5+XeMGg==" spinCount="100000" sheet="1" selectLockedCells="1"/>
  <mergeCells count="3">
    <mergeCell ref="B3:C3"/>
    <mergeCell ref="D3:G4"/>
    <mergeCell ref="B2:M2"/>
  </mergeCells>
  <dataValidations count="3">
    <dataValidation type="list" allowBlank="1" showInputMessage="1" showErrorMessage="1" sqref="H8:H15" xr:uid="{00000000-0002-0000-0600-000000000000}">
      <formula1>$F$18:$F$20</formula1>
    </dataValidation>
    <dataValidation type="list" allowBlank="1" showInputMessage="1" showErrorMessage="1" sqref="G8:G15" xr:uid="{00000000-0002-0000-0600-000001000000}">
      <formula1>$K$18:$K$24</formula1>
    </dataValidation>
    <dataValidation type="list" allowBlank="1" showInputMessage="1" showErrorMessage="1" sqref="D8:D15" xr:uid="{00000000-0002-0000-0600-000002000000}">
      <formula1>$K$30:$K$31</formula1>
    </dataValidation>
  </dataValidations>
  <hyperlinks>
    <hyperlink ref="B3" location="'Calculator Index'!A1" display="Return to Index" xr:uid="{00000000-0004-0000-06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V1064"/>
  <sheetViews>
    <sheetView zoomScale="90" zoomScaleNormal="90" workbookViewId="0">
      <selection activeCell="B3" sqref="B3:C3"/>
    </sheetView>
  </sheetViews>
  <sheetFormatPr defaultRowHeight="15" x14ac:dyDescent="0.25"/>
  <cols>
    <col min="1" max="1" width="3.7109375" customWidth="1"/>
    <col min="2" max="2" width="7.140625" customWidth="1"/>
    <col min="3" max="3" width="29" customWidth="1"/>
    <col min="4" max="5" width="19" customWidth="1"/>
    <col min="6" max="6" width="19.85546875" customWidth="1"/>
    <col min="7" max="7" width="18.5703125" customWidth="1"/>
    <col min="8" max="8" width="15.85546875" customWidth="1"/>
    <col min="9" max="9" width="14.5703125" bestFit="1" customWidth="1"/>
    <col min="10" max="10" width="14.5703125" customWidth="1"/>
    <col min="11" max="11" width="14.5703125" hidden="1" customWidth="1"/>
    <col min="12" max="12" width="17" bestFit="1" customWidth="1"/>
    <col min="13" max="13" width="17.28515625" customWidth="1"/>
    <col min="14" max="14" width="17.7109375" bestFit="1" customWidth="1"/>
    <col min="15" max="15" width="18" hidden="1" customWidth="1"/>
    <col min="16" max="16" width="13.7109375" hidden="1" customWidth="1"/>
    <col min="17" max="17" width="31.85546875" hidden="1" customWidth="1"/>
    <col min="18" max="18" width="7.28515625" customWidth="1"/>
    <col min="19" max="178" width="9.140625" style="82"/>
  </cols>
  <sheetData>
    <row r="1" spans="1:18" ht="19.5" customHeight="1" x14ac:dyDescent="0.25">
      <c r="A1" s="38"/>
      <c r="B1" s="38"/>
      <c r="C1" s="38"/>
      <c r="D1" s="38"/>
      <c r="E1" s="38"/>
      <c r="F1" s="38"/>
      <c r="G1" s="38"/>
      <c r="H1" s="38"/>
      <c r="I1" s="38"/>
      <c r="J1" s="38"/>
      <c r="K1" s="38"/>
      <c r="L1" s="38"/>
      <c r="M1" s="38"/>
      <c r="N1" s="38"/>
      <c r="O1" s="27" t="s">
        <v>76</v>
      </c>
      <c r="P1" s="27" t="s">
        <v>377</v>
      </c>
      <c r="Q1" s="27"/>
      <c r="R1" s="83"/>
    </row>
    <row r="2" spans="1:18" ht="27" customHeight="1" x14ac:dyDescent="0.25">
      <c r="A2" s="38"/>
      <c r="B2" s="530" t="s">
        <v>378</v>
      </c>
      <c r="C2" s="531"/>
      <c r="D2" s="531"/>
      <c r="E2" s="531"/>
      <c r="F2" s="531"/>
      <c r="G2" s="531"/>
      <c r="H2" s="531"/>
      <c r="I2" s="531"/>
      <c r="J2" s="531"/>
      <c r="K2" s="531"/>
      <c r="L2" s="531"/>
      <c r="M2" s="531"/>
      <c r="N2" s="531"/>
      <c r="O2" s="27"/>
      <c r="P2" s="27"/>
      <c r="Q2" s="27"/>
      <c r="R2" s="83"/>
    </row>
    <row r="3" spans="1:18" ht="23.25" customHeight="1" x14ac:dyDescent="0.25">
      <c r="A3" s="38"/>
      <c r="B3" s="505" t="s">
        <v>79</v>
      </c>
      <c r="C3" s="506"/>
      <c r="D3" s="513" t="s">
        <v>379</v>
      </c>
      <c r="E3" s="513"/>
      <c r="F3" s="513"/>
      <c r="G3" s="513"/>
      <c r="H3" s="513"/>
      <c r="I3" s="513"/>
      <c r="J3" s="38"/>
      <c r="K3" s="38"/>
      <c r="L3" s="38"/>
      <c r="M3" s="38"/>
      <c r="N3" s="38"/>
      <c r="O3" s="27"/>
      <c r="P3" s="27"/>
      <c r="Q3" s="27"/>
      <c r="R3" s="83"/>
    </row>
    <row r="4" spans="1:18" ht="27.75" customHeight="1" x14ac:dyDescent="0.25">
      <c r="A4" s="38"/>
      <c r="B4" s="38"/>
      <c r="C4" s="38"/>
      <c r="D4" s="513"/>
      <c r="E4" s="513"/>
      <c r="F4" s="513"/>
      <c r="G4" s="513"/>
      <c r="H4" s="513"/>
      <c r="I4" s="513"/>
      <c r="J4" s="38"/>
      <c r="K4" s="38"/>
      <c r="L4" s="38"/>
      <c r="M4" s="38"/>
      <c r="N4" s="38"/>
      <c r="O4" s="27"/>
      <c r="P4" s="27"/>
      <c r="Q4" s="27"/>
      <c r="R4" s="83"/>
    </row>
    <row r="5" spans="1:18" ht="12.75" customHeight="1" x14ac:dyDescent="0.25">
      <c r="A5" s="38"/>
      <c r="B5" s="38"/>
      <c r="C5" s="38"/>
      <c r="D5" s="38"/>
      <c r="E5" s="38"/>
      <c r="F5" s="38"/>
      <c r="G5" s="38"/>
      <c r="H5" s="38"/>
      <c r="I5" s="38"/>
      <c r="J5" s="38"/>
      <c r="K5" s="38"/>
      <c r="L5" s="38"/>
      <c r="M5" s="38"/>
      <c r="N5" s="38"/>
      <c r="O5" s="27"/>
      <c r="P5" s="27"/>
      <c r="Q5" s="27"/>
      <c r="R5" s="83"/>
    </row>
    <row r="6" spans="1:18" ht="32.25" customHeight="1" x14ac:dyDescent="0.25">
      <c r="A6" s="38"/>
      <c r="B6" s="153" t="s">
        <v>194</v>
      </c>
      <c r="C6" s="153" t="s">
        <v>82</v>
      </c>
      <c r="D6" s="153" t="s">
        <v>83</v>
      </c>
      <c r="E6" s="153" t="s">
        <v>196</v>
      </c>
      <c r="F6" s="153" t="s">
        <v>86</v>
      </c>
      <c r="G6" s="153" t="s">
        <v>87</v>
      </c>
      <c r="H6" s="153" t="s">
        <v>380</v>
      </c>
      <c r="I6" s="153" t="s">
        <v>381</v>
      </c>
      <c r="J6" s="153" t="s">
        <v>382</v>
      </c>
      <c r="K6" s="153" t="s">
        <v>215</v>
      </c>
      <c r="L6" s="153" t="s">
        <v>383</v>
      </c>
      <c r="M6" s="153" t="s">
        <v>96</v>
      </c>
      <c r="N6" s="153" t="s">
        <v>70</v>
      </c>
      <c r="O6" s="154" t="s">
        <v>97</v>
      </c>
      <c r="P6" s="154" t="s">
        <v>217</v>
      </c>
      <c r="Q6" s="251" t="s">
        <v>71</v>
      </c>
      <c r="R6" s="83"/>
    </row>
    <row r="7" spans="1:18" ht="21.75" hidden="1" customHeight="1" x14ac:dyDescent="0.25">
      <c r="A7" s="38"/>
      <c r="B7" s="245" t="s">
        <v>100</v>
      </c>
      <c r="C7" s="245"/>
      <c r="D7" s="245" t="s">
        <v>102</v>
      </c>
      <c r="E7" s="245" t="s">
        <v>103</v>
      </c>
      <c r="F7" s="245" t="s">
        <v>104</v>
      </c>
      <c r="G7" s="245" t="s">
        <v>105</v>
      </c>
      <c r="H7" s="245" t="s">
        <v>384</v>
      </c>
      <c r="I7" s="245" t="s">
        <v>51</v>
      </c>
      <c r="J7" s="245" t="s">
        <v>385</v>
      </c>
      <c r="K7" s="245" t="s">
        <v>108</v>
      </c>
      <c r="L7" s="245" t="s">
        <v>109</v>
      </c>
      <c r="M7" s="245" t="s">
        <v>110</v>
      </c>
      <c r="N7" s="245" t="s">
        <v>111</v>
      </c>
      <c r="O7" s="245" t="s">
        <v>112</v>
      </c>
      <c r="P7" s="245" t="s">
        <v>114</v>
      </c>
      <c r="Q7" s="245" t="s">
        <v>113</v>
      </c>
      <c r="R7" s="83"/>
    </row>
    <row r="8" spans="1:18" x14ac:dyDescent="0.25">
      <c r="A8" s="38"/>
      <c r="B8" s="220">
        <v>1</v>
      </c>
      <c r="C8" s="220" t="s">
        <v>60</v>
      </c>
      <c r="D8" s="11"/>
      <c r="E8" s="11"/>
      <c r="F8" s="84"/>
      <c r="G8" s="84"/>
      <c r="H8" s="11"/>
      <c r="I8" s="11"/>
      <c r="J8" s="181"/>
      <c r="K8" s="43">
        <f t="shared" ref="K8:K15" si="0">I8*IF(H8=$H$19, VLOOKUP(J8, $H$20:$K$22, 4, FALSE), IF(H8=$H$23, VLOOKUP(J8, $H$24:$K$26, 4, FALSE), 0))</f>
        <v>0</v>
      </c>
      <c r="L8" s="405">
        <f>I8*IF(H8=$H$19, VLOOKUP(J8, $H$20:$J$22, 3, FALSE), IF(H8=$H$23, VLOOKUP(J8, $H$24:$J$26, 3, FALSE), 0))</f>
        <v>0</v>
      </c>
      <c r="M8" s="405">
        <f t="shared" ref="M8:M15" si="1">IFERROR(ROUND(IF(H8=$H$19, VLOOKUP(J8, $H$20:$J$22, 2, FALSE), IF(H8=$H$23, VLOOKUP(J8, $H$24:$J$26, 2, FALSE), 0))*I8,4),"")</f>
        <v>0</v>
      </c>
      <c r="N8" s="39" t="str">
        <f t="shared" ref="N8:N15" si="2">IF(I8="", "", I8*$N$25)</f>
        <v/>
      </c>
      <c r="O8" s="56">
        <f t="shared" ref="O8:O15" si="3">E8</f>
        <v>0</v>
      </c>
      <c r="P8" t="str">
        <f t="shared" ref="P8:P15" si="4">IF(M8&gt;0,"Yes","No")</f>
        <v>No</v>
      </c>
      <c r="Q8" t="s">
        <v>386</v>
      </c>
      <c r="R8" s="83"/>
    </row>
    <row r="9" spans="1:18" x14ac:dyDescent="0.25">
      <c r="A9" s="38"/>
      <c r="B9" s="220">
        <v>2</v>
      </c>
      <c r="C9" s="220" t="s">
        <v>60</v>
      </c>
      <c r="D9" s="11"/>
      <c r="E9" s="11"/>
      <c r="F9" s="84"/>
      <c r="G9" s="84"/>
      <c r="H9" s="11"/>
      <c r="I9" s="49"/>
      <c r="J9" s="187"/>
      <c r="K9" s="43">
        <f t="shared" si="0"/>
        <v>0</v>
      </c>
      <c r="L9" s="405">
        <f t="shared" ref="L9:L15" si="5">I9*IF(H9=$H$19, VLOOKUP(J9, $H$20:$J$22, 3, FALSE), IF(H9=$H$23, VLOOKUP(J9, $H$24:$J$26, 3, FALSE), 0))</f>
        <v>0</v>
      </c>
      <c r="M9" s="405">
        <f t="shared" si="1"/>
        <v>0</v>
      </c>
      <c r="N9" s="39" t="str">
        <f t="shared" si="2"/>
        <v/>
      </c>
      <c r="O9" s="56">
        <f t="shared" si="3"/>
        <v>0</v>
      </c>
      <c r="P9" t="str">
        <f t="shared" si="4"/>
        <v>No</v>
      </c>
      <c r="Q9" t="s">
        <v>386</v>
      </c>
      <c r="R9" s="83"/>
    </row>
    <row r="10" spans="1:18" x14ac:dyDescent="0.25">
      <c r="A10" s="38"/>
      <c r="B10" s="220">
        <v>3</v>
      </c>
      <c r="C10" s="220" t="s">
        <v>60</v>
      </c>
      <c r="D10" s="11"/>
      <c r="E10" s="11"/>
      <c r="F10" s="84"/>
      <c r="G10" s="84"/>
      <c r="H10" s="11"/>
      <c r="I10" s="11"/>
      <c r="J10" s="187"/>
      <c r="K10" s="43">
        <f t="shared" si="0"/>
        <v>0</v>
      </c>
      <c r="L10" s="405">
        <f t="shared" si="5"/>
        <v>0</v>
      </c>
      <c r="M10" s="405">
        <f t="shared" si="1"/>
        <v>0</v>
      </c>
      <c r="N10" s="39" t="str">
        <f t="shared" si="2"/>
        <v/>
      </c>
      <c r="O10" s="56">
        <f t="shared" si="3"/>
        <v>0</v>
      </c>
      <c r="P10" t="str">
        <f t="shared" si="4"/>
        <v>No</v>
      </c>
      <c r="Q10" t="s">
        <v>386</v>
      </c>
      <c r="R10" s="83"/>
    </row>
    <row r="11" spans="1:18" x14ac:dyDescent="0.25">
      <c r="A11" s="38"/>
      <c r="B11" s="220">
        <v>4</v>
      </c>
      <c r="C11" s="220" t="s">
        <v>60</v>
      </c>
      <c r="D11" s="11"/>
      <c r="E11" s="11"/>
      <c r="F11" s="84"/>
      <c r="G11" s="84"/>
      <c r="H11" s="11"/>
      <c r="I11" s="49"/>
      <c r="J11" s="187"/>
      <c r="K11" s="43">
        <f t="shared" si="0"/>
        <v>0</v>
      </c>
      <c r="L11" s="405">
        <f t="shared" si="5"/>
        <v>0</v>
      </c>
      <c r="M11" s="405">
        <f t="shared" si="1"/>
        <v>0</v>
      </c>
      <c r="N11" s="39" t="str">
        <f t="shared" si="2"/>
        <v/>
      </c>
      <c r="O11" s="56">
        <f t="shared" si="3"/>
        <v>0</v>
      </c>
      <c r="P11" t="str">
        <f t="shared" si="4"/>
        <v>No</v>
      </c>
      <c r="Q11" t="s">
        <v>386</v>
      </c>
      <c r="R11" s="83"/>
    </row>
    <row r="12" spans="1:18" x14ac:dyDescent="0.25">
      <c r="A12" s="38"/>
      <c r="B12" s="220">
        <v>5</v>
      </c>
      <c r="C12" s="220" t="s">
        <v>60</v>
      </c>
      <c r="D12" s="11"/>
      <c r="E12" s="11"/>
      <c r="F12" s="84"/>
      <c r="G12" s="84"/>
      <c r="H12" s="11"/>
      <c r="I12" s="11"/>
      <c r="J12" s="187"/>
      <c r="K12" s="43">
        <f t="shared" si="0"/>
        <v>0</v>
      </c>
      <c r="L12" s="405">
        <f t="shared" si="5"/>
        <v>0</v>
      </c>
      <c r="M12" s="405">
        <f t="shared" si="1"/>
        <v>0</v>
      </c>
      <c r="N12" s="39" t="str">
        <f t="shared" si="2"/>
        <v/>
      </c>
      <c r="O12" s="56">
        <f t="shared" si="3"/>
        <v>0</v>
      </c>
      <c r="P12" t="str">
        <f t="shared" si="4"/>
        <v>No</v>
      </c>
      <c r="Q12" t="s">
        <v>386</v>
      </c>
      <c r="R12" s="83"/>
    </row>
    <row r="13" spans="1:18" x14ac:dyDescent="0.25">
      <c r="A13" s="38"/>
      <c r="B13" s="220">
        <v>6</v>
      </c>
      <c r="C13" s="220" t="s">
        <v>60</v>
      </c>
      <c r="D13" s="11"/>
      <c r="E13" s="11"/>
      <c r="F13" s="84"/>
      <c r="G13" s="84"/>
      <c r="H13" s="11"/>
      <c r="I13" s="49"/>
      <c r="J13" s="187"/>
      <c r="K13" s="43">
        <f t="shared" si="0"/>
        <v>0</v>
      </c>
      <c r="L13" s="405">
        <f t="shared" si="5"/>
        <v>0</v>
      </c>
      <c r="M13" s="405">
        <f t="shared" si="1"/>
        <v>0</v>
      </c>
      <c r="N13" s="39" t="str">
        <f t="shared" si="2"/>
        <v/>
      </c>
      <c r="O13" s="56">
        <f t="shared" si="3"/>
        <v>0</v>
      </c>
      <c r="P13" t="str">
        <f t="shared" si="4"/>
        <v>No</v>
      </c>
      <c r="Q13" t="s">
        <v>386</v>
      </c>
      <c r="R13" s="83"/>
    </row>
    <row r="14" spans="1:18" x14ac:dyDescent="0.25">
      <c r="A14" s="38"/>
      <c r="B14" s="220">
        <v>7</v>
      </c>
      <c r="C14" s="220" t="s">
        <v>60</v>
      </c>
      <c r="D14" s="11"/>
      <c r="E14" s="11"/>
      <c r="F14" s="84"/>
      <c r="G14" s="84"/>
      <c r="H14" s="11"/>
      <c r="I14" s="49"/>
      <c r="J14" s="187"/>
      <c r="K14" s="43">
        <f t="shared" si="0"/>
        <v>0</v>
      </c>
      <c r="L14" s="405">
        <f t="shared" si="5"/>
        <v>0</v>
      </c>
      <c r="M14" s="405">
        <f t="shared" si="1"/>
        <v>0</v>
      </c>
      <c r="N14" s="39" t="str">
        <f t="shared" si="2"/>
        <v/>
      </c>
      <c r="O14" s="56">
        <f t="shared" si="3"/>
        <v>0</v>
      </c>
      <c r="P14" t="str">
        <f t="shared" si="4"/>
        <v>No</v>
      </c>
      <c r="Q14" t="s">
        <v>386</v>
      </c>
      <c r="R14" s="83"/>
    </row>
    <row r="15" spans="1:18" x14ac:dyDescent="0.25">
      <c r="A15" s="38"/>
      <c r="B15" s="220">
        <v>8</v>
      </c>
      <c r="C15" s="220" t="s">
        <v>60</v>
      </c>
      <c r="D15" s="11"/>
      <c r="E15" s="11"/>
      <c r="F15" s="84"/>
      <c r="G15" s="84"/>
      <c r="H15" s="11"/>
      <c r="I15" s="49"/>
      <c r="J15" s="187"/>
      <c r="K15" s="43">
        <f t="shared" si="0"/>
        <v>0</v>
      </c>
      <c r="L15" s="405">
        <f t="shared" si="5"/>
        <v>0</v>
      </c>
      <c r="M15" s="405">
        <f t="shared" si="1"/>
        <v>0</v>
      </c>
      <c r="N15" s="39" t="str">
        <f t="shared" si="2"/>
        <v/>
      </c>
      <c r="O15" s="56">
        <f t="shared" si="3"/>
        <v>0</v>
      </c>
      <c r="P15" t="str">
        <f t="shared" si="4"/>
        <v>No</v>
      </c>
      <c r="Q15" t="s">
        <v>386</v>
      </c>
      <c r="R15" s="83"/>
    </row>
    <row r="16" spans="1:18" hidden="1" x14ac:dyDescent="0.25">
      <c r="A16" s="27"/>
      <c r="I16">
        <f>SUM(I8:I15)</f>
        <v>0</v>
      </c>
      <c r="L16">
        <f>SUM(L8:L15)</f>
        <v>0</v>
      </c>
      <c r="M16">
        <f>SUM(M8:M15)</f>
        <v>0</v>
      </c>
      <c r="N16">
        <f>SUM(N8:N15)</f>
        <v>0</v>
      </c>
    </row>
    <row r="17" spans="1:18" hidden="1" x14ac:dyDescent="0.25">
      <c r="A17" s="27"/>
      <c r="O17" s="184"/>
      <c r="P17" s="191"/>
      <c r="Q17" s="191"/>
      <c r="R17" s="192"/>
    </row>
    <row r="18" spans="1:18" hidden="1" x14ac:dyDescent="0.25">
      <c r="A18" s="27"/>
      <c r="C18" s="86" t="s">
        <v>380</v>
      </c>
      <c r="D18" s="86" t="s">
        <v>387</v>
      </c>
      <c r="E18" s="87" t="s">
        <v>388</v>
      </c>
      <c r="H18" s="558" t="s">
        <v>389</v>
      </c>
      <c r="I18" s="559"/>
      <c r="J18" s="559"/>
      <c r="K18" s="260"/>
      <c r="L18" s="260"/>
      <c r="N18" s="45" t="s">
        <v>268</v>
      </c>
      <c r="O18" s="184"/>
      <c r="P18" s="192"/>
      <c r="Q18" s="192"/>
      <c r="R18" s="192"/>
    </row>
    <row r="19" spans="1:18" ht="18" hidden="1" x14ac:dyDescent="0.25">
      <c r="A19" s="27"/>
      <c r="C19" s="4" t="s">
        <v>390</v>
      </c>
      <c r="D19" s="194" t="s">
        <v>391</v>
      </c>
      <c r="E19" s="194">
        <v>0.13</v>
      </c>
      <c r="F19" t="s">
        <v>390</v>
      </c>
      <c r="H19" s="90" t="s">
        <v>390</v>
      </c>
      <c r="I19" s="91" t="s">
        <v>392</v>
      </c>
      <c r="J19" s="91" t="s">
        <v>393</v>
      </c>
      <c r="K19" s="91" t="s">
        <v>215</v>
      </c>
      <c r="L19" s="91" t="s">
        <v>357</v>
      </c>
      <c r="N19" s="5">
        <v>12</v>
      </c>
      <c r="O19" s="193"/>
      <c r="P19" s="193"/>
      <c r="Q19" s="193"/>
      <c r="R19" s="193"/>
    </row>
    <row r="20" spans="1:18" hidden="1" x14ac:dyDescent="0.25">
      <c r="A20" s="27"/>
      <c r="C20" s="4" t="s">
        <v>390</v>
      </c>
      <c r="D20" s="194" t="s">
        <v>394</v>
      </c>
      <c r="E20" s="195">
        <v>0.90700000000000003</v>
      </c>
      <c r="F20" t="s">
        <v>395</v>
      </c>
      <c r="H20" s="89" t="s">
        <v>396</v>
      </c>
      <c r="I20" s="188">
        <v>642</v>
      </c>
      <c r="J20" s="189">
        <v>7.1999999999999995E-2</v>
      </c>
      <c r="K20" s="189">
        <f>ROUND(J20/L20,6)</f>
        <v>0.163636</v>
      </c>
      <c r="L20" s="189">
        <v>0.44</v>
      </c>
      <c r="O20" s="184"/>
      <c r="P20" s="191"/>
      <c r="Q20" s="191"/>
      <c r="R20" s="192"/>
    </row>
    <row r="21" spans="1:18" hidden="1" x14ac:dyDescent="0.25">
      <c r="A21" s="27"/>
      <c r="C21" s="4" t="s">
        <v>390</v>
      </c>
      <c r="D21" s="194" t="s">
        <v>397</v>
      </c>
      <c r="E21" s="195">
        <v>0.45600000000000002</v>
      </c>
      <c r="H21" s="89" t="s">
        <v>398</v>
      </c>
      <c r="I21" s="188">
        <v>453</v>
      </c>
      <c r="J21" s="189">
        <v>5.1999999999999998E-2</v>
      </c>
      <c r="K21" s="189">
        <f>ROUND(J21/L21,6)</f>
        <v>0.16250000000000001</v>
      </c>
      <c r="L21" s="189">
        <v>0.32</v>
      </c>
      <c r="O21" s="184"/>
      <c r="P21" s="192"/>
      <c r="Q21" s="192"/>
      <c r="R21" s="192"/>
    </row>
    <row r="22" spans="1:18" hidden="1" x14ac:dyDescent="0.25">
      <c r="A22" s="27"/>
      <c r="C22" s="4" t="s">
        <v>390</v>
      </c>
      <c r="D22" s="194" t="s">
        <v>399</v>
      </c>
      <c r="E22" s="196">
        <v>0.58899999999999997</v>
      </c>
      <c r="H22" s="89" t="s">
        <v>400</v>
      </c>
      <c r="I22" s="189">
        <v>682</v>
      </c>
      <c r="J22" s="189">
        <v>7.2999999999999995E-2</v>
      </c>
      <c r="K22" s="189">
        <f>ROUND(J22/L22,6)</f>
        <v>0.16222200000000001</v>
      </c>
      <c r="L22" s="189">
        <v>0.45</v>
      </c>
    </row>
    <row r="23" spans="1:18" hidden="1" x14ac:dyDescent="0.25">
      <c r="A23" s="27"/>
      <c r="C23" s="4" t="s">
        <v>390</v>
      </c>
      <c r="D23" s="194" t="s">
        <v>401</v>
      </c>
      <c r="E23" s="196">
        <v>0.42799999999999999</v>
      </c>
      <c r="H23" s="190" t="s">
        <v>395</v>
      </c>
      <c r="I23" s="91" t="s">
        <v>392</v>
      </c>
      <c r="J23" s="91" t="s">
        <v>393</v>
      </c>
      <c r="K23" s="91" t="s">
        <v>215</v>
      </c>
      <c r="L23" s="91" t="s">
        <v>357</v>
      </c>
    </row>
    <row r="24" spans="1:18" hidden="1" x14ac:dyDescent="0.25">
      <c r="A24" s="27"/>
      <c r="C24" s="4" t="s">
        <v>390</v>
      </c>
      <c r="D24" s="194" t="s">
        <v>402</v>
      </c>
      <c r="E24" s="194">
        <v>1.26</v>
      </c>
      <c r="H24" s="89" t="s">
        <v>396</v>
      </c>
      <c r="I24" s="188">
        <v>770</v>
      </c>
      <c r="J24" s="189">
        <v>8.5999999999999993E-2</v>
      </c>
      <c r="K24" s="189">
        <f>ROUND(J24/L24,6)</f>
        <v>0.19545499999999999</v>
      </c>
      <c r="L24" s="189">
        <v>0.44</v>
      </c>
      <c r="N24" s="85" t="s">
        <v>403</v>
      </c>
    </row>
    <row r="25" spans="1:18" ht="18" hidden="1" x14ac:dyDescent="0.25">
      <c r="A25" s="27"/>
      <c r="C25" s="88" t="s">
        <v>395</v>
      </c>
      <c r="D25" s="194" t="s">
        <v>391</v>
      </c>
      <c r="E25" s="194">
        <v>0.13</v>
      </c>
      <c r="H25" s="89" t="s">
        <v>398</v>
      </c>
      <c r="I25" s="188">
        <v>543</v>
      </c>
      <c r="J25" s="189">
        <v>6.2E-2</v>
      </c>
      <c r="K25" s="189">
        <f>ROUND(J25/L25,6)</f>
        <v>0.19375000000000001</v>
      </c>
      <c r="L25" s="189">
        <v>0.32</v>
      </c>
      <c r="N25" s="76">
        <f>30*'Project Summary'!M12</f>
        <v>15</v>
      </c>
    </row>
    <row r="26" spans="1:18" hidden="1" x14ac:dyDescent="0.25">
      <c r="A26" s="27"/>
      <c r="C26" s="88" t="s">
        <v>395</v>
      </c>
      <c r="D26" s="194" t="s">
        <v>394</v>
      </c>
      <c r="E26" s="195">
        <v>0.90700000000000003</v>
      </c>
      <c r="H26" s="89" t="s">
        <v>400</v>
      </c>
      <c r="I26" s="189">
        <v>818</v>
      </c>
      <c r="J26" s="189">
        <v>8.7999999999999995E-2</v>
      </c>
      <c r="K26" s="189">
        <f>ROUND(J26/L26,6)</f>
        <v>0.19555600000000001</v>
      </c>
      <c r="L26" s="189">
        <v>0.45</v>
      </c>
    </row>
    <row r="27" spans="1:18" hidden="1" x14ac:dyDescent="0.25">
      <c r="A27" s="27"/>
      <c r="C27" s="88" t="s">
        <v>395</v>
      </c>
      <c r="D27" s="194" t="s">
        <v>397</v>
      </c>
      <c r="E27" s="195">
        <v>0.45600000000000002</v>
      </c>
      <c r="H27" s="184"/>
      <c r="I27" s="184"/>
      <c r="J27" s="184"/>
      <c r="K27" s="184"/>
      <c r="L27" s="184"/>
      <c r="N27" s="14" t="s">
        <v>83</v>
      </c>
    </row>
    <row r="28" spans="1:18" hidden="1" x14ac:dyDescent="0.25">
      <c r="A28" s="27"/>
      <c r="C28" s="88" t="s">
        <v>395</v>
      </c>
      <c r="D28" s="194" t="s">
        <v>399</v>
      </c>
      <c r="E28" s="196">
        <v>0.58899999999999997</v>
      </c>
      <c r="H28" s="185"/>
      <c r="I28" s="186"/>
      <c r="J28" s="186"/>
      <c r="K28" s="186"/>
      <c r="L28" s="185"/>
      <c r="N28" s="19" t="s">
        <v>124</v>
      </c>
    </row>
    <row r="29" spans="1:18" hidden="1" x14ac:dyDescent="0.25">
      <c r="A29" s="27"/>
      <c r="C29" s="88" t="s">
        <v>395</v>
      </c>
      <c r="D29" s="194" t="s">
        <v>401</v>
      </c>
      <c r="E29" s="196">
        <v>0.42799999999999999</v>
      </c>
      <c r="H29" s="185"/>
      <c r="I29" s="185"/>
      <c r="J29" s="185"/>
      <c r="K29" s="185"/>
      <c r="L29" s="185"/>
      <c r="N29" s="19" t="s">
        <v>130</v>
      </c>
    </row>
    <row r="30" spans="1:18" hidden="1" x14ac:dyDescent="0.25">
      <c r="A30" s="27"/>
      <c r="C30" s="88" t="s">
        <v>395</v>
      </c>
      <c r="D30" s="194" t="s">
        <v>402</v>
      </c>
      <c r="E30" s="194">
        <v>1.51</v>
      </c>
      <c r="H30" s="185"/>
      <c r="I30" s="185"/>
      <c r="J30" s="185"/>
      <c r="K30" s="185"/>
      <c r="L30" s="185"/>
    </row>
    <row r="31" spans="1:18" x14ac:dyDescent="0.25">
      <c r="A31" s="83"/>
      <c r="B31" s="83"/>
      <c r="C31" s="83"/>
      <c r="D31" s="83"/>
      <c r="E31" s="83"/>
      <c r="F31" s="83"/>
      <c r="G31" s="83"/>
      <c r="H31" s="83"/>
      <c r="I31" s="83"/>
      <c r="J31" s="83"/>
      <c r="K31" s="83"/>
      <c r="L31" s="83"/>
      <c r="M31" s="83"/>
      <c r="N31" s="83"/>
      <c r="O31" s="83"/>
      <c r="P31" s="83"/>
      <c r="Q31" s="83"/>
      <c r="R31" s="83"/>
    </row>
    <row r="32" spans="1:18" ht="16.5" customHeight="1" x14ac:dyDescent="0.25">
      <c r="A32" s="83"/>
      <c r="B32" s="83"/>
      <c r="C32" s="83"/>
      <c r="D32" s="83"/>
      <c r="E32" s="83"/>
      <c r="F32" s="83"/>
      <c r="G32" s="83"/>
      <c r="H32" s="83"/>
      <c r="I32" s="83"/>
      <c r="J32" s="83"/>
      <c r="K32" s="83"/>
      <c r="L32" s="83"/>
      <c r="M32" s="83"/>
      <c r="N32" s="83"/>
      <c r="O32" s="83"/>
      <c r="P32" s="83"/>
      <c r="Q32" s="83"/>
      <c r="R32" s="83"/>
    </row>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sheetData>
  <sheetProtection algorithmName="SHA-512" hashValue="ClRJ9Dipvfur+HREgbuNj/+xY54lycktZhuyDzFed4+158nZxqtZfmrNR4cQ+PwxK3Qd06yiq6Y9el1TVbdRoQ==" saltValue="CLGUA/G9eDvVQLeY8VAOxw==" spinCount="100000" sheet="1" selectLockedCells="1"/>
  <mergeCells count="4">
    <mergeCell ref="H18:J18"/>
    <mergeCell ref="B3:C3"/>
    <mergeCell ref="D3:I4"/>
    <mergeCell ref="B2:N2"/>
  </mergeCells>
  <dataValidations count="3">
    <dataValidation type="list" allowBlank="1" showInputMessage="1" showErrorMessage="1" sqref="J8:J15" xr:uid="{284DCA96-1827-4BF5-927A-6FB3BBED3814}">
      <formula1>$H$20:$H$22</formula1>
    </dataValidation>
    <dataValidation type="list" allowBlank="1" showInputMessage="1" showErrorMessage="1" sqref="D8:D15" xr:uid="{00000000-0002-0000-0700-000001000000}">
      <formula1>$N$28:$N$29</formula1>
    </dataValidation>
    <dataValidation type="list" allowBlank="1" showInputMessage="1" showErrorMessage="1" sqref="H8:H15" xr:uid="{6B7B485D-6536-4ECF-A5C3-D1BAE1ABECCF}">
      <formula1>$F$19:$F$20</formula1>
    </dataValidation>
  </dataValidations>
  <hyperlinks>
    <hyperlink ref="B3" location="'Calculator Index'!A1" display="Return to Index" xr:uid="{00000000-0004-0000-0700-000000000000}"/>
    <hyperlink ref="B3:C3" location="'Project Summary'!A1" display="Return to Project Summary" xr:uid="{00000000-0004-0000-0700-000001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T1223"/>
  <sheetViews>
    <sheetView zoomScale="90" zoomScaleNormal="90" workbookViewId="0">
      <selection activeCell="D7" sqref="D7"/>
    </sheetView>
  </sheetViews>
  <sheetFormatPr defaultRowHeight="15" x14ac:dyDescent="0.25"/>
  <cols>
    <col min="1" max="1" width="3.7109375" customWidth="1"/>
    <col min="2" max="2" width="7.5703125" customWidth="1"/>
    <col min="3" max="3" width="30.85546875" bestFit="1" customWidth="1"/>
    <col min="4" max="4" width="20.140625" customWidth="1"/>
    <col min="5" max="5" width="20" customWidth="1"/>
    <col min="6" max="6" width="20.85546875" customWidth="1"/>
    <col min="7" max="7" width="17.5703125" customWidth="1"/>
    <col min="8" max="8" width="23.85546875" customWidth="1"/>
    <col min="9" max="9" width="14.5703125" customWidth="1"/>
    <col min="10" max="10" width="15.5703125" hidden="1" customWidth="1"/>
    <col min="11" max="11" width="14.140625" hidden="1" customWidth="1"/>
    <col min="12" max="12" width="18.7109375" customWidth="1"/>
    <col min="13" max="13" width="19.42578125" customWidth="1"/>
    <col min="14" max="14" width="11.140625" customWidth="1"/>
    <col min="15" max="15" width="15.85546875" hidden="1" customWidth="1"/>
    <col min="16" max="16" width="14.85546875" hidden="1" customWidth="1"/>
    <col min="17" max="17" width="6.42578125" customWidth="1"/>
    <col min="18" max="150" width="9.140625" style="82"/>
  </cols>
  <sheetData>
    <row r="1" spans="1:17" ht="19.5" customHeight="1" x14ac:dyDescent="0.25">
      <c r="A1" s="38"/>
      <c r="B1" s="38"/>
      <c r="C1" s="38"/>
      <c r="D1" s="38"/>
      <c r="E1" s="38"/>
      <c r="F1" s="38"/>
      <c r="G1" s="38"/>
      <c r="H1" s="38"/>
      <c r="I1" s="38"/>
      <c r="J1" s="27"/>
      <c r="K1" s="27"/>
      <c r="L1" s="38"/>
      <c r="M1" s="38"/>
      <c r="N1" s="38"/>
      <c r="O1" s="27" t="s">
        <v>418</v>
      </c>
      <c r="P1" s="27" t="s">
        <v>419</v>
      </c>
      <c r="Q1" s="83"/>
    </row>
    <row r="2" spans="1:17" ht="27" customHeight="1" x14ac:dyDescent="0.25">
      <c r="A2" s="38"/>
      <c r="B2" s="544" t="s">
        <v>420</v>
      </c>
      <c r="C2" s="544"/>
      <c r="D2" s="544"/>
      <c r="E2" s="544"/>
      <c r="F2" s="544"/>
      <c r="G2" s="544"/>
      <c r="H2" s="544"/>
      <c r="I2" s="544"/>
      <c r="J2" s="544"/>
      <c r="K2" s="544"/>
      <c r="L2" s="544"/>
      <c r="M2" s="544"/>
      <c r="N2" s="544"/>
      <c r="O2" s="27"/>
      <c r="P2" s="27"/>
      <c r="Q2" s="83"/>
    </row>
    <row r="3" spans="1:17" ht="23.25" customHeight="1" x14ac:dyDescent="0.25">
      <c r="A3" s="38"/>
      <c r="B3" s="505" t="s">
        <v>79</v>
      </c>
      <c r="C3" s="506"/>
      <c r="D3" s="545" t="s">
        <v>421</v>
      </c>
      <c r="E3" s="545"/>
      <c r="F3" s="545"/>
      <c r="G3" s="545"/>
      <c r="H3" s="545"/>
      <c r="I3" s="38"/>
      <c r="J3" s="27"/>
      <c r="K3" s="27"/>
      <c r="L3" s="38"/>
      <c r="M3" s="38"/>
      <c r="N3" s="38"/>
      <c r="O3" s="27"/>
      <c r="P3" s="27"/>
      <c r="Q3" s="83"/>
    </row>
    <row r="4" spans="1:17" ht="26.25" customHeight="1" x14ac:dyDescent="0.25">
      <c r="A4" s="38"/>
      <c r="B4" s="38"/>
      <c r="C4" s="38"/>
      <c r="D4" s="513"/>
      <c r="E4" s="513"/>
      <c r="F4" s="513"/>
      <c r="G4" s="513"/>
      <c r="H4" s="513"/>
      <c r="I4" s="38"/>
      <c r="J4" s="27"/>
      <c r="K4" s="27"/>
      <c r="L4" s="38"/>
      <c r="M4" s="38"/>
      <c r="N4" s="38"/>
      <c r="O4" s="27"/>
      <c r="P4" s="27"/>
      <c r="Q4" s="83"/>
    </row>
    <row r="5" spans="1:17" ht="12.75" customHeight="1" x14ac:dyDescent="0.25">
      <c r="A5" s="38"/>
      <c r="B5" s="38"/>
      <c r="C5" s="38"/>
      <c r="D5" s="38"/>
      <c r="E5" s="38"/>
      <c r="F5" s="38"/>
      <c r="G5" s="38"/>
      <c r="H5" s="38"/>
      <c r="I5" s="38"/>
      <c r="J5" s="27"/>
      <c r="K5" s="27"/>
      <c r="L5" s="38"/>
      <c r="M5" s="38"/>
      <c r="N5" s="38"/>
      <c r="O5" s="27"/>
      <c r="P5" s="27"/>
      <c r="Q5" s="83"/>
    </row>
    <row r="6" spans="1:17" ht="39" customHeight="1" x14ac:dyDescent="0.25">
      <c r="A6" s="38"/>
      <c r="B6" s="152" t="s">
        <v>194</v>
      </c>
      <c r="C6" s="152" t="s">
        <v>82</v>
      </c>
      <c r="D6" s="153" t="s">
        <v>83</v>
      </c>
      <c r="E6" s="153" t="s">
        <v>86</v>
      </c>
      <c r="F6" s="153" t="s">
        <v>87</v>
      </c>
      <c r="G6" s="153" t="s">
        <v>422</v>
      </c>
      <c r="H6" s="153" t="s">
        <v>423</v>
      </c>
      <c r="I6" s="153" t="s">
        <v>51</v>
      </c>
      <c r="J6" s="153" t="s">
        <v>204</v>
      </c>
      <c r="K6" s="153" t="s">
        <v>205</v>
      </c>
      <c r="L6" s="153" t="s">
        <v>52</v>
      </c>
      <c r="M6" s="153" t="s">
        <v>53</v>
      </c>
      <c r="N6" s="153" t="s">
        <v>54</v>
      </c>
      <c r="Q6" s="83"/>
    </row>
    <row r="7" spans="1:17" ht="18.75" customHeight="1" x14ac:dyDescent="0.25">
      <c r="A7" s="38"/>
      <c r="B7" s="220">
        <v>1</v>
      </c>
      <c r="C7" s="9" t="s">
        <v>424</v>
      </c>
      <c r="D7" s="11"/>
      <c r="E7" s="84"/>
      <c r="F7" s="84"/>
      <c r="G7" s="11"/>
      <c r="H7" s="11"/>
      <c r="I7" s="11"/>
      <c r="J7" s="92" t="str">
        <f>IFERROR(IF(OR(G7="",H7=""), "", IF(G7=$C$18, ((0.052*H7) + 2.43)*365, ((0.052 * H7) + 2.2) * 365)), "")</f>
        <v/>
      </c>
      <c r="K7" s="92" t="str">
        <f>IFERROR(IF(G7="", "", IF(G7=$C$18, ((0.0523*H7) + 2.432)*365, ((0.0657 * H7) + 2.844) * 365)), "")</f>
        <v/>
      </c>
      <c r="L7" s="93" t="str">
        <f>IF(I7="", "", "0.00")</f>
        <v/>
      </c>
      <c r="M7" s="93" t="str">
        <f>IFERROR(IF(I7="", "", (J7-K7)*I7), "")</f>
        <v/>
      </c>
      <c r="N7" s="39" t="str">
        <f>IFERROR(IF(I7="", "", I7*$C$23), "")</f>
        <v/>
      </c>
      <c r="O7" s="56"/>
      <c r="Q7" s="83"/>
    </row>
    <row r="8" spans="1:17" ht="18.75" customHeight="1" x14ac:dyDescent="0.25">
      <c r="A8" s="38"/>
      <c r="B8" s="220">
        <v>2</v>
      </c>
      <c r="C8" s="9" t="s">
        <v>424</v>
      </c>
      <c r="D8" s="11"/>
      <c r="E8" s="84"/>
      <c r="F8" s="84"/>
      <c r="G8" s="11"/>
      <c r="H8" s="11"/>
      <c r="I8" s="11"/>
      <c r="J8" s="92" t="str">
        <f t="shared" ref="J8:J14" si="0">IFERROR(IF(OR(G8="",H8=""), "", IF(G8=$C$18, ((0.052*H8) + 2.43)*365, ((0.052 * H8) + 2.2) * 365)), "")</f>
        <v/>
      </c>
      <c r="K8" s="92" t="str">
        <f t="shared" ref="K8:K14" si="1">IFERROR(IF(G8="", "", IF(G8=$C$18, ((0.0523*H8) + 2.432)*365, ((0.0657 * H8) + 2.844) * 365)), "")</f>
        <v/>
      </c>
      <c r="L8" s="93" t="str">
        <f t="shared" ref="L8:L14" si="2">IF(I8="", "", "0.00")</f>
        <v/>
      </c>
      <c r="M8" s="93" t="str">
        <f t="shared" ref="M8:M14" si="3">IFERROR(IF(I8="", "", (J8-K8)*I8), "")</f>
        <v/>
      </c>
      <c r="N8" s="39" t="str">
        <f t="shared" ref="N8:N14" si="4">IFERROR(IF(I8="", "", I8*$C$23), "")</f>
        <v/>
      </c>
      <c r="O8" s="56"/>
      <c r="Q8" s="83"/>
    </row>
    <row r="9" spans="1:17" ht="18.75" customHeight="1" x14ac:dyDescent="0.25">
      <c r="A9" s="38"/>
      <c r="B9" s="220">
        <v>3</v>
      </c>
      <c r="C9" s="9" t="s">
        <v>424</v>
      </c>
      <c r="D9" s="11"/>
      <c r="E9" s="84"/>
      <c r="F9" s="84"/>
      <c r="G9" s="11"/>
      <c r="H9" s="11"/>
      <c r="I9" s="11"/>
      <c r="J9" s="92" t="str">
        <f t="shared" si="0"/>
        <v/>
      </c>
      <c r="K9" s="92" t="str">
        <f t="shared" si="1"/>
        <v/>
      </c>
      <c r="L9" s="93" t="str">
        <f t="shared" si="2"/>
        <v/>
      </c>
      <c r="M9" s="93" t="str">
        <f t="shared" si="3"/>
        <v/>
      </c>
      <c r="N9" s="39" t="str">
        <f t="shared" si="4"/>
        <v/>
      </c>
      <c r="O9" s="56"/>
      <c r="Q9" s="83"/>
    </row>
    <row r="10" spans="1:17" ht="18.75" customHeight="1" x14ac:dyDescent="0.25">
      <c r="A10" s="38"/>
      <c r="B10" s="220">
        <v>4</v>
      </c>
      <c r="C10" s="9" t="s">
        <v>424</v>
      </c>
      <c r="D10" s="11"/>
      <c r="E10" s="84"/>
      <c r="F10" s="84"/>
      <c r="G10" s="11"/>
      <c r="H10" s="11"/>
      <c r="I10" s="11"/>
      <c r="J10" s="92" t="str">
        <f t="shared" si="0"/>
        <v/>
      </c>
      <c r="K10" s="92" t="str">
        <f t="shared" si="1"/>
        <v/>
      </c>
      <c r="L10" s="93" t="str">
        <f t="shared" si="2"/>
        <v/>
      </c>
      <c r="M10" s="93" t="str">
        <f t="shared" si="3"/>
        <v/>
      </c>
      <c r="N10" s="39" t="str">
        <f t="shared" si="4"/>
        <v/>
      </c>
      <c r="O10" s="56"/>
      <c r="Q10" s="83"/>
    </row>
    <row r="11" spans="1:17" ht="18.75" customHeight="1" x14ac:dyDescent="0.25">
      <c r="A11" s="38"/>
      <c r="B11" s="220">
        <v>5</v>
      </c>
      <c r="C11" s="9" t="s">
        <v>424</v>
      </c>
      <c r="D11" s="11"/>
      <c r="E11" s="84"/>
      <c r="F11" s="84"/>
      <c r="G11" s="11"/>
      <c r="H11" s="11"/>
      <c r="I11" s="11"/>
      <c r="J11" s="92" t="str">
        <f t="shared" si="0"/>
        <v/>
      </c>
      <c r="K11" s="92" t="str">
        <f t="shared" si="1"/>
        <v/>
      </c>
      <c r="L11" s="93" t="str">
        <f t="shared" si="2"/>
        <v/>
      </c>
      <c r="M11" s="93" t="str">
        <f t="shared" si="3"/>
        <v/>
      </c>
      <c r="N11" s="39" t="str">
        <f t="shared" si="4"/>
        <v/>
      </c>
      <c r="O11" s="56"/>
      <c r="Q11" s="83"/>
    </row>
    <row r="12" spans="1:17" ht="18.75" customHeight="1" x14ac:dyDescent="0.25">
      <c r="A12" s="38"/>
      <c r="B12" s="220">
        <v>6</v>
      </c>
      <c r="C12" s="9" t="s">
        <v>424</v>
      </c>
      <c r="D12" s="11"/>
      <c r="E12" s="84"/>
      <c r="F12" s="84"/>
      <c r="G12" s="11"/>
      <c r="H12" s="11"/>
      <c r="I12" s="11"/>
      <c r="J12" s="92" t="str">
        <f t="shared" si="0"/>
        <v/>
      </c>
      <c r="K12" s="92" t="str">
        <f t="shared" si="1"/>
        <v/>
      </c>
      <c r="L12" s="93" t="str">
        <f t="shared" si="2"/>
        <v/>
      </c>
      <c r="M12" s="93" t="str">
        <f t="shared" si="3"/>
        <v/>
      </c>
      <c r="N12" s="39" t="str">
        <f t="shared" si="4"/>
        <v/>
      </c>
      <c r="O12" s="56"/>
      <c r="Q12" s="83"/>
    </row>
    <row r="13" spans="1:17" ht="18.75" customHeight="1" x14ac:dyDescent="0.25">
      <c r="A13" s="38"/>
      <c r="B13" s="220">
        <v>7</v>
      </c>
      <c r="C13" s="9" t="s">
        <v>424</v>
      </c>
      <c r="D13" s="11"/>
      <c r="E13" s="84"/>
      <c r="F13" s="84"/>
      <c r="G13" s="11"/>
      <c r="H13" s="11"/>
      <c r="I13" s="11"/>
      <c r="J13" s="92" t="str">
        <f t="shared" si="0"/>
        <v/>
      </c>
      <c r="K13" s="92" t="str">
        <f t="shared" si="1"/>
        <v/>
      </c>
      <c r="L13" s="93" t="str">
        <f t="shared" si="2"/>
        <v/>
      </c>
      <c r="M13" s="93" t="str">
        <f t="shared" si="3"/>
        <v/>
      </c>
      <c r="N13" s="39" t="str">
        <f t="shared" si="4"/>
        <v/>
      </c>
      <c r="O13" s="56"/>
      <c r="Q13" s="83"/>
    </row>
    <row r="14" spans="1:17" ht="18.75" customHeight="1" x14ac:dyDescent="0.25">
      <c r="A14" s="38"/>
      <c r="B14" s="220">
        <v>8</v>
      </c>
      <c r="C14" s="9" t="s">
        <v>424</v>
      </c>
      <c r="D14" s="11"/>
      <c r="E14" s="84"/>
      <c r="F14" s="84"/>
      <c r="G14" s="11"/>
      <c r="H14" s="11"/>
      <c r="I14" s="11"/>
      <c r="J14" s="92" t="str">
        <f t="shared" si="0"/>
        <v/>
      </c>
      <c r="K14" s="92" t="str">
        <f t="shared" si="1"/>
        <v/>
      </c>
      <c r="L14" s="93" t="str">
        <f t="shared" si="2"/>
        <v/>
      </c>
      <c r="M14" s="93" t="str">
        <f t="shared" si="3"/>
        <v/>
      </c>
      <c r="N14" s="39" t="str">
        <f t="shared" si="4"/>
        <v/>
      </c>
      <c r="O14" s="56"/>
      <c r="Q14" s="83"/>
    </row>
    <row r="15" spans="1:17" hidden="1" x14ac:dyDescent="0.25">
      <c r="C15" s="219"/>
      <c r="D15" s="219"/>
      <c r="E15" s="219"/>
      <c r="F15" s="219"/>
      <c r="G15" s="219"/>
      <c r="H15" s="219"/>
      <c r="I15" s="219"/>
      <c r="J15" s="219"/>
      <c r="K15" s="219"/>
    </row>
    <row r="16" spans="1:17" hidden="1" x14ac:dyDescent="0.25">
      <c r="C16" s="219"/>
      <c r="D16" s="219"/>
      <c r="E16" s="219"/>
      <c r="F16" s="219"/>
      <c r="G16" s="219"/>
      <c r="H16" s="219"/>
      <c r="I16" s="219"/>
      <c r="J16" s="219"/>
      <c r="K16" s="219"/>
    </row>
    <row r="17" spans="1:11" ht="18" hidden="1" x14ac:dyDescent="0.35">
      <c r="A17" s="27"/>
      <c r="C17" s="221" t="s">
        <v>425</v>
      </c>
      <c r="D17" s="221" t="s">
        <v>426</v>
      </c>
      <c r="E17" s="223" t="s">
        <v>427</v>
      </c>
      <c r="F17" s="219"/>
      <c r="G17" s="94"/>
      <c r="H17" s="219"/>
      <c r="I17" s="219"/>
      <c r="J17" s="219"/>
      <c r="K17" s="95"/>
    </row>
    <row r="18" spans="1:11" hidden="1" x14ac:dyDescent="0.25">
      <c r="A18" s="27"/>
      <c r="C18" s="96" t="s">
        <v>428</v>
      </c>
      <c r="D18" s="213" t="s">
        <v>429</v>
      </c>
      <c r="E18" s="5" t="s">
        <v>430</v>
      </c>
      <c r="F18" s="219"/>
      <c r="G18" s="94"/>
      <c r="H18" s="219"/>
      <c r="I18" s="219"/>
      <c r="J18" s="219"/>
      <c r="K18" s="95"/>
    </row>
    <row r="19" spans="1:11" hidden="1" x14ac:dyDescent="0.25">
      <c r="A19" s="27"/>
      <c r="C19" s="5" t="s">
        <v>431</v>
      </c>
      <c r="D19" s="214" t="s">
        <v>432</v>
      </c>
      <c r="E19" s="5" t="s">
        <v>433</v>
      </c>
      <c r="F19" s="219"/>
      <c r="G19" s="94"/>
      <c r="H19" s="219"/>
      <c r="I19" s="219"/>
      <c r="J19" s="219"/>
      <c r="K19" s="95"/>
    </row>
    <row r="20" spans="1:11" hidden="1" x14ac:dyDescent="0.25">
      <c r="A20" s="27"/>
      <c r="C20" s="219"/>
      <c r="D20" s="219"/>
      <c r="E20" s="219"/>
      <c r="F20" s="219"/>
      <c r="G20" s="94"/>
      <c r="H20" s="219"/>
      <c r="I20" s="219"/>
      <c r="J20" s="219"/>
      <c r="K20" s="95"/>
    </row>
    <row r="21" spans="1:11" hidden="1" x14ac:dyDescent="0.25">
      <c r="A21" s="27"/>
      <c r="C21" s="219"/>
      <c r="E21" s="219"/>
      <c r="F21" s="219"/>
      <c r="G21" s="94"/>
      <c r="H21" s="219"/>
      <c r="I21" s="219"/>
      <c r="J21" s="219"/>
      <c r="K21" s="95"/>
    </row>
    <row r="22" spans="1:11" hidden="1" x14ac:dyDescent="0.25">
      <c r="A22" s="27"/>
      <c r="C22" s="221" t="s">
        <v>54</v>
      </c>
      <c r="E22" s="219"/>
      <c r="F22" s="219"/>
      <c r="G22" s="94"/>
      <c r="H22" s="219"/>
      <c r="I22" s="219"/>
      <c r="J22" s="219"/>
      <c r="K22" s="95"/>
    </row>
    <row r="23" spans="1:11" hidden="1" x14ac:dyDescent="0.25">
      <c r="A23" s="27"/>
      <c r="C23" s="97">
        <v>50</v>
      </c>
      <c r="D23" s="4" t="s">
        <v>434</v>
      </c>
      <c r="E23" s="219"/>
      <c r="F23" s="219"/>
      <c r="G23" s="94"/>
      <c r="H23" s="219"/>
      <c r="I23" s="219"/>
      <c r="J23" s="219"/>
      <c r="K23" s="95"/>
    </row>
    <row r="24" spans="1:11" hidden="1" x14ac:dyDescent="0.25">
      <c r="A24" s="27"/>
    </row>
    <row r="25" spans="1:11" hidden="1" x14ac:dyDescent="0.25">
      <c r="A25" s="27"/>
    </row>
    <row r="26" spans="1:11" hidden="1" x14ac:dyDescent="0.25">
      <c r="A26" s="27"/>
      <c r="C26" s="14" t="s">
        <v>83</v>
      </c>
    </row>
    <row r="27" spans="1:11" hidden="1" x14ac:dyDescent="0.25">
      <c r="A27" s="27"/>
      <c r="C27" s="19" t="s">
        <v>124</v>
      </c>
    </row>
    <row r="28" spans="1:11" hidden="1" x14ac:dyDescent="0.25">
      <c r="A28" s="27"/>
      <c r="C28" s="19" t="s">
        <v>129</v>
      </c>
    </row>
    <row r="29" spans="1:11" hidden="1" x14ac:dyDescent="0.25">
      <c r="A29" s="27"/>
    </row>
    <row r="30" spans="1:11" hidden="1" x14ac:dyDescent="0.25">
      <c r="A30" s="27"/>
      <c r="C30" s="45" t="s">
        <v>268</v>
      </c>
    </row>
    <row r="31" spans="1:11" hidden="1" x14ac:dyDescent="0.25">
      <c r="A31" s="27"/>
      <c r="C31" s="5">
        <v>14</v>
      </c>
      <c r="D31" s="4" t="s">
        <v>417</v>
      </c>
    </row>
    <row r="32" spans="1:11" hidden="1" x14ac:dyDescent="0.25">
      <c r="A32" s="27"/>
    </row>
    <row r="33" spans="1:17" hidden="1" x14ac:dyDescent="0.25">
      <c r="A33" s="27"/>
      <c r="C33" s="45" t="s">
        <v>357</v>
      </c>
    </row>
    <row r="34" spans="1:17" hidden="1" x14ac:dyDescent="0.25">
      <c r="A34" s="27"/>
      <c r="C34" s="22">
        <v>0</v>
      </c>
    </row>
    <row r="35" spans="1:17" ht="17.25" customHeight="1" x14ac:dyDescent="0.25">
      <c r="A35" s="83"/>
      <c r="B35" s="83"/>
      <c r="C35" s="83"/>
      <c r="D35" s="83"/>
      <c r="E35" s="83"/>
      <c r="F35" s="83"/>
      <c r="G35" s="83"/>
      <c r="H35" s="83"/>
      <c r="I35" s="83"/>
      <c r="J35" s="83"/>
      <c r="K35" s="83"/>
      <c r="L35" s="83"/>
      <c r="M35" s="83"/>
      <c r="N35" s="83"/>
      <c r="O35" s="83"/>
      <c r="P35" s="83"/>
      <c r="Q35" s="83"/>
    </row>
    <row r="36" spans="1:17" ht="15" customHeight="1" x14ac:dyDescent="0.25">
      <c r="A36" s="83"/>
      <c r="B36" s="83"/>
      <c r="C36" s="83"/>
      <c r="D36" s="83"/>
      <c r="E36" s="83"/>
      <c r="F36" s="83"/>
      <c r="G36" s="83"/>
      <c r="H36" s="83"/>
      <c r="I36" s="83"/>
      <c r="J36" s="83"/>
      <c r="K36" s="83"/>
      <c r="L36" s="83"/>
      <c r="M36" s="83"/>
      <c r="N36" s="83"/>
      <c r="O36" s="83"/>
      <c r="P36" s="83"/>
      <c r="Q36" s="83"/>
    </row>
    <row r="37" spans="1:17" s="82" customFormat="1" x14ac:dyDescent="0.25"/>
    <row r="38" spans="1:17" s="82" customFormat="1" x14ac:dyDescent="0.25"/>
    <row r="39" spans="1:17" s="82" customFormat="1" x14ac:dyDescent="0.25"/>
    <row r="40" spans="1:17" s="82" customFormat="1" x14ac:dyDescent="0.25"/>
    <row r="41" spans="1:17" s="82" customFormat="1" x14ac:dyDescent="0.25"/>
    <row r="42" spans="1:17" s="82" customFormat="1" x14ac:dyDescent="0.25"/>
    <row r="43" spans="1:17" s="82" customFormat="1" x14ac:dyDescent="0.25"/>
    <row r="44" spans="1:17" s="82" customFormat="1" x14ac:dyDescent="0.25"/>
    <row r="45" spans="1:17" s="82" customFormat="1" x14ac:dyDescent="0.25"/>
    <row r="46" spans="1:17" s="82" customFormat="1" x14ac:dyDescent="0.25"/>
    <row r="47" spans="1:17" s="82" customFormat="1" x14ac:dyDescent="0.25"/>
    <row r="48" spans="1:17"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row r="1065" s="82" customFormat="1" x14ac:dyDescent="0.25"/>
    <row r="1066" s="82" customFormat="1" x14ac:dyDescent="0.25"/>
    <row r="1067" s="82" customFormat="1" x14ac:dyDescent="0.25"/>
    <row r="1068" s="82" customFormat="1" x14ac:dyDescent="0.25"/>
    <row r="1069" s="82" customFormat="1" x14ac:dyDescent="0.25"/>
    <row r="1070" s="82" customFormat="1" x14ac:dyDescent="0.25"/>
    <row r="1071" s="82" customFormat="1" x14ac:dyDescent="0.25"/>
    <row r="1072" s="82" customFormat="1" x14ac:dyDescent="0.25"/>
    <row r="1073" s="82" customFormat="1" x14ac:dyDescent="0.25"/>
    <row r="1074" s="82" customFormat="1" x14ac:dyDescent="0.25"/>
    <row r="1075" s="82" customFormat="1" x14ac:dyDescent="0.25"/>
    <row r="1076" s="82" customFormat="1" x14ac:dyDescent="0.25"/>
    <row r="1077" s="82" customFormat="1" x14ac:dyDescent="0.25"/>
    <row r="1078" s="82" customFormat="1" x14ac:dyDescent="0.25"/>
    <row r="1079" s="82" customFormat="1" x14ac:dyDescent="0.25"/>
    <row r="1080" s="82" customFormat="1" x14ac:dyDescent="0.25"/>
    <row r="1081" s="82" customFormat="1" x14ac:dyDescent="0.25"/>
    <row r="1082" s="82" customFormat="1" x14ac:dyDescent="0.25"/>
    <row r="1083" s="82" customFormat="1" x14ac:dyDescent="0.25"/>
    <row r="1084" s="82" customFormat="1" x14ac:dyDescent="0.25"/>
    <row r="1085" s="82" customFormat="1" x14ac:dyDescent="0.25"/>
    <row r="1086" s="82" customFormat="1" x14ac:dyDescent="0.25"/>
    <row r="1087" s="82" customFormat="1" x14ac:dyDescent="0.25"/>
    <row r="1088" s="82" customFormat="1" x14ac:dyDescent="0.25"/>
    <row r="1089" s="82" customFormat="1" x14ac:dyDescent="0.25"/>
    <row r="1090" s="82" customFormat="1" x14ac:dyDescent="0.25"/>
    <row r="1091" s="82" customFormat="1" x14ac:dyDescent="0.25"/>
    <row r="1092" s="82" customFormat="1" x14ac:dyDescent="0.25"/>
    <row r="1093" s="82" customFormat="1" x14ac:dyDescent="0.25"/>
    <row r="1094" s="82" customFormat="1" x14ac:dyDescent="0.25"/>
    <row r="1095" s="82" customFormat="1" x14ac:dyDescent="0.25"/>
    <row r="1096" s="82" customFormat="1" x14ac:dyDescent="0.25"/>
    <row r="1097" s="82" customFormat="1" x14ac:dyDescent="0.25"/>
    <row r="1098" s="82" customFormat="1" x14ac:dyDescent="0.25"/>
    <row r="1099" s="82" customFormat="1" x14ac:dyDescent="0.25"/>
    <row r="1100" s="82" customFormat="1" x14ac:dyDescent="0.25"/>
    <row r="1101" s="82" customFormat="1" x14ac:dyDescent="0.25"/>
    <row r="1102" s="82" customFormat="1" x14ac:dyDescent="0.25"/>
    <row r="1103" s="82" customFormat="1" x14ac:dyDescent="0.25"/>
    <row r="1104" s="82" customFormat="1" x14ac:dyDescent="0.25"/>
    <row r="1105" s="82" customFormat="1" x14ac:dyDescent="0.25"/>
    <row r="1106" s="82" customFormat="1" x14ac:dyDescent="0.25"/>
    <row r="1107" s="82" customFormat="1" x14ac:dyDescent="0.25"/>
    <row r="1108" s="82" customFormat="1" x14ac:dyDescent="0.25"/>
    <row r="1109" s="82" customFormat="1" x14ac:dyDescent="0.25"/>
    <row r="1110" s="82" customFormat="1" x14ac:dyDescent="0.25"/>
    <row r="1111" s="82" customFormat="1" x14ac:dyDescent="0.25"/>
    <row r="1112" s="82" customFormat="1" x14ac:dyDescent="0.25"/>
    <row r="1113" s="82" customFormat="1" x14ac:dyDescent="0.25"/>
    <row r="1114" s="82" customFormat="1" x14ac:dyDescent="0.25"/>
    <row r="1115" s="82" customFormat="1" x14ac:dyDescent="0.25"/>
    <row r="1116" s="82" customFormat="1" x14ac:dyDescent="0.25"/>
    <row r="1117" s="82" customFormat="1" x14ac:dyDescent="0.25"/>
    <row r="1118" s="82" customFormat="1" x14ac:dyDescent="0.25"/>
    <row r="1119" s="82" customFormat="1" x14ac:dyDescent="0.25"/>
    <row r="1120" s="82" customFormat="1" x14ac:dyDescent="0.25"/>
    <row r="1121" s="82" customFormat="1" x14ac:dyDescent="0.25"/>
    <row r="1122" s="82" customFormat="1" x14ac:dyDescent="0.25"/>
    <row r="1123" s="82" customFormat="1" x14ac:dyDescent="0.25"/>
    <row r="1124" s="82" customFormat="1" x14ac:dyDescent="0.25"/>
    <row r="1125" s="82" customFormat="1" x14ac:dyDescent="0.25"/>
    <row r="1126" s="82" customFormat="1" x14ac:dyDescent="0.25"/>
    <row r="1127" s="82" customFormat="1" x14ac:dyDescent="0.25"/>
    <row r="1128" s="82" customFormat="1" x14ac:dyDescent="0.25"/>
    <row r="1129" s="82" customFormat="1" x14ac:dyDescent="0.25"/>
    <row r="1130" s="82" customFormat="1" x14ac:dyDescent="0.25"/>
    <row r="1131" s="82" customFormat="1" x14ac:dyDescent="0.25"/>
    <row r="1132" s="82" customFormat="1" x14ac:dyDescent="0.25"/>
    <row r="1133" s="82" customFormat="1" x14ac:dyDescent="0.25"/>
    <row r="1134" s="82" customFormat="1" x14ac:dyDescent="0.25"/>
    <row r="1135" s="82" customFormat="1" x14ac:dyDescent="0.25"/>
    <row r="1136" s="82" customFormat="1" x14ac:dyDescent="0.25"/>
    <row r="1137" s="82" customFormat="1" x14ac:dyDescent="0.25"/>
    <row r="1138" s="82" customFormat="1" x14ac:dyDescent="0.25"/>
    <row r="1139" s="82" customFormat="1" x14ac:dyDescent="0.25"/>
    <row r="1140" s="82" customFormat="1" x14ac:dyDescent="0.25"/>
    <row r="1141" s="82" customFormat="1" x14ac:dyDescent="0.25"/>
    <row r="1142" s="82" customFormat="1" x14ac:dyDescent="0.25"/>
    <row r="1143" s="82" customFormat="1" x14ac:dyDescent="0.25"/>
    <row r="1144" s="82" customFormat="1" x14ac:dyDescent="0.25"/>
    <row r="1145" s="82" customFormat="1" x14ac:dyDescent="0.25"/>
    <row r="1146" s="82" customFormat="1" x14ac:dyDescent="0.25"/>
    <row r="1147" s="82" customFormat="1" x14ac:dyDescent="0.25"/>
    <row r="1148" s="82" customFormat="1" x14ac:dyDescent="0.25"/>
    <row r="1149" s="82" customFormat="1" x14ac:dyDescent="0.25"/>
    <row r="1150" s="82" customFormat="1" x14ac:dyDescent="0.25"/>
    <row r="1151" s="82" customFormat="1" x14ac:dyDescent="0.25"/>
    <row r="1152" s="82" customFormat="1" x14ac:dyDescent="0.25"/>
    <row r="1153" s="82" customFormat="1" x14ac:dyDescent="0.25"/>
    <row r="1154" s="82" customFormat="1" x14ac:dyDescent="0.25"/>
    <row r="1155" s="82" customFormat="1" x14ac:dyDescent="0.25"/>
    <row r="1156" s="82" customFormat="1" x14ac:dyDescent="0.25"/>
    <row r="1157" s="82" customFormat="1" x14ac:dyDescent="0.25"/>
    <row r="1158" s="82" customFormat="1" x14ac:dyDescent="0.25"/>
    <row r="1159" s="82" customFormat="1" x14ac:dyDescent="0.25"/>
    <row r="1160" s="82" customFormat="1" x14ac:dyDescent="0.25"/>
    <row r="1161" s="82" customFormat="1" x14ac:dyDescent="0.25"/>
    <row r="1162" s="82" customFormat="1" x14ac:dyDescent="0.25"/>
    <row r="1163" s="82" customFormat="1" x14ac:dyDescent="0.25"/>
    <row r="1164" s="82" customFormat="1" x14ac:dyDescent="0.25"/>
    <row r="1165" s="82" customFormat="1" x14ac:dyDescent="0.25"/>
    <row r="1166" s="82" customFormat="1" x14ac:dyDescent="0.25"/>
    <row r="1167" s="82" customFormat="1" x14ac:dyDescent="0.25"/>
    <row r="1168" s="82" customFormat="1" x14ac:dyDescent="0.25"/>
    <row r="1169" s="82" customFormat="1" x14ac:dyDescent="0.25"/>
    <row r="1170" s="82" customFormat="1" x14ac:dyDescent="0.25"/>
    <row r="1171" s="82" customFormat="1" x14ac:dyDescent="0.25"/>
    <row r="1172" s="82" customFormat="1" x14ac:dyDescent="0.25"/>
    <row r="1173" s="82" customFormat="1" x14ac:dyDescent="0.25"/>
    <row r="1174" s="82" customFormat="1" x14ac:dyDescent="0.25"/>
    <row r="1175" s="82" customFormat="1" x14ac:dyDescent="0.25"/>
    <row r="1176" s="82" customFormat="1" x14ac:dyDescent="0.25"/>
    <row r="1177" s="82" customFormat="1" x14ac:dyDescent="0.25"/>
    <row r="1178" s="82" customFormat="1" x14ac:dyDescent="0.25"/>
    <row r="1179" s="82" customFormat="1" x14ac:dyDescent="0.25"/>
    <row r="1180" s="82" customFormat="1" x14ac:dyDescent="0.25"/>
    <row r="1181" s="82" customFormat="1" x14ac:dyDescent="0.25"/>
    <row r="1182" s="82" customFormat="1" x14ac:dyDescent="0.25"/>
    <row r="1183" s="82" customFormat="1" x14ac:dyDescent="0.25"/>
    <row r="1184" s="82" customFormat="1" x14ac:dyDescent="0.25"/>
    <row r="1185" s="82" customFormat="1" x14ac:dyDescent="0.25"/>
    <row r="1186" s="82" customFormat="1" x14ac:dyDescent="0.25"/>
    <row r="1187" s="82" customFormat="1" x14ac:dyDescent="0.25"/>
    <row r="1188" s="82" customFormat="1" x14ac:dyDescent="0.25"/>
    <row r="1189" s="82" customFormat="1" x14ac:dyDescent="0.25"/>
    <row r="1190" s="82" customFormat="1" x14ac:dyDescent="0.25"/>
    <row r="1191" s="82" customFormat="1" x14ac:dyDescent="0.25"/>
    <row r="1192" s="82" customFormat="1" x14ac:dyDescent="0.25"/>
    <row r="1193" s="82" customFormat="1" x14ac:dyDescent="0.25"/>
    <row r="1194" s="82" customFormat="1" x14ac:dyDescent="0.25"/>
    <row r="1195" s="82" customFormat="1" x14ac:dyDescent="0.25"/>
    <row r="1196" s="82" customFormat="1" x14ac:dyDescent="0.25"/>
    <row r="1197" s="82" customFormat="1" x14ac:dyDescent="0.25"/>
    <row r="1198" s="82" customFormat="1" x14ac:dyDescent="0.25"/>
    <row r="1199" s="82" customFormat="1" x14ac:dyDescent="0.25"/>
    <row r="1200" s="82" customFormat="1" x14ac:dyDescent="0.25"/>
    <row r="1201" s="82" customFormat="1" x14ac:dyDescent="0.25"/>
    <row r="1202" s="82" customFormat="1" x14ac:dyDescent="0.25"/>
    <row r="1203" s="82" customFormat="1" x14ac:dyDescent="0.25"/>
    <row r="1204" s="82" customFormat="1" x14ac:dyDescent="0.25"/>
    <row r="1205" s="82" customFormat="1" x14ac:dyDescent="0.25"/>
    <row r="1206" s="82" customFormat="1" x14ac:dyDescent="0.25"/>
    <row r="1207" s="82" customFormat="1" x14ac:dyDescent="0.25"/>
    <row r="1208" s="82" customFormat="1" x14ac:dyDescent="0.25"/>
    <row r="1209" s="82" customFormat="1" x14ac:dyDescent="0.25"/>
    <row r="1210" s="82" customFormat="1" x14ac:dyDescent="0.25"/>
    <row r="1211" s="82" customFormat="1" x14ac:dyDescent="0.25"/>
    <row r="1212" s="82" customFormat="1" x14ac:dyDescent="0.25"/>
    <row r="1213" s="82" customFormat="1" x14ac:dyDescent="0.25"/>
    <row r="1214" s="82" customFormat="1" x14ac:dyDescent="0.25"/>
    <row r="1215" s="82" customFormat="1" x14ac:dyDescent="0.25"/>
    <row r="1216" s="82" customFormat="1" x14ac:dyDescent="0.25"/>
    <row r="1217" s="82" customFormat="1" x14ac:dyDescent="0.25"/>
    <row r="1218" s="82" customFormat="1" x14ac:dyDescent="0.25"/>
    <row r="1219" s="82" customFormat="1" x14ac:dyDescent="0.25"/>
    <row r="1220" s="82" customFormat="1" x14ac:dyDescent="0.25"/>
    <row r="1221" s="82" customFormat="1" x14ac:dyDescent="0.25"/>
    <row r="1222" s="82" customFormat="1" x14ac:dyDescent="0.25"/>
    <row r="1223" s="82" customFormat="1" x14ac:dyDescent="0.25"/>
  </sheetData>
  <sheetProtection algorithmName="SHA-512" hashValue="8KSyyLSazD+QS2Vwjd5q/cQ+0ELkZODkc94a45JzfSpvima4wOjHiCDXDYq3OWb6uyHzDFjOivOsAf6+YzodLw==" saltValue="X3aVBSGH9n5hJ1uUwR++SA==" spinCount="100000" sheet="1" selectLockedCells="1"/>
  <mergeCells count="3">
    <mergeCell ref="B3:C3"/>
    <mergeCell ref="D3:H4"/>
    <mergeCell ref="B2:N2"/>
  </mergeCells>
  <dataValidations count="2">
    <dataValidation type="list" allowBlank="1" showInputMessage="1" showErrorMessage="1" sqref="G7:G14" xr:uid="{00000000-0002-0000-0900-000000000000}">
      <formula1>$C$18:$C$19</formula1>
    </dataValidation>
    <dataValidation type="list" allowBlank="1" showInputMessage="1" showErrorMessage="1" sqref="D7:D14" xr:uid="{00000000-0002-0000-0900-000001000000}">
      <formula1>$C$27:$C$28</formula1>
    </dataValidation>
  </dataValidations>
  <hyperlinks>
    <hyperlink ref="B3" location="'Calculator Index'!A1" display="Return to Index" xr:uid="{00000000-0004-0000-0900-000000000000}"/>
    <hyperlink ref="B3:C3" location="'Project Summary'!A1" display="Return to Project Summary" xr:uid="{00000000-0004-0000-0900-000001000000}"/>
  </hyperlinks>
  <pageMargins left="0.7" right="0.7" top="0.75" bottom="0.75" header="0.3" footer="0.3"/>
  <pageSetup orientation="portrait" horizontalDpi="0" verticalDpi="0"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24B9-8980-4418-BDBF-61FE35B49B36}">
  <dimension ref="A1:FG739"/>
  <sheetViews>
    <sheetView zoomScale="80" zoomScaleNormal="80" workbookViewId="0">
      <selection activeCell="N12" sqref="N12"/>
    </sheetView>
  </sheetViews>
  <sheetFormatPr defaultRowHeight="15" x14ac:dyDescent="0.25"/>
  <cols>
    <col min="1" max="1" width="3.7109375" customWidth="1"/>
    <col min="2" max="2" width="5" customWidth="1"/>
    <col min="3" max="3" width="27.140625" customWidth="1"/>
    <col min="4" max="4" width="33.5703125" customWidth="1"/>
    <col min="5" max="5" width="18.85546875" hidden="1" customWidth="1"/>
    <col min="6" max="6" width="23.85546875" customWidth="1"/>
    <col min="7" max="7" width="15.140625" bestFit="1" customWidth="1"/>
    <col min="8" max="8" width="22.42578125" bestFit="1" customWidth="1"/>
    <col min="9" max="9" width="16.7109375" bestFit="1" customWidth="1"/>
    <col min="10" max="10" width="17.42578125" bestFit="1" customWidth="1"/>
    <col min="11" max="11" width="26.28515625" bestFit="1" customWidth="1"/>
    <col min="12" max="12" width="15.5703125" bestFit="1" customWidth="1"/>
    <col min="13" max="13" width="13.85546875" bestFit="1" customWidth="1"/>
    <col min="14" max="14" width="33.28515625" bestFit="1" customWidth="1"/>
    <col min="15" max="15" width="9.28515625" bestFit="1" customWidth="1"/>
    <col min="16" max="16" width="31.7109375" hidden="1" customWidth="1"/>
    <col min="17" max="17" width="6.5703125" hidden="1" customWidth="1"/>
    <col min="18" max="18" width="7.85546875" hidden="1" customWidth="1"/>
    <col min="19" max="19" width="9.5703125" hidden="1" customWidth="1"/>
    <col min="20" max="20" width="8.28515625" hidden="1" customWidth="1"/>
    <col min="21" max="22" width="12.7109375" hidden="1" customWidth="1"/>
    <col min="23" max="23" width="15.7109375" hidden="1" customWidth="1"/>
    <col min="24" max="24" width="15.5703125" bestFit="1" customWidth="1"/>
    <col min="25" max="25" width="13.85546875" bestFit="1" customWidth="1"/>
    <col min="26" max="26" width="14" bestFit="1" customWidth="1"/>
    <col min="27" max="27" width="15.28515625" hidden="1" customWidth="1"/>
    <col min="28" max="28" width="11" hidden="1" customWidth="1"/>
    <col min="29" max="29" width="17.28515625" hidden="1" customWidth="1"/>
    <col min="30" max="32" width="9.140625" hidden="1" customWidth="1"/>
    <col min="33" max="33" width="9.140625" customWidth="1"/>
    <col min="34" max="34" width="6.5703125" style="82" customWidth="1"/>
    <col min="35" max="35" width="9.140625" style="82" customWidth="1"/>
    <col min="36" max="163" width="9.140625" style="82"/>
  </cols>
  <sheetData>
    <row r="1" spans="1:34" ht="19.5" customHeight="1" x14ac:dyDescent="0.25">
      <c r="A1" s="38"/>
      <c r="B1" s="38"/>
      <c r="C1" s="38"/>
      <c r="D1" s="38"/>
      <c r="E1" s="38"/>
      <c r="F1" s="38"/>
      <c r="G1" s="38"/>
      <c r="H1" s="38"/>
      <c r="I1" s="38"/>
      <c r="J1" s="38"/>
      <c r="K1" s="38"/>
      <c r="L1" s="38"/>
      <c r="M1" s="38"/>
      <c r="N1" s="38"/>
      <c r="O1" s="38"/>
      <c r="P1" s="38"/>
      <c r="Q1" s="38"/>
      <c r="R1" s="27" t="s">
        <v>758</v>
      </c>
      <c r="S1" s="27" t="s">
        <v>757</v>
      </c>
      <c r="T1" s="27"/>
      <c r="U1" s="27"/>
      <c r="V1" s="27"/>
      <c r="W1" s="27"/>
      <c r="X1" s="27"/>
      <c r="Y1" s="27"/>
      <c r="Z1" s="27"/>
      <c r="AA1" s="27"/>
      <c r="AB1" s="27"/>
      <c r="AC1" s="27"/>
      <c r="AD1" s="27"/>
      <c r="AE1" s="27"/>
      <c r="AH1" s="83"/>
    </row>
    <row r="2" spans="1:34" ht="27" customHeight="1" x14ac:dyDescent="0.25">
      <c r="A2" s="38"/>
      <c r="B2" s="563" t="s">
        <v>729</v>
      </c>
      <c r="C2" s="511"/>
      <c r="D2" s="511"/>
      <c r="E2" s="511"/>
      <c r="F2" s="511"/>
      <c r="G2" s="511"/>
      <c r="H2" s="511"/>
      <c r="I2" s="511"/>
      <c r="J2" s="511"/>
      <c r="K2" s="511"/>
      <c r="L2" s="511"/>
      <c r="M2" s="511"/>
      <c r="N2" s="511"/>
      <c r="O2" s="511"/>
      <c r="P2" s="511"/>
      <c r="Q2" s="511"/>
      <c r="R2" s="511"/>
      <c r="S2" s="511"/>
      <c r="T2" s="511"/>
      <c r="U2" s="511"/>
      <c r="V2" s="232"/>
      <c r="W2" s="232"/>
      <c r="X2" s="27"/>
      <c r="Y2" s="27"/>
      <c r="Z2" s="27"/>
      <c r="AA2" s="27"/>
      <c r="AB2" s="27"/>
      <c r="AC2" s="27"/>
      <c r="AD2" s="27"/>
      <c r="AE2" s="27"/>
      <c r="AH2" s="83"/>
    </row>
    <row r="3" spans="1:34" ht="23.25" customHeight="1" x14ac:dyDescent="0.25">
      <c r="A3" s="38"/>
      <c r="B3" s="505" t="s">
        <v>79</v>
      </c>
      <c r="C3" s="506"/>
      <c r="D3" s="521" t="s">
        <v>756</v>
      </c>
      <c r="E3" s="522"/>
      <c r="F3" s="523"/>
      <c r="G3" s="38"/>
      <c r="H3" s="38"/>
      <c r="I3" s="38"/>
      <c r="J3" s="38"/>
      <c r="K3" s="38"/>
      <c r="L3" s="38"/>
      <c r="M3" s="38"/>
      <c r="N3" s="38"/>
      <c r="O3" s="38"/>
      <c r="P3" s="38"/>
      <c r="Q3" s="38"/>
      <c r="R3" s="27"/>
      <c r="S3" s="27"/>
      <c r="T3" s="27"/>
      <c r="U3" s="27"/>
      <c r="V3" s="27"/>
      <c r="W3" s="27"/>
      <c r="X3" s="27"/>
      <c r="Y3" s="27"/>
      <c r="Z3" s="27"/>
      <c r="AA3" s="27"/>
      <c r="AB3" s="27"/>
      <c r="AC3" s="27"/>
      <c r="AD3" s="27"/>
      <c r="AE3" s="27"/>
      <c r="AH3" s="83"/>
    </row>
    <row r="4" spans="1:34" ht="16.149999999999999" customHeight="1" x14ac:dyDescent="0.25">
      <c r="A4" s="38"/>
      <c r="B4" s="38"/>
      <c r="C4" s="38"/>
      <c r="D4" s="524"/>
      <c r="E4" s="525"/>
      <c r="F4" s="526"/>
      <c r="G4" s="38"/>
      <c r="H4" s="38"/>
      <c r="I4" s="38"/>
      <c r="J4" s="38"/>
      <c r="K4" s="38"/>
      <c r="L4" s="38"/>
      <c r="M4" s="38"/>
      <c r="N4" s="38"/>
      <c r="O4" s="38"/>
      <c r="P4" s="38"/>
      <c r="Q4" s="38"/>
      <c r="R4" s="27"/>
      <c r="S4" s="27"/>
      <c r="T4" s="27"/>
      <c r="U4" s="27"/>
      <c r="V4" s="27"/>
      <c r="W4" s="27"/>
      <c r="X4" s="27"/>
      <c r="Y4" s="27"/>
      <c r="Z4" s="27"/>
      <c r="AA4" s="27"/>
      <c r="AB4" s="27"/>
      <c r="AC4" s="27"/>
      <c r="AD4" s="27"/>
      <c r="AE4" s="27"/>
      <c r="AH4" s="83"/>
    </row>
    <row r="5" spans="1:34" ht="18.75" x14ac:dyDescent="0.3">
      <c r="A5" s="38"/>
      <c r="B5" s="38"/>
      <c r="C5" s="38"/>
      <c r="D5" s="38"/>
      <c r="E5" s="38"/>
      <c r="F5" s="38"/>
      <c r="G5" s="38"/>
      <c r="H5" s="38"/>
      <c r="I5" s="38"/>
      <c r="J5" s="38"/>
      <c r="K5" s="38"/>
      <c r="L5" s="38"/>
      <c r="M5" s="38"/>
      <c r="N5" s="38"/>
      <c r="O5" s="38"/>
      <c r="P5" s="38"/>
      <c r="Q5" s="38"/>
      <c r="R5" s="27"/>
      <c r="S5" s="27"/>
      <c r="T5" s="27"/>
      <c r="U5" s="27"/>
      <c r="V5" s="27"/>
      <c r="W5" s="27"/>
      <c r="X5" s="561"/>
      <c r="Y5" s="561"/>
      <c r="Z5" s="561"/>
      <c r="AA5" s="27"/>
      <c r="AB5" s="27"/>
      <c r="AC5" s="27"/>
      <c r="AD5" s="27"/>
      <c r="AE5" s="27"/>
      <c r="AH5" s="83"/>
    </row>
    <row r="6" spans="1:34" ht="43.9" customHeight="1" x14ac:dyDescent="0.25">
      <c r="A6" s="38"/>
      <c r="B6" s="153" t="s">
        <v>81</v>
      </c>
      <c r="C6" s="153" t="s">
        <v>82</v>
      </c>
      <c r="D6" s="153" t="s">
        <v>83</v>
      </c>
      <c r="E6" s="153" t="s">
        <v>84</v>
      </c>
      <c r="F6" s="153" t="s">
        <v>85</v>
      </c>
      <c r="G6" s="153" t="s">
        <v>86</v>
      </c>
      <c r="H6" s="153" t="s">
        <v>87</v>
      </c>
      <c r="I6" s="153" t="s">
        <v>755</v>
      </c>
      <c r="J6" s="153" t="s">
        <v>754</v>
      </c>
      <c r="K6" s="153" t="s">
        <v>753</v>
      </c>
      <c r="L6" s="153" t="s">
        <v>752</v>
      </c>
      <c r="M6" s="153" t="s">
        <v>751</v>
      </c>
      <c r="N6" s="153" t="s">
        <v>750</v>
      </c>
      <c r="O6" s="153" t="s">
        <v>51</v>
      </c>
      <c r="P6" s="154" t="s">
        <v>749</v>
      </c>
      <c r="Q6" s="153" t="s">
        <v>735</v>
      </c>
      <c r="R6" s="153" t="s">
        <v>728</v>
      </c>
      <c r="S6" s="153" t="s">
        <v>725</v>
      </c>
      <c r="T6" s="153" t="s">
        <v>700</v>
      </c>
      <c r="U6" s="153" t="s">
        <v>748</v>
      </c>
      <c r="V6" s="376" t="s">
        <v>747</v>
      </c>
      <c r="W6" s="376" t="s">
        <v>780</v>
      </c>
      <c r="X6" s="153" t="s">
        <v>746</v>
      </c>
      <c r="Y6" s="153" t="s">
        <v>53</v>
      </c>
      <c r="Z6" s="153" t="s">
        <v>54</v>
      </c>
      <c r="AA6" s="375" t="s">
        <v>97</v>
      </c>
      <c r="AB6" s="154" t="s">
        <v>98</v>
      </c>
      <c r="AC6" s="154"/>
      <c r="AH6" s="83"/>
    </row>
    <row r="7" spans="1:34" ht="17.25" hidden="1" customHeight="1" x14ac:dyDescent="0.25">
      <c r="A7" s="38"/>
      <c r="B7" s="245" t="s">
        <v>100</v>
      </c>
      <c r="C7" s="245"/>
      <c r="D7" s="245" t="s">
        <v>101</v>
      </c>
      <c r="E7" s="245" t="s">
        <v>102</v>
      </c>
      <c r="F7" s="245" t="s">
        <v>103</v>
      </c>
      <c r="G7" s="245" t="s">
        <v>104</v>
      </c>
      <c r="H7" s="245" t="s">
        <v>105</v>
      </c>
      <c r="I7" s="245"/>
      <c r="J7" s="245" t="s">
        <v>745</v>
      </c>
      <c r="K7" s="245" t="s">
        <v>744</v>
      </c>
      <c r="L7" s="245" t="s">
        <v>743</v>
      </c>
      <c r="M7" s="245" t="s">
        <v>742</v>
      </c>
      <c r="N7" s="245" t="s">
        <v>741</v>
      </c>
      <c r="O7" s="245" t="s">
        <v>51</v>
      </c>
      <c r="P7" s="245"/>
      <c r="Q7" s="245"/>
      <c r="R7" s="245"/>
      <c r="S7" s="245"/>
      <c r="T7" s="245"/>
      <c r="U7" s="245"/>
      <c r="V7" s="374"/>
      <c r="W7" s="374"/>
      <c r="X7" s="245" t="s">
        <v>109</v>
      </c>
      <c r="Y7" s="245" t="s">
        <v>110</v>
      </c>
      <c r="Z7" s="245" t="s">
        <v>111</v>
      </c>
      <c r="AA7" s="373" t="s">
        <v>112</v>
      </c>
      <c r="AB7" s="245" t="s">
        <v>113</v>
      </c>
      <c r="AC7" s="250"/>
      <c r="AH7" s="83"/>
    </row>
    <row r="8" spans="1:34" ht="19.5" customHeight="1" x14ac:dyDescent="0.25">
      <c r="A8" s="38"/>
      <c r="B8" s="220">
        <v>1</v>
      </c>
      <c r="C8" s="9" t="s">
        <v>729</v>
      </c>
      <c r="D8" s="11"/>
      <c r="E8" s="11"/>
      <c r="F8" s="11"/>
      <c r="G8" s="12"/>
      <c r="H8" s="12"/>
      <c r="I8" s="12"/>
      <c r="J8" s="372"/>
      <c r="K8" s="11"/>
      <c r="L8" s="11"/>
      <c r="M8" s="372"/>
      <c r="N8" s="11"/>
      <c r="O8" s="12"/>
      <c r="P8" s="15" t="str">
        <f t="shared" ref="P8:P15" si="0">_xlfn.CONCAT(K8," ",I8)</f>
        <v xml:space="preserve"> </v>
      </c>
      <c r="Q8" s="15" t="str">
        <f t="shared" ref="Q8:Q15" si="1">_xlfn.XLOOKUP(P8,$H$24:$H$27,$I$24:$I$27,"")</f>
        <v/>
      </c>
      <c r="R8" s="15" t="str">
        <f t="shared" ref="R8:R15" si="2">_xlfn.XLOOKUP(K8,$H$29:$H$30,$I$29:$I$30,"")</f>
        <v/>
      </c>
      <c r="S8" s="15" t="str">
        <f t="shared" ref="S8:S15" si="3">_xlfn.XLOOKUP(N8,$H$32:$H$33,$I$32:$I$33,"")</f>
        <v/>
      </c>
      <c r="T8" s="15" t="str">
        <f t="shared" ref="T8:T15" si="4">IF(J8="","",(J8*0.746/R8*$I$35)*O8)</f>
        <v/>
      </c>
      <c r="U8" s="15">
        <f>IFERROR((M8*0.746/S8*$I$35)*O8, 0)</f>
        <v>0</v>
      </c>
      <c r="V8" s="371">
        <v>1</v>
      </c>
      <c r="W8" s="371">
        <f>IFERROR(X8/V8, 0)</f>
        <v>0</v>
      </c>
      <c r="X8" s="413" t="str">
        <f t="shared" ref="X8:X15" si="5">IFERROR(Y8/8760,"")</f>
        <v/>
      </c>
      <c r="Y8" s="409" t="str">
        <f>IF(OR(O8="",L8="yes"),"",(T8-U8)*$I$22*$C$25*Q8)</f>
        <v/>
      </c>
      <c r="Z8" s="39" t="str">
        <f t="shared" ref="Z8:Z15" si="6">IF(OR(L8="yes",O8=""),"",MIN(AA8,O8*$C$28))</f>
        <v/>
      </c>
      <c r="AA8" s="370" t="str">
        <f t="shared" ref="AA8:AA15" si="7">IF(ISBLANK(F8),"",F8)</f>
        <v/>
      </c>
      <c r="AB8" s="10"/>
      <c r="AH8" s="83"/>
    </row>
    <row r="9" spans="1:34" ht="19.5" customHeight="1" x14ac:dyDescent="0.25">
      <c r="A9" s="38"/>
      <c r="B9" s="220">
        <v>2</v>
      </c>
      <c r="C9" s="9" t="s">
        <v>729</v>
      </c>
      <c r="D9" s="11"/>
      <c r="E9" s="11"/>
      <c r="F9" s="11"/>
      <c r="G9" s="12"/>
      <c r="H9" s="12"/>
      <c r="I9" s="12"/>
      <c r="J9" s="372"/>
      <c r="K9" s="11"/>
      <c r="L9" s="11"/>
      <c r="M9" s="372"/>
      <c r="N9" s="11"/>
      <c r="O9" s="12"/>
      <c r="P9" s="15" t="str">
        <f t="shared" si="0"/>
        <v xml:space="preserve"> </v>
      </c>
      <c r="Q9" s="15" t="str">
        <f t="shared" si="1"/>
        <v/>
      </c>
      <c r="R9" s="15" t="str">
        <f t="shared" si="2"/>
        <v/>
      </c>
      <c r="S9" s="15" t="str">
        <f t="shared" si="3"/>
        <v/>
      </c>
      <c r="T9" s="15" t="str">
        <f t="shared" si="4"/>
        <v/>
      </c>
      <c r="U9" s="15">
        <f t="shared" ref="U9:U14" si="8">IFERROR((M9*0.746/S9*$I$35)*O9, 0)</f>
        <v>0</v>
      </c>
      <c r="V9" s="371">
        <v>1</v>
      </c>
      <c r="W9" s="371">
        <f t="shared" ref="W9:W15" si="9">IFERROR(X9/V9, 0)</f>
        <v>0</v>
      </c>
      <c r="X9" s="413" t="str">
        <f t="shared" si="5"/>
        <v/>
      </c>
      <c r="Y9" s="409" t="str">
        <f t="shared" ref="Y9:Y15" si="10">IF(O9="","",(T9-U9)*$I$22*$C$25*Q9)</f>
        <v/>
      </c>
      <c r="Z9" s="39" t="str">
        <f t="shared" si="6"/>
        <v/>
      </c>
      <c r="AA9" s="370" t="str">
        <f t="shared" si="7"/>
        <v/>
      </c>
      <c r="AB9" s="10"/>
      <c r="AH9" s="83"/>
    </row>
    <row r="10" spans="1:34" ht="19.5" customHeight="1" x14ac:dyDescent="0.25">
      <c r="A10" s="38"/>
      <c r="B10" s="220">
        <v>3</v>
      </c>
      <c r="C10" s="9" t="s">
        <v>729</v>
      </c>
      <c r="D10" s="11"/>
      <c r="E10" s="11"/>
      <c r="F10" s="11"/>
      <c r="G10" s="12"/>
      <c r="H10" s="12"/>
      <c r="I10" s="12"/>
      <c r="J10" s="372"/>
      <c r="K10" s="11"/>
      <c r="L10" s="11"/>
      <c r="M10" s="372"/>
      <c r="N10" s="11"/>
      <c r="O10" s="12"/>
      <c r="P10" s="15" t="str">
        <f t="shared" si="0"/>
        <v xml:space="preserve"> </v>
      </c>
      <c r="Q10" s="15" t="str">
        <f t="shared" si="1"/>
        <v/>
      </c>
      <c r="R10" s="15" t="str">
        <f t="shared" si="2"/>
        <v/>
      </c>
      <c r="S10" s="15" t="str">
        <f t="shared" si="3"/>
        <v/>
      </c>
      <c r="T10" s="15" t="str">
        <f t="shared" si="4"/>
        <v/>
      </c>
      <c r="U10" s="15">
        <f t="shared" si="8"/>
        <v>0</v>
      </c>
      <c r="V10" s="371">
        <v>1</v>
      </c>
      <c r="W10" s="371">
        <f t="shared" si="9"/>
        <v>0</v>
      </c>
      <c r="X10" s="413" t="str">
        <f t="shared" si="5"/>
        <v/>
      </c>
      <c r="Y10" s="409" t="str">
        <f t="shared" si="10"/>
        <v/>
      </c>
      <c r="Z10" s="39" t="str">
        <f t="shared" si="6"/>
        <v/>
      </c>
      <c r="AA10" s="370" t="str">
        <f t="shared" si="7"/>
        <v/>
      </c>
      <c r="AB10" s="10"/>
      <c r="AH10" s="83"/>
    </row>
    <row r="11" spans="1:34" ht="19.5" customHeight="1" x14ac:dyDescent="0.25">
      <c r="A11" s="38"/>
      <c r="B11" s="220">
        <v>4</v>
      </c>
      <c r="C11" s="9" t="s">
        <v>729</v>
      </c>
      <c r="D11" s="11"/>
      <c r="E11" s="11"/>
      <c r="F11" s="11"/>
      <c r="G11" s="12"/>
      <c r="H11" s="12"/>
      <c r="I11" s="12"/>
      <c r="J11" s="372"/>
      <c r="K11" s="11"/>
      <c r="L11" s="11"/>
      <c r="M11" s="372"/>
      <c r="N11" s="11"/>
      <c r="O11" s="12"/>
      <c r="P11" s="15" t="str">
        <f t="shared" si="0"/>
        <v xml:space="preserve"> </v>
      </c>
      <c r="Q11" s="15" t="str">
        <f t="shared" si="1"/>
        <v/>
      </c>
      <c r="R11" s="15" t="str">
        <f t="shared" si="2"/>
        <v/>
      </c>
      <c r="S11" s="15" t="str">
        <f t="shared" si="3"/>
        <v/>
      </c>
      <c r="T11" s="15" t="str">
        <f t="shared" si="4"/>
        <v/>
      </c>
      <c r="U11" s="15">
        <f t="shared" si="8"/>
        <v>0</v>
      </c>
      <c r="V11" s="371">
        <v>1</v>
      </c>
      <c r="W11" s="371">
        <f t="shared" si="9"/>
        <v>0</v>
      </c>
      <c r="X11" s="413" t="str">
        <f t="shared" si="5"/>
        <v/>
      </c>
      <c r="Y11" s="409" t="str">
        <f t="shared" si="10"/>
        <v/>
      </c>
      <c r="Z11" s="39" t="str">
        <f t="shared" si="6"/>
        <v/>
      </c>
      <c r="AA11" s="370" t="str">
        <f t="shared" si="7"/>
        <v/>
      </c>
      <c r="AB11" s="10"/>
      <c r="AH11" s="83"/>
    </row>
    <row r="12" spans="1:34" ht="19.5" customHeight="1" x14ac:dyDescent="0.25">
      <c r="A12" s="38"/>
      <c r="B12" s="220">
        <v>5</v>
      </c>
      <c r="C12" s="9" t="s">
        <v>729</v>
      </c>
      <c r="D12" s="11"/>
      <c r="E12" s="11"/>
      <c r="F12" s="11"/>
      <c r="G12" s="12"/>
      <c r="H12" s="12"/>
      <c r="I12" s="12"/>
      <c r="J12" s="372"/>
      <c r="K12" s="11"/>
      <c r="L12" s="11"/>
      <c r="M12" s="372"/>
      <c r="N12" s="11"/>
      <c r="O12" s="12"/>
      <c r="P12" s="15" t="str">
        <f t="shared" si="0"/>
        <v xml:space="preserve"> </v>
      </c>
      <c r="Q12" s="15" t="str">
        <f t="shared" si="1"/>
        <v/>
      </c>
      <c r="R12" s="15" t="str">
        <f t="shared" si="2"/>
        <v/>
      </c>
      <c r="S12" s="15" t="str">
        <f t="shared" si="3"/>
        <v/>
      </c>
      <c r="T12" s="15" t="str">
        <f t="shared" si="4"/>
        <v/>
      </c>
      <c r="U12" s="15">
        <f t="shared" si="8"/>
        <v>0</v>
      </c>
      <c r="V12" s="371">
        <v>1</v>
      </c>
      <c r="W12" s="371">
        <f t="shared" si="9"/>
        <v>0</v>
      </c>
      <c r="X12" s="413" t="str">
        <f t="shared" si="5"/>
        <v/>
      </c>
      <c r="Y12" s="409" t="str">
        <f t="shared" si="10"/>
        <v/>
      </c>
      <c r="Z12" s="39" t="str">
        <f t="shared" si="6"/>
        <v/>
      </c>
      <c r="AA12" s="370" t="str">
        <f t="shared" si="7"/>
        <v/>
      </c>
      <c r="AB12" s="10"/>
      <c r="AH12" s="83"/>
    </row>
    <row r="13" spans="1:34" ht="19.5" customHeight="1" x14ac:dyDescent="0.25">
      <c r="A13" s="38"/>
      <c r="B13" s="220">
        <v>6</v>
      </c>
      <c r="C13" s="9" t="s">
        <v>729</v>
      </c>
      <c r="D13" s="11"/>
      <c r="E13" s="11"/>
      <c r="F13" s="11"/>
      <c r="G13" s="12"/>
      <c r="H13" s="12"/>
      <c r="I13" s="12"/>
      <c r="J13" s="372"/>
      <c r="K13" s="11"/>
      <c r="L13" s="11"/>
      <c r="M13" s="372"/>
      <c r="N13" s="11"/>
      <c r="O13" s="12"/>
      <c r="P13" s="15" t="str">
        <f t="shared" si="0"/>
        <v xml:space="preserve"> </v>
      </c>
      <c r="Q13" s="15" t="str">
        <f t="shared" si="1"/>
        <v/>
      </c>
      <c r="R13" s="15" t="str">
        <f t="shared" si="2"/>
        <v/>
      </c>
      <c r="S13" s="15" t="str">
        <f t="shared" si="3"/>
        <v/>
      </c>
      <c r="T13" s="15" t="str">
        <f t="shared" si="4"/>
        <v/>
      </c>
      <c r="U13" s="15">
        <f t="shared" si="8"/>
        <v>0</v>
      </c>
      <c r="V13" s="371">
        <v>1</v>
      </c>
      <c r="W13" s="371">
        <f t="shared" si="9"/>
        <v>0</v>
      </c>
      <c r="X13" s="413" t="str">
        <f t="shared" si="5"/>
        <v/>
      </c>
      <c r="Y13" s="409" t="str">
        <f t="shared" si="10"/>
        <v/>
      </c>
      <c r="Z13" s="39" t="str">
        <f t="shared" si="6"/>
        <v/>
      </c>
      <c r="AA13" s="370" t="str">
        <f t="shared" si="7"/>
        <v/>
      </c>
      <c r="AB13" s="10"/>
      <c r="AH13" s="83"/>
    </row>
    <row r="14" spans="1:34" ht="19.5" customHeight="1" x14ac:dyDescent="0.25">
      <c r="A14" s="38"/>
      <c r="B14" s="220">
        <v>7</v>
      </c>
      <c r="C14" s="9" t="s">
        <v>729</v>
      </c>
      <c r="D14" s="11"/>
      <c r="E14" s="11"/>
      <c r="F14" s="11"/>
      <c r="G14" s="12"/>
      <c r="H14" s="12"/>
      <c r="I14" s="12"/>
      <c r="J14" s="372"/>
      <c r="K14" s="11"/>
      <c r="L14" s="11"/>
      <c r="M14" s="372"/>
      <c r="N14" s="11"/>
      <c r="O14" s="12"/>
      <c r="P14" s="15" t="str">
        <f t="shared" si="0"/>
        <v xml:space="preserve"> </v>
      </c>
      <c r="Q14" s="15" t="str">
        <f t="shared" si="1"/>
        <v/>
      </c>
      <c r="R14" s="15" t="str">
        <f t="shared" si="2"/>
        <v/>
      </c>
      <c r="S14" s="15" t="str">
        <f t="shared" si="3"/>
        <v/>
      </c>
      <c r="T14" s="15" t="str">
        <f t="shared" si="4"/>
        <v/>
      </c>
      <c r="U14" s="15">
        <f t="shared" si="8"/>
        <v>0</v>
      </c>
      <c r="V14" s="371">
        <v>1</v>
      </c>
      <c r="W14" s="371">
        <f t="shared" si="9"/>
        <v>0</v>
      </c>
      <c r="X14" s="413" t="str">
        <f t="shared" si="5"/>
        <v/>
      </c>
      <c r="Y14" s="409" t="str">
        <f t="shared" si="10"/>
        <v/>
      </c>
      <c r="Z14" s="39" t="str">
        <f t="shared" si="6"/>
        <v/>
      </c>
      <c r="AA14" s="370" t="str">
        <f t="shared" si="7"/>
        <v/>
      </c>
      <c r="AB14" s="10"/>
      <c r="AH14" s="83"/>
    </row>
    <row r="15" spans="1:34" ht="19.5" customHeight="1" x14ac:dyDescent="0.25">
      <c r="A15" s="38"/>
      <c r="B15" s="220">
        <v>8</v>
      </c>
      <c r="C15" s="9" t="s">
        <v>729</v>
      </c>
      <c r="D15" s="11"/>
      <c r="E15" s="11"/>
      <c r="F15" s="11"/>
      <c r="G15" s="12"/>
      <c r="H15" s="12"/>
      <c r="I15" s="12"/>
      <c r="J15" s="372"/>
      <c r="K15" s="11"/>
      <c r="L15" s="11"/>
      <c r="M15" s="372"/>
      <c r="N15" s="11"/>
      <c r="O15" s="12"/>
      <c r="P15" s="15" t="str">
        <f t="shared" si="0"/>
        <v xml:space="preserve"> </v>
      </c>
      <c r="Q15" s="15" t="str">
        <f t="shared" si="1"/>
        <v/>
      </c>
      <c r="R15" s="15" t="str">
        <f t="shared" si="2"/>
        <v/>
      </c>
      <c r="S15" s="15" t="str">
        <f t="shared" si="3"/>
        <v/>
      </c>
      <c r="T15" s="15" t="str">
        <f t="shared" si="4"/>
        <v/>
      </c>
      <c r="U15" s="15" t="str">
        <f>IF(M15="","",(M15*0.746/S15*$I$35)*O15)</f>
        <v/>
      </c>
      <c r="V15" s="371">
        <v>1</v>
      </c>
      <c r="W15" s="371">
        <f t="shared" si="9"/>
        <v>0</v>
      </c>
      <c r="X15" s="413" t="str">
        <f t="shared" si="5"/>
        <v/>
      </c>
      <c r="Y15" s="409" t="str">
        <f t="shared" si="10"/>
        <v/>
      </c>
      <c r="Z15" s="39" t="str">
        <f t="shared" si="6"/>
        <v/>
      </c>
      <c r="AA15" s="370" t="str">
        <f t="shared" si="7"/>
        <v/>
      </c>
      <c r="AB15" s="10"/>
      <c r="AH15" s="83"/>
    </row>
    <row r="16" spans="1:34" hidden="1" x14ac:dyDescent="0.25">
      <c r="A16" s="27"/>
      <c r="O16">
        <f>SUM(O8:O15)</f>
        <v>0</v>
      </c>
      <c r="U16" t="str">
        <f>IF(M16="","",(M16*0.746/S16*$I$35)*O16)</f>
        <v/>
      </c>
      <c r="W16" s="391">
        <f>SUM(W8:W15)</f>
        <v>0</v>
      </c>
      <c r="X16" s="391">
        <f>SUM(X8:X15)</f>
        <v>0</v>
      </c>
      <c r="Y16" s="391">
        <f t="shared" ref="Y16:Z16" si="11">SUM(Y8:Y15)</f>
        <v>0</v>
      </c>
      <c r="Z16" s="391">
        <f t="shared" si="11"/>
        <v>0</v>
      </c>
      <c r="AH16" s="83"/>
    </row>
    <row r="17" spans="1:34" hidden="1" x14ac:dyDescent="0.25">
      <c r="A17" s="27"/>
      <c r="AH17" s="83"/>
    </row>
    <row r="18" spans="1:34" hidden="1" x14ac:dyDescent="0.25">
      <c r="A18" s="27"/>
      <c r="C18" s="133" t="s">
        <v>117</v>
      </c>
      <c r="D18" s="254"/>
      <c r="E18" s="254"/>
      <c r="F18" s="254"/>
      <c r="G18" s="254"/>
      <c r="H18" s="254"/>
      <c r="I18" s="254"/>
      <c r="AH18" s="83"/>
    </row>
    <row r="19" spans="1:34" hidden="1" x14ac:dyDescent="0.25">
      <c r="A19" s="27"/>
      <c r="H19" s="369" t="s">
        <v>740</v>
      </c>
      <c r="I19" s="368">
        <v>44771</v>
      </c>
      <c r="K19" s="367" t="s">
        <v>739</v>
      </c>
      <c r="AH19" s="83"/>
    </row>
    <row r="20" spans="1:34" ht="15.75" hidden="1" thickBot="1" x14ac:dyDescent="0.3">
      <c r="A20" s="27"/>
      <c r="C20" s="132" t="s">
        <v>83</v>
      </c>
      <c r="D20" s="132" t="s">
        <v>84</v>
      </c>
      <c r="H20" s="560" t="s">
        <v>738</v>
      </c>
      <c r="I20" s="560"/>
      <c r="K20" s="562" t="s">
        <v>737</v>
      </c>
      <c r="L20" s="562"/>
      <c r="M20" s="562"/>
      <c r="U20" s="219"/>
      <c r="V20" s="219"/>
      <c r="W20" s="219"/>
      <c r="X20" s="342"/>
      <c r="AH20" s="83"/>
    </row>
    <row r="21" spans="1:34" ht="15.75" hidden="1" thickBot="1" x14ac:dyDescent="0.3">
      <c r="A21" s="27"/>
      <c r="C21" s="4" t="s">
        <v>124</v>
      </c>
      <c r="D21" s="4" t="s">
        <v>124</v>
      </c>
      <c r="H21" s="364" t="s">
        <v>736</v>
      </c>
      <c r="I21" s="351"/>
      <c r="K21" s="562"/>
      <c r="L21" s="562"/>
      <c r="M21" s="562"/>
      <c r="U21" s="219"/>
      <c r="V21" s="219"/>
      <c r="W21" s="219"/>
      <c r="AH21" s="83"/>
    </row>
    <row r="22" spans="1:34" ht="15.75" hidden="1" thickBot="1" x14ac:dyDescent="0.3">
      <c r="A22" s="27"/>
      <c r="H22" s="366" t="s">
        <v>718</v>
      </c>
      <c r="I22" s="365">
        <v>0.97799999999999998</v>
      </c>
      <c r="K22" s="562"/>
      <c r="L22" s="562"/>
      <c r="M22" s="562"/>
      <c r="U22" s="219"/>
      <c r="V22" s="219"/>
      <c r="W22" s="219"/>
      <c r="AH22" s="83"/>
    </row>
    <row r="23" spans="1:34" ht="15.75" hidden="1" thickBot="1" x14ac:dyDescent="0.3">
      <c r="A23" s="27"/>
      <c r="H23" s="364" t="s">
        <v>735</v>
      </c>
      <c r="I23" s="351"/>
      <c r="K23" s="562"/>
      <c r="L23" s="562"/>
      <c r="M23" s="562"/>
      <c r="U23" s="219"/>
      <c r="V23" s="219"/>
      <c r="W23" s="219"/>
      <c r="AH23" s="83"/>
    </row>
    <row r="24" spans="1:34" hidden="1" x14ac:dyDescent="0.25">
      <c r="A24" s="27"/>
      <c r="C24" s="131" t="s">
        <v>734</v>
      </c>
      <c r="H24" s="359" t="s">
        <v>733</v>
      </c>
      <c r="I24" s="358">
        <v>1.38</v>
      </c>
      <c r="K24" s="562"/>
      <c r="L24" s="562"/>
      <c r="M24" s="562"/>
      <c r="U24" s="219"/>
      <c r="V24" s="219"/>
      <c r="W24" s="219"/>
      <c r="AH24" s="83"/>
    </row>
    <row r="25" spans="1:34" ht="30" hidden="1" x14ac:dyDescent="0.25">
      <c r="A25" s="27"/>
      <c r="C25" s="8">
        <v>8760</v>
      </c>
      <c r="H25" s="363" t="s">
        <v>732</v>
      </c>
      <c r="I25" s="362">
        <v>1.19</v>
      </c>
      <c r="K25" s="562"/>
      <c r="L25" s="562"/>
      <c r="M25" s="562"/>
      <c r="U25" s="219"/>
      <c r="V25" s="219"/>
      <c r="W25" s="219"/>
      <c r="AH25" s="83"/>
    </row>
    <row r="26" spans="1:34" hidden="1" x14ac:dyDescent="0.25">
      <c r="A26" s="27"/>
      <c r="H26" s="363" t="s">
        <v>731</v>
      </c>
      <c r="I26" s="362">
        <v>1.76</v>
      </c>
      <c r="U26" s="219"/>
      <c r="V26" s="219"/>
      <c r="W26" s="219"/>
      <c r="AH26" s="83"/>
    </row>
    <row r="27" spans="1:34" ht="30.75" hidden="1" thickBot="1" x14ac:dyDescent="0.3">
      <c r="A27" s="27"/>
      <c r="C27" s="340" t="s">
        <v>54</v>
      </c>
      <c r="H27" s="361" t="s">
        <v>730</v>
      </c>
      <c r="I27" s="355">
        <v>1.38</v>
      </c>
      <c r="N27" s="353"/>
      <c r="O27" s="353"/>
      <c r="U27" s="219"/>
      <c r="V27" s="219"/>
      <c r="W27" s="219"/>
      <c r="AH27" s="83"/>
    </row>
    <row r="28" spans="1:34" ht="15.75" hidden="1" thickBot="1" x14ac:dyDescent="0.3">
      <c r="A28" s="27"/>
      <c r="C28" s="76">
        <f>50*'Project Summary'!M12</f>
        <v>25</v>
      </c>
      <c r="D28" s="328" t="s">
        <v>729</v>
      </c>
      <c r="H28" s="352" t="s">
        <v>728</v>
      </c>
      <c r="I28" s="351"/>
      <c r="N28" s="353"/>
      <c r="O28" s="353"/>
      <c r="U28" s="219"/>
      <c r="V28" s="219"/>
      <c r="W28" s="219"/>
      <c r="AH28" s="83"/>
    </row>
    <row r="29" spans="1:34" hidden="1" x14ac:dyDescent="0.25">
      <c r="A29" s="27"/>
      <c r="H29" s="359" t="s">
        <v>727</v>
      </c>
      <c r="I29" s="358">
        <v>0.3</v>
      </c>
      <c r="N29" s="353"/>
      <c r="O29" s="353"/>
      <c r="U29" s="219"/>
      <c r="V29" s="219"/>
      <c r="W29" s="219"/>
      <c r="AH29" s="83"/>
    </row>
    <row r="30" spans="1:34" ht="32.450000000000003" hidden="1" customHeight="1" thickBot="1" x14ac:dyDescent="0.3">
      <c r="A30" s="27"/>
      <c r="H30" s="361" t="s">
        <v>726</v>
      </c>
      <c r="I30" s="355">
        <v>0.6</v>
      </c>
      <c r="K30" s="360">
        <v>0.5</v>
      </c>
      <c r="L30" s="346" t="s">
        <v>717</v>
      </c>
      <c r="N30" s="353"/>
      <c r="O30" s="353"/>
      <c r="U30" s="219"/>
      <c r="V30" s="219"/>
      <c r="W30" s="219"/>
      <c r="AH30" s="83"/>
    </row>
    <row r="31" spans="1:34" ht="15.75" hidden="1" thickBot="1" x14ac:dyDescent="0.3">
      <c r="A31" s="27"/>
      <c r="C31" s="13" t="s">
        <v>146</v>
      </c>
      <c r="H31" s="352" t="s">
        <v>725</v>
      </c>
      <c r="I31" s="351"/>
      <c r="N31" s="353"/>
      <c r="O31" s="353"/>
      <c r="U31" s="219"/>
      <c r="V31" s="219"/>
      <c r="W31" s="219"/>
      <c r="AH31" s="83"/>
    </row>
    <row r="32" spans="1:34" ht="30" hidden="1" x14ac:dyDescent="0.25">
      <c r="A32" s="27"/>
      <c r="C32" s="5">
        <v>15</v>
      </c>
      <c r="H32" s="359" t="s">
        <v>724</v>
      </c>
      <c r="I32" s="358">
        <v>0.7</v>
      </c>
      <c r="K32" s="357" cm="1">
        <f t="array" ref="K32">(746*K30)/_xlfn.IFS(K34="SP",0.4,K34="PSC",0.5,K34="ECM",0.7)</f>
        <v>532.85714285714289</v>
      </c>
      <c r="L32" s="346" t="s">
        <v>722</v>
      </c>
      <c r="N32" s="353"/>
      <c r="O32" s="353"/>
      <c r="X32" s="126"/>
      <c r="Y32" s="126"/>
      <c r="Z32" s="126"/>
      <c r="AA32" s="126"/>
      <c r="AB32" s="126"/>
      <c r="AC32" s="126"/>
      <c r="AD32" s="126"/>
      <c r="AH32" s="83"/>
    </row>
    <row r="33" spans="1:34" ht="30.75" hidden="1" thickBot="1" x14ac:dyDescent="0.3">
      <c r="A33" s="27"/>
      <c r="C33" s="34"/>
      <c r="H33" s="356" t="s">
        <v>723</v>
      </c>
      <c r="I33" s="355">
        <v>0.73</v>
      </c>
      <c r="K33" s="354">
        <v>72</v>
      </c>
      <c r="L33" s="346" t="s">
        <v>722</v>
      </c>
      <c r="M33" s="33"/>
      <c r="N33" s="353"/>
      <c r="O33" s="353"/>
      <c r="P33" s="35"/>
      <c r="Q33" s="35"/>
      <c r="R33" s="35"/>
      <c r="S33" s="35"/>
      <c r="T33" s="35"/>
      <c r="U33" s="35"/>
      <c r="V33" s="35"/>
      <c r="W33" s="35"/>
      <c r="X33" s="126"/>
      <c r="Y33" s="126"/>
      <c r="Z33" s="126"/>
      <c r="AA33" s="126"/>
      <c r="AB33" s="126"/>
      <c r="AC33" s="126"/>
      <c r="AD33" s="126"/>
      <c r="AH33" s="83"/>
    </row>
    <row r="34" spans="1:34" ht="21" hidden="1" customHeight="1" thickBot="1" x14ac:dyDescent="0.3">
      <c r="A34" s="27"/>
      <c r="C34" s="223" t="s">
        <v>150</v>
      </c>
      <c r="H34" s="352" t="s">
        <v>721</v>
      </c>
      <c r="I34" s="351"/>
      <c r="K34" s="350" t="s">
        <v>720</v>
      </c>
      <c r="L34" s="346" t="s">
        <v>719</v>
      </c>
      <c r="U34" s="35"/>
      <c r="V34" s="35"/>
      <c r="W34" s="35"/>
      <c r="X34" s="126"/>
      <c r="Y34" s="126"/>
      <c r="Z34" s="126"/>
      <c r="AA34" s="126"/>
      <c r="AB34" s="126"/>
      <c r="AC34" s="126"/>
      <c r="AD34" s="126"/>
      <c r="AH34" s="83"/>
    </row>
    <row r="35" spans="1:34" ht="15.75" hidden="1" thickBot="1" x14ac:dyDescent="0.3">
      <c r="A35" s="27"/>
      <c r="C35" s="22"/>
      <c r="H35" s="349" t="s">
        <v>718</v>
      </c>
      <c r="I35" s="348">
        <v>0.9</v>
      </c>
      <c r="K35" s="347" cm="1">
        <f t="array" ref="K35">(K33*_xlfn.IFS(K34="SP",0.4,K34="PSC",0.5,K34="ECM",0.7))/746</f>
        <v>6.7560321715817689E-2</v>
      </c>
      <c r="L35" s="346" t="s">
        <v>717</v>
      </c>
      <c r="U35" s="35"/>
      <c r="V35" s="35"/>
      <c r="W35" s="35"/>
      <c r="X35" s="126"/>
      <c r="Y35" s="126"/>
      <c r="Z35" s="126"/>
      <c r="AA35" s="126"/>
      <c r="AB35" s="126"/>
      <c r="AC35" s="126"/>
      <c r="AD35" s="126"/>
      <c r="AH35" s="83"/>
    </row>
    <row r="36" spans="1:34" hidden="1" x14ac:dyDescent="0.25">
      <c r="A36" s="27"/>
      <c r="C36" s="34"/>
      <c r="U36" s="35"/>
      <c r="V36" s="35"/>
      <c r="W36" s="35"/>
      <c r="X36" s="126"/>
      <c r="Y36" s="126"/>
      <c r="Z36" s="126"/>
      <c r="AA36" s="126"/>
      <c r="AB36" s="126"/>
      <c r="AC36" s="126"/>
      <c r="AD36" s="126"/>
      <c r="AH36" s="83"/>
    </row>
    <row r="37" spans="1:34" hidden="1" x14ac:dyDescent="0.25">
      <c r="A37" s="27"/>
      <c r="C37" s="34"/>
      <c r="U37" s="35"/>
      <c r="V37" s="35"/>
      <c r="W37" s="35"/>
      <c r="X37" s="126"/>
      <c r="Y37" s="126"/>
      <c r="Z37" s="126"/>
      <c r="AA37" s="126"/>
      <c r="AB37" s="126"/>
      <c r="AC37" s="126"/>
      <c r="AD37" s="126"/>
      <c r="AH37" s="83"/>
    </row>
    <row r="38" spans="1:34" hidden="1" x14ac:dyDescent="0.25">
      <c r="A38" s="27"/>
      <c r="C38" s="317" t="s">
        <v>676</v>
      </c>
      <c r="U38" s="35"/>
      <c r="V38" s="35"/>
      <c r="W38" s="35"/>
      <c r="X38" s="126"/>
      <c r="Y38" s="126"/>
      <c r="Z38" s="126"/>
      <c r="AA38" s="126"/>
      <c r="AB38" s="126"/>
      <c r="AC38" s="126"/>
      <c r="AD38" s="126"/>
      <c r="AH38" s="83"/>
    </row>
    <row r="39" spans="1:34" hidden="1" x14ac:dyDescent="0.25">
      <c r="A39" s="27"/>
      <c r="C39" t="s">
        <v>716</v>
      </c>
      <c r="U39" s="35"/>
      <c r="V39" s="35"/>
      <c r="W39" s="35"/>
      <c r="X39" s="126"/>
      <c r="Y39" s="126"/>
      <c r="Z39" s="126"/>
      <c r="AA39" s="126"/>
      <c r="AB39" s="126"/>
      <c r="AC39" s="126"/>
      <c r="AD39" s="126"/>
      <c r="AH39" s="83"/>
    </row>
    <row r="40" spans="1:34" hidden="1" x14ac:dyDescent="0.25">
      <c r="A40" s="27"/>
      <c r="C40" s="316" t="s">
        <v>671</v>
      </c>
      <c r="U40" s="35"/>
      <c r="V40" s="35"/>
      <c r="W40" s="35"/>
      <c r="X40" s="126"/>
      <c r="Y40" s="126"/>
      <c r="Z40" s="126"/>
      <c r="AA40" s="126"/>
      <c r="AB40" s="126"/>
      <c r="AC40" s="126"/>
      <c r="AD40" s="126"/>
      <c r="AH40" s="83"/>
    </row>
    <row r="41" spans="1:34" hidden="1" x14ac:dyDescent="0.25">
      <c r="A41" s="27"/>
      <c r="C41" s="316" t="s">
        <v>670</v>
      </c>
      <c r="U41" s="139"/>
      <c r="V41" s="139"/>
      <c r="W41" s="139"/>
      <c r="X41" s="139"/>
      <c r="Y41" s="139"/>
      <c r="Z41" s="139"/>
      <c r="AA41" s="139"/>
      <c r="AB41" s="139"/>
      <c r="AC41" s="139"/>
      <c r="AD41" s="139"/>
      <c r="AH41" s="83"/>
    </row>
    <row r="42" spans="1:34" hidden="1" x14ac:dyDescent="0.25">
      <c r="A42" s="27"/>
      <c r="C42" s="316" t="s">
        <v>715</v>
      </c>
      <c r="U42" s="229"/>
      <c r="V42" s="229"/>
      <c r="W42" s="229"/>
      <c r="X42" s="229"/>
      <c r="Y42" s="229"/>
      <c r="Z42" s="229"/>
      <c r="AA42" s="229"/>
      <c r="AB42" s="229"/>
      <c r="AC42" s="229"/>
      <c r="AD42" s="229"/>
      <c r="AH42" s="83"/>
    </row>
    <row r="43" spans="1:34" hidden="1" x14ac:dyDescent="0.25">
      <c r="A43" s="27"/>
      <c r="C43" s="316" t="s">
        <v>714</v>
      </c>
      <c r="U43" s="35"/>
      <c r="V43" s="35"/>
      <c r="W43" s="35"/>
      <c r="X43" s="126"/>
      <c r="Y43" s="126"/>
      <c r="Z43" s="126"/>
      <c r="AA43" s="126"/>
      <c r="AB43" s="126"/>
      <c r="AC43" s="126"/>
      <c r="AD43" s="126"/>
      <c r="AH43" s="83"/>
    </row>
    <row r="44" spans="1:34" hidden="1" x14ac:dyDescent="0.25">
      <c r="A44" s="27"/>
      <c r="C44" s="316" t="s">
        <v>713</v>
      </c>
      <c r="U44" s="35"/>
      <c r="V44" s="35"/>
      <c r="W44" s="35"/>
      <c r="X44" s="126"/>
      <c r="Y44" s="126"/>
      <c r="Z44" s="126"/>
      <c r="AA44" s="126"/>
      <c r="AB44" s="126"/>
      <c r="AC44" s="126"/>
      <c r="AD44" s="126"/>
      <c r="AH44" s="83"/>
    </row>
    <row r="45" spans="1:34" hidden="1" x14ac:dyDescent="0.25">
      <c r="A45" s="27"/>
      <c r="U45" s="35"/>
      <c r="V45" s="35"/>
      <c r="W45" s="35"/>
      <c r="X45" s="126"/>
      <c r="Y45" s="126"/>
      <c r="Z45" s="126"/>
      <c r="AA45" s="126"/>
      <c r="AB45" s="126"/>
      <c r="AC45" s="126"/>
      <c r="AD45" s="126"/>
      <c r="AH45" s="83"/>
    </row>
    <row r="46" spans="1:34" hidden="1" x14ac:dyDescent="0.25">
      <c r="A46" s="27"/>
      <c r="H46" s="219"/>
      <c r="I46" s="219"/>
      <c r="J46" s="33"/>
      <c r="K46" s="33"/>
      <c r="L46" s="33"/>
      <c r="M46" s="33"/>
      <c r="N46" s="33"/>
      <c r="O46" s="35"/>
      <c r="P46" s="35"/>
      <c r="Q46" s="35"/>
      <c r="R46" s="35"/>
      <c r="S46" s="35"/>
      <c r="T46" s="35"/>
      <c r="U46" s="35"/>
      <c r="V46" s="35"/>
      <c r="W46" s="35"/>
      <c r="X46" s="126"/>
      <c r="Y46" s="126"/>
      <c r="Z46" s="126"/>
      <c r="AA46" s="126"/>
      <c r="AB46" s="126"/>
      <c r="AC46" s="126"/>
      <c r="AD46" s="126"/>
      <c r="AH46" s="83"/>
    </row>
    <row r="47" spans="1:34" hidden="1" x14ac:dyDescent="0.25">
      <c r="A47" s="27"/>
      <c r="H47" s="219"/>
      <c r="I47" s="219"/>
      <c r="J47" s="33"/>
      <c r="K47" s="33"/>
      <c r="L47" s="33"/>
      <c r="M47" s="33"/>
      <c r="N47" s="33"/>
      <c r="O47" s="35"/>
      <c r="P47" s="35"/>
      <c r="Q47" s="35"/>
      <c r="R47" s="35"/>
      <c r="S47" s="35"/>
      <c r="T47" s="35"/>
      <c r="U47" s="35"/>
      <c r="V47" s="35"/>
      <c r="W47" s="35"/>
      <c r="X47" s="126"/>
      <c r="Y47" s="126"/>
      <c r="Z47" s="126"/>
      <c r="AA47" s="126"/>
      <c r="AB47" s="126"/>
      <c r="AC47" s="126"/>
      <c r="AD47" s="126"/>
      <c r="AH47" s="83"/>
    </row>
    <row r="48" spans="1:34" hidden="1" x14ac:dyDescent="0.25">
      <c r="A48" s="27"/>
      <c r="H48" s="219"/>
      <c r="I48" s="219"/>
      <c r="J48" s="33"/>
      <c r="K48" s="33"/>
      <c r="L48" s="33"/>
      <c r="M48" s="33"/>
      <c r="N48" s="33"/>
      <c r="O48" s="35"/>
      <c r="P48" s="35"/>
      <c r="Q48" s="35"/>
      <c r="R48" s="35"/>
      <c r="S48" s="35"/>
      <c r="T48" s="35"/>
      <c r="U48" s="35"/>
      <c r="V48" s="35"/>
      <c r="W48" s="35"/>
      <c r="X48" s="126"/>
      <c r="Y48" s="126"/>
      <c r="Z48" s="126"/>
      <c r="AA48" s="126"/>
      <c r="AB48" s="126"/>
      <c r="AC48" s="126"/>
      <c r="AD48" s="126"/>
      <c r="AH48" s="83"/>
    </row>
    <row r="49" spans="1:34" hidden="1" x14ac:dyDescent="0.25">
      <c r="A49" s="27"/>
      <c r="H49" s="219"/>
      <c r="I49" s="219"/>
      <c r="J49" s="33"/>
      <c r="K49" s="33"/>
      <c r="L49" s="33"/>
      <c r="M49" s="33"/>
      <c r="N49" s="33"/>
      <c r="O49" s="35"/>
      <c r="P49" s="35"/>
      <c r="Q49" s="35"/>
      <c r="R49" s="35"/>
      <c r="S49" s="35"/>
      <c r="T49" s="35"/>
      <c r="U49" s="35"/>
      <c r="V49" s="35"/>
      <c r="W49" s="35"/>
      <c r="X49" s="126"/>
      <c r="Y49" s="126"/>
      <c r="Z49" s="126"/>
      <c r="AA49" s="126"/>
      <c r="AB49" s="126"/>
      <c r="AC49" s="126"/>
      <c r="AD49" s="126"/>
      <c r="AH49" s="83"/>
    </row>
    <row r="50" spans="1:34" hidden="1" x14ac:dyDescent="0.25">
      <c r="A50" s="27"/>
      <c r="H50" s="219"/>
      <c r="I50" s="219"/>
      <c r="J50" s="33"/>
      <c r="K50" s="33"/>
      <c r="L50" s="33"/>
      <c r="M50" s="33"/>
      <c r="N50" s="33"/>
      <c r="O50" s="35"/>
      <c r="P50" s="35"/>
      <c r="Q50" s="35"/>
      <c r="R50" s="35"/>
      <c r="S50" s="35"/>
      <c r="T50" s="35"/>
      <c r="U50" s="35"/>
      <c r="V50" s="35"/>
      <c r="W50" s="35"/>
      <c r="X50" s="126"/>
      <c r="Y50" s="126"/>
      <c r="Z50" s="126"/>
      <c r="AA50" s="126"/>
      <c r="AB50" s="126"/>
      <c r="AC50" s="126"/>
      <c r="AD50" s="126"/>
      <c r="AH50" s="83"/>
    </row>
    <row r="51" spans="1:34" s="82" customFormat="1" hidden="1" x14ac:dyDescent="0.25">
      <c r="A51" s="27"/>
      <c r="B51"/>
      <c r="D51"/>
      <c r="E51"/>
      <c r="F51"/>
      <c r="G51"/>
      <c r="H51"/>
      <c r="I51"/>
      <c r="J51"/>
      <c r="K51"/>
      <c r="L51"/>
      <c r="M51"/>
      <c r="N51"/>
      <c r="O51"/>
      <c r="P51"/>
      <c r="Q51"/>
      <c r="R51"/>
      <c r="S51"/>
      <c r="T51"/>
      <c r="U51"/>
      <c r="V51"/>
      <c r="W51"/>
      <c r="X51"/>
      <c r="Y51"/>
      <c r="Z51"/>
      <c r="AA51"/>
      <c r="AB51"/>
      <c r="AC51"/>
      <c r="AD51"/>
      <c r="AE51"/>
      <c r="AF51"/>
      <c r="AG51"/>
      <c r="AH51" s="83"/>
    </row>
    <row r="52" spans="1:34" s="82" customFormat="1" hidden="1" x14ac:dyDescent="0.25">
      <c r="A52" s="27"/>
      <c r="B52"/>
      <c r="D52"/>
      <c r="E52"/>
      <c r="F52"/>
      <c r="G52"/>
      <c r="H52"/>
      <c r="I52"/>
      <c r="J52"/>
      <c r="K52"/>
      <c r="L52"/>
      <c r="M52"/>
      <c r="N52"/>
      <c r="O52"/>
      <c r="P52"/>
      <c r="Q52"/>
      <c r="R52"/>
      <c r="S52"/>
      <c r="T52"/>
      <c r="U52"/>
      <c r="V52"/>
      <c r="W52"/>
      <c r="X52"/>
      <c r="Y52"/>
      <c r="Z52"/>
      <c r="AA52"/>
      <c r="AB52"/>
      <c r="AC52"/>
      <c r="AD52"/>
      <c r="AE52"/>
      <c r="AF52"/>
      <c r="AG52"/>
      <c r="AH52" s="83"/>
    </row>
    <row r="53" spans="1:34" s="82" customFormat="1" hidden="1" x14ac:dyDescent="0.25">
      <c r="A53" s="27"/>
      <c r="B53"/>
      <c r="D53"/>
      <c r="E53"/>
      <c r="F53"/>
      <c r="G53"/>
      <c r="H53"/>
      <c r="I53"/>
      <c r="J53"/>
      <c r="K53"/>
      <c r="L53"/>
      <c r="M53"/>
      <c r="N53"/>
      <c r="O53"/>
      <c r="P53"/>
      <c r="Q53"/>
      <c r="R53"/>
      <c r="S53"/>
      <c r="T53"/>
      <c r="U53"/>
      <c r="V53"/>
      <c r="W53"/>
      <c r="X53"/>
      <c r="Y53"/>
      <c r="Z53"/>
      <c r="AA53"/>
      <c r="AB53"/>
      <c r="AC53"/>
      <c r="AD53"/>
      <c r="AE53"/>
      <c r="AF53"/>
      <c r="AG53"/>
      <c r="AH53" s="83"/>
    </row>
    <row r="54" spans="1:34" s="82" customFormat="1" hidden="1" x14ac:dyDescent="0.25">
      <c r="A54" s="27"/>
      <c r="B54"/>
      <c r="C54" s="316"/>
      <c r="D54"/>
      <c r="E54"/>
      <c r="F54"/>
      <c r="G54"/>
      <c r="H54"/>
      <c r="I54"/>
      <c r="J54"/>
      <c r="K54"/>
      <c r="L54"/>
      <c r="M54"/>
      <c r="N54"/>
      <c r="O54"/>
      <c r="P54"/>
      <c r="Q54"/>
      <c r="R54"/>
      <c r="S54"/>
      <c r="T54"/>
      <c r="U54"/>
      <c r="V54"/>
      <c r="W54"/>
      <c r="X54"/>
      <c r="Y54"/>
      <c r="Z54"/>
      <c r="AA54"/>
      <c r="AB54"/>
      <c r="AC54"/>
      <c r="AD54"/>
      <c r="AE54"/>
      <c r="AF54"/>
      <c r="AG54"/>
      <c r="AH54" s="83"/>
    </row>
    <row r="55" spans="1:34" s="82" customFormat="1"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row>
    <row r="56" spans="1:34" s="82" customFormat="1"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row>
    <row r="57" spans="1:34" s="82" customFormat="1" x14ac:dyDescent="0.25"/>
    <row r="58" spans="1:34" s="82" customFormat="1" x14ac:dyDescent="0.25"/>
    <row r="59" spans="1:34" s="82" customFormat="1" x14ac:dyDescent="0.25"/>
    <row r="60" spans="1:34" s="82" customFormat="1" x14ac:dyDescent="0.25"/>
    <row r="61" spans="1:34" s="82" customFormat="1" ht="14.45" customHeight="1" x14ac:dyDescent="0.25"/>
    <row r="62" spans="1:34" s="82" customFormat="1" x14ac:dyDescent="0.25"/>
    <row r="63" spans="1:34" s="82" customFormat="1" x14ac:dyDescent="0.25"/>
    <row r="64" spans="1:3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sheetData>
  <sheetProtection algorithmName="SHA-512" hashValue="VtSma77aa67VMpx8fBsHCIRa/tzAioTk7f1rMOSofbrtdU5XpVGfK1d58ODB2C7UR3fvwEE2dK80spPxyA7juw==" saltValue="Al9w5bfPGTZciMfALg/6cg==" spinCount="100000" sheet="1" selectLockedCells="1"/>
  <mergeCells count="6">
    <mergeCell ref="H20:I20"/>
    <mergeCell ref="X5:Z5"/>
    <mergeCell ref="K20:M25"/>
    <mergeCell ref="B2:U2"/>
    <mergeCell ref="B3:C3"/>
    <mergeCell ref="D3:F4"/>
  </mergeCells>
  <dataValidations count="6">
    <dataValidation type="list" allowBlank="1" showInputMessage="1" showErrorMessage="1" sqref="K34" xr:uid="{3A87AB1E-A6EF-4D38-9788-7AA68BE88031}">
      <formula1>"SP,PSC,ECM"</formula1>
    </dataValidation>
    <dataValidation type="list" allowBlank="1" showInputMessage="1" showErrorMessage="1" sqref="N8:N15" xr:uid="{72A5AB2A-FBA4-4627-9BF3-D16B91E845A2}">
      <formula1>$H$32:$H$33</formula1>
    </dataValidation>
    <dataValidation type="list" allowBlank="1" showInputMessage="1" showErrorMessage="1" sqref="K8:K15" xr:uid="{59579641-2003-4638-A425-865304530659}">
      <formula1>$H$29:$H$30</formula1>
    </dataValidation>
    <dataValidation type="list" allowBlank="1" showInputMessage="1" showErrorMessage="1" sqref="I8:I15" xr:uid="{55F3A020-7788-4CCA-BFF8-4FFA8FC2DB18}">
      <formula1>"Cooler,Freezer"</formula1>
    </dataValidation>
    <dataValidation type="list" allowBlank="1" showInputMessage="1" showErrorMessage="1" sqref="L8:L15" xr:uid="{476A34F5-FEC6-454F-B58D-2BC0D04996FE}">
      <formula1>"Yes,No"</formula1>
    </dataValidation>
    <dataValidation type="list" allowBlank="1" showInputMessage="1" showErrorMessage="1" sqref="D8:D15" xr:uid="{8728B16B-5533-43F9-B52D-F5E0E6D62DC3}">
      <formula1>$C$21:$C$22</formula1>
    </dataValidation>
  </dataValidations>
  <hyperlinks>
    <hyperlink ref="B3" location="'Calculator Index'!A1" display="Return to Index" xr:uid="{B73CB222-C6DB-41FC-8FF6-091C5994D073}"/>
    <hyperlink ref="B3:C3" location="'Project Summary'!A1" display="Return to Project Summary" xr:uid="{EB65570F-E926-487F-A99F-B7008E52BDF8}"/>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0D71-E944-4D04-B59F-544FEA6DF9BB}">
  <dimension ref="A1:FC739"/>
  <sheetViews>
    <sheetView topLeftCell="A2" zoomScale="80" zoomScaleNormal="80" workbookViewId="0">
      <selection activeCell="K12" sqref="K12"/>
    </sheetView>
  </sheetViews>
  <sheetFormatPr defaultRowHeight="15" x14ac:dyDescent="0.25"/>
  <cols>
    <col min="1" max="1" width="3.7109375" customWidth="1"/>
    <col min="2" max="2" width="5" customWidth="1"/>
    <col min="3" max="3" width="27.140625" customWidth="1"/>
    <col min="4" max="4" width="21.7109375" bestFit="1" customWidth="1"/>
    <col min="5" max="5" width="18.85546875" hidden="1" customWidth="1"/>
    <col min="6" max="6" width="19.42578125" bestFit="1" customWidth="1"/>
    <col min="7" max="7" width="15.140625" bestFit="1" customWidth="1"/>
    <col min="8" max="8" width="22.42578125" bestFit="1" customWidth="1"/>
    <col min="9" max="9" width="16.7109375" bestFit="1" customWidth="1"/>
    <col min="10" max="10" width="17.42578125" bestFit="1" customWidth="1"/>
    <col min="11" max="11" width="17.42578125" customWidth="1"/>
    <col min="12" max="12" width="33.28515625" bestFit="1" customWidth="1"/>
    <col min="13" max="13" width="12.7109375" bestFit="1" customWidth="1"/>
    <col min="14" max="14" width="25.42578125" customWidth="1"/>
    <col min="15" max="15" width="14" customWidth="1"/>
    <col min="16" max="16" width="4.28515625" hidden="1" customWidth="1"/>
    <col min="17" max="17" width="10.42578125" hidden="1" customWidth="1"/>
    <col min="18" max="18" width="13.7109375" hidden="1" customWidth="1"/>
    <col min="19" max="19" width="11.140625" hidden="1" customWidth="1"/>
    <col min="20" max="20" width="8.28515625" hidden="1" customWidth="1"/>
    <col min="21" max="21" width="21.5703125" hidden="1" customWidth="1"/>
    <col min="22" max="22" width="21.85546875" customWidth="1"/>
    <col min="23" max="23" width="11.42578125" customWidth="1"/>
    <col min="24" max="24" width="12.140625" customWidth="1"/>
    <col min="25" max="25" width="14.85546875" hidden="1" customWidth="1"/>
    <col min="26" max="26" width="15.28515625" hidden="1" customWidth="1"/>
    <col min="27" max="27" width="17.28515625" hidden="1" customWidth="1"/>
    <col min="28" max="29" width="9.140625" hidden="1" customWidth="1"/>
    <col min="30" max="30" width="6.5703125" style="82" customWidth="1"/>
    <col min="31" max="31" width="9.140625" style="82" customWidth="1"/>
    <col min="32" max="159" width="9.140625" style="82"/>
  </cols>
  <sheetData>
    <row r="1" spans="1:30" ht="19.5" customHeight="1" x14ac:dyDescent="0.25">
      <c r="A1" s="38"/>
      <c r="B1" s="38"/>
      <c r="C1" s="38"/>
      <c r="D1" s="38"/>
      <c r="E1" s="38"/>
      <c r="F1" s="38"/>
      <c r="G1" s="38"/>
      <c r="H1" s="38"/>
      <c r="I1" s="38"/>
      <c r="J1" s="38"/>
      <c r="K1" s="38"/>
      <c r="L1" s="38"/>
      <c r="M1" s="38"/>
      <c r="N1" s="38"/>
      <c r="O1" s="38"/>
      <c r="P1" s="38"/>
      <c r="Q1" s="38"/>
      <c r="R1" s="27" t="s">
        <v>758</v>
      </c>
      <c r="S1" s="27" t="s">
        <v>774</v>
      </c>
      <c r="T1" s="27"/>
      <c r="U1" s="27"/>
      <c r="V1" s="27"/>
      <c r="W1" s="27"/>
      <c r="X1" s="27"/>
      <c r="Y1" s="27"/>
      <c r="Z1" s="27"/>
      <c r="AA1" s="27"/>
      <c r="AD1" s="83"/>
    </row>
    <row r="2" spans="1:30" ht="27" customHeight="1" x14ac:dyDescent="0.25">
      <c r="A2" s="38"/>
      <c r="B2" s="563" t="s">
        <v>729</v>
      </c>
      <c r="C2" s="511"/>
      <c r="D2" s="511"/>
      <c r="E2" s="511"/>
      <c r="F2" s="511"/>
      <c r="G2" s="511"/>
      <c r="H2" s="511"/>
      <c r="I2" s="511"/>
      <c r="J2" s="511"/>
      <c r="K2" s="511"/>
      <c r="L2" s="511"/>
      <c r="M2" s="511"/>
      <c r="N2" s="511"/>
      <c r="O2" s="511"/>
      <c r="P2" s="511"/>
      <c r="Q2" s="511"/>
      <c r="R2" s="511"/>
      <c r="S2" s="511"/>
      <c r="T2" s="511"/>
      <c r="U2" s="511"/>
      <c r="V2" s="511"/>
      <c r="W2" s="232"/>
      <c r="X2" s="27"/>
      <c r="Y2" s="27"/>
      <c r="Z2" s="27"/>
      <c r="AA2" s="27"/>
      <c r="AD2" s="83"/>
    </row>
    <row r="3" spans="1:30" ht="23.25" customHeight="1" x14ac:dyDescent="0.25">
      <c r="A3" s="38"/>
      <c r="B3" s="505" t="s">
        <v>79</v>
      </c>
      <c r="C3" s="506"/>
      <c r="D3" s="521" t="s">
        <v>773</v>
      </c>
      <c r="E3" s="522"/>
      <c r="F3" s="522"/>
      <c r="G3" s="522"/>
      <c r="H3" s="523"/>
      <c r="I3" s="38"/>
      <c r="J3" s="38"/>
      <c r="K3" s="38"/>
      <c r="L3" s="38"/>
      <c r="M3" s="38"/>
      <c r="N3" s="38"/>
      <c r="O3" s="38"/>
      <c r="P3" s="38"/>
      <c r="Q3" s="38"/>
      <c r="R3" s="27"/>
      <c r="S3" s="27"/>
      <c r="T3" s="27"/>
      <c r="U3" s="27"/>
      <c r="V3" s="27"/>
      <c r="W3" s="27"/>
      <c r="X3" s="27"/>
      <c r="Y3" s="27"/>
      <c r="Z3" s="27"/>
      <c r="AA3" s="27"/>
      <c r="AD3" s="83"/>
    </row>
    <row r="4" spans="1:30" ht="15.6" customHeight="1" x14ac:dyDescent="0.25">
      <c r="A4" s="38"/>
      <c r="B4" s="38"/>
      <c r="C4" s="38"/>
      <c r="D4" s="524"/>
      <c r="E4" s="525"/>
      <c r="F4" s="525"/>
      <c r="G4" s="525"/>
      <c r="H4" s="526"/>
      <c r="I4" s="38"/>
      <c r="J4" s="38"/>
      <c r="K4" s="38"/>
      <c r="L4" s="38"/>
      <c r="M4" s="38"/>
      <c r="N4" s="38"/>
      <c r="O4" s="38"/>
      <c r="P4" s="38"/>
      <c r="Q4" s="38"/>
      <c r="R4" s="27"/>
      <c r="S4" s="27"/>
      <c r="T4" s="27"/>
      <c r="U4" s="27"/>
      <c r="V4" s="27"/>
      <c r="W4" s="27"/>
      <c r="X4" s="27"/>
      <c r="Y4" s="27"/>
      <c r="Z4" s="27"/>
      <c r="AA4" s="27"/>
      <c r="AD4" s="83"/>
    </row>
    <row r="5" spans="1:30" x14ac:dyDescent="0.25">
      <c r="A5" s="38"/>
      <c r="B5" s="38"/>
      <c r="C5" s="38"/>
      <c r="D5" s="38"/>
      <c r="E5" s="27"/>
      <c r="F5" s="38"/>
      <c r="G5" s="38"/>
      <c r="H5" s="38"/>
      <c r="I5" s="38"/>
      <c r="J5" s="38"/>
      <c r="K5" s="38"/>
      <c r="L5" s="38"/>
      <c r="M5" s="38"/>
      <c r="N5" s="38"/>
      <c r="O5" s="38"/>
      <c r="P5" s="38"/>
      <c r="Q5" s="38"/>
      <c r="R5" s="27"/>
      <c r="S5" s="27"/>
      <c r="T5" s="27"/>
      <c r="U5" s="27"/>
      <c r="V5" s="27"/>
      <c r="W5" s="27"/>
      <c r="X5" s="27"/>
      <c r="Y5" s="27"/>
      <c r="Z5" s="27"/>
      <c r="AA5" s="27"/>
      <c r="AD5" s="83"/>
    </row>
    <row r="6" spans="1:30" ht="43.9" customHeight="1" x14ac:dyDescent="0.25">
      <c r="A6" s="38"/>
      <c r="B6" s="153" t="s">
        <v>81</v>
      </c>
      <c r="C6" s="153" t="s">
        <v>82</v>
      </c>
      <c r="D6" s="153" t="s">
        <v>83</v>
      </c>
      <c r="E6" s="153" t="s">
        <v>84</v>
      </c>
      <c r="F6" s="153" t="s">
        <v>85</v>
      </c>
      <c r="G6" s="153" t="s">
        <v>86</v>
      </c>
      <c r="H6" s="153" t="s">
        <v>87</v>
      </c>
      <c r="I6" s="153" t="s">
        <v>755</v>
      </c>
      <c r="J6" s="153" t="s">
        <v>777</v>
      </c>
      <c r="K6" s="153" t="s">
        <v>778</v>
      </c>
      <c r="L6" s="153" t="s">
        <v>753</v>
      </c>
      <c r="M6" s="153" t="s">
        <v>775</v>
      </c>
      <c r="N6" s="153" t="s">
        <v>772</v>
      </c>
      <c r="O6" s="153" t="s">
        <v>776</v>
      </c>
      <c r="P6" s="153" t="s">
        <v>764</v>
      </c>
      <c r="Q6" s="153" t="s">
        <v>771</v>
      </c>
      <c r="R6" s="153" t="s">
        <v>770</v>
      </c>
      <c r="S6" s="153" t="s">
        <v>735</v>
      </c>
      <c r="T6" s="152" t="s">
        <v>93</v>
      </c>
      <c r="U6" s="152" t="s">
        <v>215</v>
      </c>
      <c r="V6" s="153" t="s">
        <v>779</v>
      </c>
      <c r="W6" s="153" t="s">
        <v>53</v>
      </c>
      <c r="X6" s="153" t="s">
        <v>54</v>
      </c>
      <c r="Y6" s="375" t="s">
        <v>97</v>
      </c>
      <c r="Z6" s="154" t="s">
        <v>98</v>
      </c>
      <c r="AA6" s="154" t="s">
        <v>99</v>
      </c>
      <c r="AD6" s="83"/>
    </row>
    <row r="7" spans="1:30" ht="17.25" hidden="1" customHeight="1" x14ac:dyDescent="0.25">
      <c r="A7" s="38"/>
      <c r="B7" s="245" t="s">
        <v>100</v>
      </c>
      <c r="C7" s="245"/>
      <c r="D7" s="245" t="s">
        <v>101</v>
      </c>
      <c r="E7" s="245" t="s">
        <v>102</v>
      </c>
      <c r="F7" s="245" t="s">
        <v>103</v>
      </c>
      <c r="G7" s="245" t="s">
        <v>104</v>
      </c>
      <c r="H7" s="245" t="s">
        <v>105</v>
      </c>
      <c r="I7" s="245"/>
      <c r="J7" s="245" t="s">
        <v>745</v>
      </c>
      <c r="K7" s="245"/>
      <c r="L7" s="245" t="s">
        <v>744</v>
      </c>
      <c r="M7" s="245" t="s">
        <v>743</v>
      </c>
      <c r="N7" s="245" t="s">
        <v>769</v>
      </c>
      <c r="O7" s="245" t="s">
        <v>51</v>
      </c>
      <c r="P7" s="245"/>
      <c r="Q7" s="245"/>
      <c r="R7" s="245"/>
      <c r="S7" s="245"/>
      <c r="T7" s="246"/>
      <c r="U7" s="246"/>
      <c r="V7" s="245" t="s">
        <v>109</v>
      </c>
      <c r="W7" s="245" t="s">
        <v>110</v>
      </c>
      <c r="X7" s="245" t="s">
        <v>111</v>
      </c>
      <c r="Y7" s="373" t="s">
        <v>112</v>
      </c>
      <c r="Z7" s="245" t="s">
        <v>113</v>
      </c>
      <c r="AA7" s="250" t="s">
        <v>114</v>
      </c>
      <c r="AD7" s="83"/>
    </row>
    <row r="8" spans="1:30" ht="19.5" customHeight="1" x14ac:dyDescent="0.25">
      <c r="A8" s="38"/>
      <c r="B8" s="220">
        <v>1</v>
      </c>
      <c r="C8" s="9" t="s">
        <v>663</v>
      </c>
      <c r="D8" s="11"/>
      <c r="E8" s="11"/>
      <c r="F8" s="11"/>
      <c r="G8" s="12"/>
      <c r="H8" s="12"/>
      <c r="I8" s="12"/>
      <c r="J8" s="389"/>
      <c r="K8" s="389"/>
      <c r="L8" s="11"/>
      <c r="M8" s="11"/>
      <c r="N8" s="11"/>
      <c r="O8" s="12"/>
      <c r="P8" s="15" t="str">
        <f t="shared" ref="P8:P15" si="0">_xlfn.XLOOKUP(L8,$H$31:$H$32,$I$31:$I$32,"")</f>
        <v/>
      </c>
      <c r="Q8" s="15" t="str">
        <f>IF(O8="","",(J8*0.746/P8*$I$34)*K8)</f>
        <v/>
      </c>
      <c r="R8" s="15" t="str">
        <f t="shared" ref="R8:R15" si="1">_xlfn.XLOOKUP(N8,$H$24:$H$26,$I$24:$I$26,"")</f>
        <v/>
      </c>
      <c r="S8" s="15" t="str">
        <f t="shared" ref="S8:S15" si="2">_xlfn.XLOOKUP(I8,$H$28:$H$29,$I$28:$I$29,"")</f>
        <v/>
      </c>
      <c r="T8" s="21" t="str">
        <f t="shared" ref="T8:T15" si="3">_xlfn.XLOOKUP(N8,$H$36:$H$38,$I$36:$I$38,"")</f>
        <v/>
      </c>
      <c r="U8" s="21" t="str">
        <f>IFERROR(W8/$C$29,"")</f>
        <v/>
      </c>
      <c r="V8" s="408" t="str">
        <f>IFERROR(W8*T8/$C$29,"")</f>
        <v/>
      </c>
      <c r="W8" s="409" t="str">
        <f t="shared" ref="W8:W15" si="4">IF(OR(O8="",M8="yes"),"",Q8*($I$22-R8)*$C$29*S8)</f>
        <v/>
      </c>
      <c r="X8" s="39" t="str">
        <f t="shared" ref="X8:X15" si="5">IF(OR(M8="yes",O8="",F8=""),"",MIN(Y8,O8*$C$32))</f>
        <v/>
      </c>
      <c r="Y8" s="370" t="str">
        <f t="shared" ref="Y8:Y15" si="6">IF(ISBLANK(F8),"",F8)</f>
        <v/>
      </c>
      <c r="Z8" s="10"/>
      <c r="AD8" s="83"/>
    </row>
    <row r="9" spans="1:30" ht="19.5" customHeight="1" x14ac:dyDescent="0.25">
      <c r="A9" s="38"/>
      <c r="B9" s="220">
        <v>2</v>
      </c>
      <c r="C9" s="9" t="s">
        <v>663</v>
      </c>
      <c r="D9" s="11"/>
      <c r="E9" s="11"/>
      <c r="F9" s="11"/>
      <c r="G9" s="12"/>
      <c r="H9" s="12"/>
      <c r="I9" s="12"/>
      <c r="J9" s="389"/>
      <c r="K9" s="389"/>
      <c r="L9" s="11"/>
      <c r="M9" s="11"/>
      <c r="N9" s="11"/>
      <c r="O9" s="12"/>
      <c r="P9" s="15" t="str">
        <f t="shared" si="0"/>
        <v/>
      </c>
      <c r="Q9" s="15" t="str">
        <f t="shared" ref="Q9:Q15" si="7">IF(O9="","",(J9*0.746/P9*$I$34)*O9)</f>
        <v/>
      </c>
      <c r="R9" s="15" t="str">
        <f t="shared" si="1"/>
        <v/>
      </c>
      <c r="S9" s="15" t="str">
        <f t="shared" si="2"/>
        <v/>
      </c>
      <c r="T9" s="21" t="str">
        <f t="shared" si="3"/>
        <v/>
      </c>
      <c r="U9" s="21" t="str">
        <f t="shared" ref="U9:U16" si="8">IFERROR(W9/$C$29,"")</f>
        <v/>
      </c>
      <c r="V9" s="410" t="str">
        <f t="shared" ref="V9:V15" si="9">IFERROR(W9*T9/$C$29,"")</f>
        <v/>
      </c>
      <c r="W9" s="411" t="str">
        <f t="shared" si="4"/>
        <v/>
      </c>
      <c r="X9" s="39" t="str">
        <f t="shared" si="5"/>
        <v/>
      </c>
      <c r="Y9" s="370" t="str">
        <f t="shared" si="6"/>
        <v/>
      </c>
      <c r="Z9" s="10"/>
      <c r="AD9" s="83"/>
    </row>
    <row r="10" spans="1:30" ht="19.5" customHeight="1" x14ac:dyDescent="0.25">
      <c r="A10" s="38"/>
      <c r="B10" s="220">
        <v>3</v>
      </c>
      <c r="C10" s="9" t="s">
        <v>663</v>
      </c>
      <c r="D10" s="11"/>
      <c r="E10" s="11"/>
      <c r="F10" s="11"/>
      <c r="G10" s="12"/>
      <c r="H10" s="12"/>
      <c r="I10" s="12"/>
      <c r="J10" s="389"/>
      <c r="K10" s="389"/>
      <c r="L10" s="11"/>
      <c r="M10" s="11"/>
      <c r="N10" s="11"/>
      <c r="O10" s="12"/>
      <c r="P10" s="15" t="str">
        <f t="shared" si="0"/>
        <v/>
      </c>
      <c r="Q10" s="15" t="str">
        <f t="shared" si="7"/>
        <v/>
      </c>
      <c r="R10" s="15" t="str">
        <f t="shared" si="1"/>
        <v/>
      </c>
      <c r="S10" s="15" t="str">
        <f t="shared" si="2"/>
        <v/>
      </c>
      <c r="T10" s="21" t="str">
        <f t="shared" si="3"/>
        <v/>
      </c>
      <c r="U10" s="21" t="str">
        <f t="shared" si="8"/>
        <v/>
      </c>
      <c r="V10" s="410" t="str">
        <f t="shared" si="9"/>
        <v/>
      </c>
      <c r="W10" s="411" t="str">
        <f t="shared" si="4"/>
        <v/>
      </c>
      <c r="X10" s="39" t="str">
        <f t="shared" si="5"/>
        <v/>
      </c>
      <c r="Y10" s="370" t="str">
        <f t="shared" si="6"/>
        <v/>
      </c>
      <c r="Z10" s="10"/>
      <c r="AD10" s="83"/>
    </row>
    <row r="11" spans="1:30" ht="19.5" customHeight="1" x14ac:dyDescent="0.25">
      <c r="A11" s="38"/>
      <c r="B11" s="220">
        <v>4</v>
      </c>
      <c r="C11" s="9" t="s">
        <v>663</v>
      </c>
      <c r="D11" s="11"/>
      <c r="E11" s="11"/>
      <c r="F11" s="11"/>
      <c r="G11" s="12"/>
      <c r="H11" s="12"/>
      <c r="I11" s="12"/>
      <c r="J11" s="389"/>
      <c r="K11" s="389"/>
      <c r="L11" s="11"/>
      <c r="M11" s="11"/>
      <c r="N11" s="11"/>
      <c r="O11" s="12"/>
      <c r="P11" s="15" t="str">
        <f t="shared" si="0"/>
        <v/>
      </c>
      <c r="Q11" s="15" t="str">
        <f t="shared" si="7"/>
        <v/>
      </c>
      <c r="R11" s="15" t="str">
        <f t="shared" si="1"/>
        <v/>
      </c>
      <c r="S11" s="15" t="str">
        <f t="shared" si="2"/>
        <v/>
      </c>
      <c r="T11" s="21" t="str">
        <f t="shared" si="3"/>
        <v/>
      </c>
      <c r="U11" s="21" t="str">
        <f t="shared" si="8"/>
        <v/>
      </c>
      <c r="V11" s="410" t="str">
        <f t="shared" si="9"/>
        <v/>
      </c>
      <c r="W11" s="411" t="str">
        <f t="shared" si="4"/>
        <v/>
      </c>
      <c r="X11" s="39" t="str">
        <f t="shared" si="5"/>
        <v/>
      </c>
      <c r="Y11" s="370" t="str">
        <f t="shared" si="6"/>
        <v/>
      </c>
      <c r="Z11" s="10"/>
      <c r="AD11" s="83"/>
    </row>
    <row r="12" spans="1:30" ht="19.5" customHeight="1" x14ac:dyDescent="0.25">
      <c r="A12" s="38"/>
      <c r="B12" s="220">
        <v>5</v>
      </c>
      <c r="C12" s="9" t="s">
        <v>663</v>
      </c>
      <c r="D12" s="11"/>
      <c r="E12" s="11"/>
      <c r="F12" s="11"/>
      <c r="G12" s="12"/>
      <c r="H12" s="12"/>
      <c r="I12" s="12"/>
      <c r="J12" s="389"/>
      <c r="K12" s="389"/>
      <c r="L12" s="11"/>
      <c r="M12" s="11"/>
      <c r="N12" s="11"/>
      <c r="O12" s="12"/>
      <c r="P12" s="15" t="str">
        <f t="shared" si="0"/>
        <v/>
      </c>
      <c r="Q12" s="15" t="str">
        <f t="shared" si="7"/>
        <v/>
      </c>
      <c r="R12" s="15" t="str">
        <f t="shared" si="1"/>
        <v/>
      </c>
      <c r="S12" s="15" t="str">
        <f t="shared" si="2"/>
        <v/>
      </c>
      <c r="T12" s="21" t="str">
        <f t="shared" si="3"/>
        <v/>
      </c>
      <c r="U12" s="21" t="str">
        <f t="shared" si="8"/>
        <v/>
      </c>
      <c r="V12" s="412" t="str">
        <f t="shared" si="9"/>
        <v/>
      </c>
      <c r="W12" s="411" t="str">
        <f t="shared" si="4"/>
        <v/>
      </c>
      <c r="X12" s="39" t="str">
        <f t="shared" si="5"/>
        <v/>
      </c>
      <c r="Y12" s="370" t="str">
        <f t="shared" si="6"/>
        <v/>
      </c>
      <c r="Z12" s="10"/>
      <c r="AD12" s="83"/>
    </row>
    <row r="13" spans="1:30" ht="19.5" customHeight="1" x14ac:dyDescent="0.25">
      <c r="A13" s="38"/>
      <c r="B13" s="220">
        <v>6</v>
      </c>
      <c r="C13" s="9" t="s">
        <v>663</v>
      </c>
      <c r="D13" s="11"/>
      <c r="E13" s="11"/>
      <c r="F13" s="11"/>
      <c r="G13" s="12"/>
      <c r="H13" s="12"/>
      <c r="I13" s="12"/>
      <c r="J13" s="389"/>
      <c r="K13" s="389"/>
      <c r="L13" s="11"/>
      <c r="M13" s="11"/>
      <c r="N13" s="11"/>
      <c r="O13" s="12"/>
      <c r="P13" s="15" t="str">
        <f t="shared" si="0"/>
        <v/>
      </c>
      <c r="Q13" s="15" t="str">
        <f t="shared" si="7"/>
        <v/>
      </c>
      <c r="R13" s="15" t="str">
        <f t="shared" si="1"/>
        <v/>
      </c>
      <c r="S13" s="15" t="str">
        <f t="shared" si="2"/>
        <v/>
      </c>
      <c r="T13" s="21" t="str">
        <f t="shared" si="3"/>
        <v/>
      </c>
      <c r="U13" s="21" t="str">
        <f t="shared" si="8"/>
        <v/>
      </c>
      <c r="V13" s="412" t="str">
        <f t="shared" si="9"/>
        <v/>
      </c>
      <c r="W13" s="411" t="str">
        <f t="shared" si="4"/>
        <v/>
      </c>
      <c r="X13" s="39" t="str">
        <f t="shared" si="5"/>
        <v/>
      </c>
      <c r="Y13" s="370" t="str">
        <f t="shared" si="6"/>
        <v/>
      </c>
      <c r="Z13" s="10"/>
      <c r="AD13" s="83"/>
    </row>
    <row r="14" spans="1:30" ht="19.5" customHeight="1" x14ac:dyDescent="0.25">
      <c r="A14" s="38"/>
      <c r="B14" s="220">
        <v>7</v>
      </c>
      <c r="C14" s="9" t="s">
        <v>663</v>
      </c>
      <c r="D14" s="11"/>
      <c r="E14" s="11"/>
      <c r="F14" s="11"/>
      <c r="G14" s="12"/>
      <c r="H14" s="12"/>
      <c r="I14" s="12"/>
      <c r="J14" s="389"/>
      <c r="K14" s="389"/>
      <c r="L14" s="11"/>
      <c r="M14" s="11"/>
      <c r="N14" s="11"/>
      <c r="O14" s="12"/>
      <c r="P14" s="15" t="str">
        <f t="shared" si="0"/>
        <v/>
      </c>
      <c r="Q14" s="15" t="str">
        <f t="shared" si="7"/>
        <v/>
      </c>
      <c r="R14" s="15" t="str">
        <f t="shared" si="1"/>
        <v/>
      </c>
      <c r="S14" s="15" t="str">
        <f t="shared" si="2"/>
        <v/>
      </c>
      <c r="T14" s="21" t="str">
        <f t="shared" si="3"/>
        <v/>
      </c>
      <c r="U14" s="21" t="str">
        <f t="shared" si="8"/>
        <v/>
      </c>
      <c r="V14" s="412" t="str">
        <f t="shared" si="9"/>
        <v/>
      </c>
      <c r="W14" s="411" t="str">
        <f t="shared" si="4"/>
        <v/>
      </c>
      <c r="X14" s="39" t="str">
        <f t="shared" si="5"/>
        <v/>
      </c>
      <c r="Y14" s="370" t="str">
        <f t="shared" si="6"/>
        <v/>
      </c>
      <c r="Z14" s="10"/>
      <c r="AD14" s="83"/>
    </row>
    <row r="15" spans="1:30" ht="19.5" customHeight="1" x14ac:dyDescent="0.25">
      <c r="A15" s="38"/>
      <c r="B15" s="220">
        <v>8</v>
      </c>
      <c r="C15" s="9" t="s">
        <v>663</v>
      </c>
      <c r="D15" s="11"/>
      <c r="E15" s="11" t="str">
        <f>IF(D15=$C$21,$D$21,"")</f>
        <v/>
      </c>
      <c r="F15" s="11"/>
      <c r="G15" s="12"/>
      <c r="H15" s="12"/>
      <c r="I15" s="12"/>
      <c r="J15" s="389"/>
      <c r="K15" s="389"/>
      <c r="L15" s="11"/>
      <c r="M15" s="11"/>
      <c r="N15" s="11"/>
      <c r="O15" s="12"/>
      <c r="P15" s="15" t="str">
        <f t="shared" si="0"/>
        <v/>
      </c>
      <c r="Q15" s="15" t="str">
        <f t="shared" si="7"/>
        <v/>
      </c>
      <c r="R15" s="15" t="str">
        <f t="shared" si="1"/>
        <v/>
      </c>
      <c r="S15" s="15" t="str">
        <f t="shared" si="2"/>
        <v/>
      </c>
      <c r="T15" s="21" t="str">
        <f t="shared" si="3"/>
        <v/>
      </c>
      <c r="U15" s="21" t="str">
        <f t="shared" si="8"/>
        <v/>
      </c>
      <c r="V15" s="412" t="str">
        <f t="shared" si="9"/>
        <v/>
      </c>
      <c r="W15" s="411" t="str">
        <f t="shared" si="4"/>
        <v/>
      </c>
      <c r="X15" s="39" t="str">
        <f t="shared" si="5"/>
        <v/>
      </c>
      <c r="Y15" s="370" t="str">
        <f t="shared" si="6"/>
        <v/>
      </c>
      <c r="Z15" s="10"/>
      <c r="AD15" s="83"/>
    </row>
    <row r="16" spans="1:30" hidden="1" x14ac:dyDescent="0.25">
      <c r="A16" s="27"/>
      <c r="O16">
        <f>SUM(O8:O15)</f>
        <v>0</v>
      </c>
      <c r="U16" s="392">
        <f t="shared" si="8"/>
        <v>0</v>
      </c>
      <c r="V16" s="391">
        <f>SUM(V8:V15)</f>
        <v>0</v>
      </c>
      <c r="W16" s="342">
        <f>SUM(W8:W15)</f>
        <v>0</v>
      </c>
      <c r="X16" s="56">
        <f>SUM(X8:X15)</f>
        <v>0</v>
      </c>
      <c r="AD16" s="83"/>
    </row>
    <row r="17" spans="1:30" hidden="1" x14ac:dyDescent="0.25">
      <c r="A17" s="27"/>
      <c r="X17" s="1"/>
      <c r="Y17" s="1"/>
      <c r="Z17" s="1"/>
      <c r="AA17" s="1"/>
      <c r="AD17" s="83"/>
    </row>
    <row r="18" spans="1:30" hidden="1" x14ac:dyDescent="0.25">
      <c r="A18" s="27"/>
      <c r="C18" s="133" t="s">
        <v>117</v>
      </c>
      <c r="D18" s="254"/>
      <c r="E18" s="254"/>
      <c r="F18" s="254"/>
      <c r="G18" s="254"/>
      <c r="H18" s="254"/>
      <c r="I18" s="254"/>
      <c r="AD18" s="83"/>
    </row>
    <row r="19" spans="1:30" hidden="1" x14ac:dyDescent="0.25">
      <c r="A19" s="27"/>
      <c r="H19" s="369" t="s">
        <v>740</v>
      </c>
      <c r="I19" s="368">
        <v>44771</v>
      </c>
      <c r="AD19" s="83"/>
    </row>
    <row r="20" spans="1:30" ht="15" hidden="1" customHeight="1" thickBot="1" x14ac:dyDescent="0.3">
      <c r="A20" s="27"/>
      <c r="C20" s="132" t="s">
        <v>83</v>
      </c>
      <c r="D20" s="132" t="s">
        <v>84</v>
      </c>
      <c r="H20" s="560" t="s">
        <v>768</v>
      </c>
      <c r="I20" s="560"/>
      <c r="L20" s="367" t="s">
        <v>739</v>
      </c>
      <c r="V20" s="219"/>
      <c r="W20" s="219"/>
      <c r="AD20" s="83"/>
    </row>
    <row r="21" spans="1:30" ht="15.75" hidden="1" thickBot="1" x14ac:dyDescent="0.3">
      <c r="A21" s="27"/>
      <c r="C21" s="4" t="s">
        <v>767</v>
      </c>
      <c r="D21" s="4" t="s">
        <v>130</v>
      </c>
      <c r="H21" s="364" t="s">
        <v>736</v>
      </c>
      <c r="I21" s="351"/>
      <c r="L21" s="564" t="s">
        <v>766</v>
      </c>
      <c r="M21" s="564"/>
      <c r="V21" s="219"/>
      <c r="W21" s="219"/>
      <c r="AD21" s="83"/>
    </row>
    <row r="22" spans="1:30" ht="15.75" hidden="1" thickBot="1" x14ac:dyDescent="0.3">
      <c r="A22" s="27"/>
      <c r="C22" s="4"/>
      <c r="D22" s="4"/>
      <c r="H22" s="366" t="s">
        <v>718</v>
      </c>
      <c r="I22" s="388">
        <v>0.97799999999999998</v>
      </c>
      <c r="L22" s="564"/>
      <c r="M22" s="564"/>
      <c r="V22" s="219"/>
      <c r="W22" s="219"/>
      <c r="AD22" s="83"/>
    </row>
    <row r="23" spans="1:30" hidden="1" x14ac:dyDescent="0.25">
      <c r="A23" s="27"/>
      <c r="H23" s="387" t="s">
        <v>765</v>
      </c>
      <c r="I23" s="386"/>
      <c r="L23" s="564"/>
      <c r="M23" s="564"/>
      <c r="V23" s="219"/>
      <c r="W23" s="219"/>
      <c r="AD23" s="83"/>
    </row>
    <row r="24" spans="1:30" hidden="1" x14ac:dyDescent="0.25">
      <c r="A24" s="27"/>
      <c r="C24" s="132" t="s">
        <v>82</v>
      </c>
      <c r="H24" s="381" t="s">
        <v>355</v>
      </c>
      <c r="I24" s="380">
        <v>0.66500000000000004</v>
      </c>
      <c r="L24" s="564"/>
      <c r="M24" s="564"/>
      <c r="V24" s="219"/>
      <c r="W24" s="219"/>
      <c r="AD24" s="83"/>
    </row>
    <row r="25" spans="1:30" hidden="1" x14ac:dyDescent="0.25">
      <c r="A25" s="27"/>
      <c r="C25" s="4" t="s">
        <v>729</v>
      </c>
      <c r="H25" s="379" t="s">
        <v>763</v>
      </c>
      <c r="I25" s="362">
        <v>0.63600000000000001</v>
      </c>
      <c r="L25" s="564"/>
      <c r="M25" s="564"/>
      <c r="V25" s="219"/>
      <c r="W25" s="219"/>
      <c r="AD25" s="83"/>
    </row>
    <row r="26" spans="1:30" hidden="1" x14ac:dyDescent="0.25">
      <c r="A26" s="27"/>
      <c r="C26" s="4" t="s">
        <v>663</v>
      </c>
      <c r="H26" s="379" t="s">
        <v>762</v>
      </c>
      <c r="I26" s="362">
        <v>0.69199999999999995</v>
      </c>
      <c r="L26" s="564"/>
      <c r="M26" s="564"/>
      <c r="V26" s="219"/>
      <c r="W26" s="219"/>
      <c r="AD26" s="83"/>
    </row>
    <row r="27" spans="1:30" hidden="1" x14ac:dyDescent="0.25">
      <c r="A27" s="27"/>
      <c r="H27" s="385" t="s">
        <v>735</v>
      </c>
      <c r="I27" s="332"/>
      <c r="L27" s="564"/>
      <c r="M27" s="564"/>
      <c r="V27" s="219"/>
      <c r="W27" s="219"/>
      <c r="AD27" s="83"/>
    </row>
    <row r="28" spans="1:30" hidden="1" x14ac:dyDescent="0.25">
      <c r="A28" s="27"/>
      <c r="C28" s="131" t="s">
        <v>734</v>
      </c>
      <c r="H28" s="379" t="s">
        <v>390</v>
      </c>
      <c r="I28" s="362">
        <v>1.38</v>
      </c>
      <c r="V28" s="219"/>
      <c r="W28" s="219"/>
      <c r="AD28" s="83"/>
    </row>
    <row r="29" spans="1:30" hidden="1" x14ac:dyDescent="0.25">
      <c r="A29" s="27"/>
      <c r="C29" s="8">
        <v>8760</v>
      </c>
      <c r="H29" s="379" t="s">
        <v>395</v>
      </c>
      <c r="I29" s="362">
        <v>1.76</v>
      </c>
      <c r="L29" t="s">
        <v>758</v>
      </c>
      <c r="V29" s="219"/>
      <c r="W29" s="219"/>
      <c r="AD29" s="83"/>
    </row>
    <row r="30" spans="1:30" ht="32.450000000000003" hidden="1" customHeight="1" x14ac:dyDescent="0.25">
      <c r="A30" s="27"/>
      <c r="H30" s="385" t="s">
        <v>764</v>
      </c>
      <c r="I30" s="332"/>
      <c r="V30" s="219"/>
      <c r="W30" s="219"/>
      <c r="AD30" s="83"/>
    </row>
    <row r="31" spans="1:30" hidden="1" x14ac:dyDescent="0.25">
      <c r="A31" s="27"/>
      <c r="C31" s="340" t="s">
        <v>54</v>
      </c>
      <c r="H31" s="363" t="s">
        <v>727</v>
      </c>
      <c r="I31" s="362">
        <v>0.3</v>
      </c>
      <c r="T31" s="35"/>
      <c r="U31" s="35"/>
      <c r="V31" s="35"/>
      <c r="W31" s="219"/>
      <c r="AD31" s="83"/>
    </row>
    <row r="32" spans="1:30" ht="30" hidden="1" x14ac:dyDescent="0.25">
      <c r="A32" s="27"/>
      <c r="C32" s="76">
        <f>30*'Project Summary'!M12</f>
        <v>15</v>
      </c>
      <c r="D32" s="328" t="s">
        <v>663</v>
      </c>
      <c r="H32" s="363" t="s">
        <v>724</v>
      </c>
      <c r="I32" s="362">
        <v>0.7</v>
      </c>
      <c r="R32" s="384"/>
      <c r="X32" s="33"/>
      <c r="Y32" s="33"/>
      <c r="Z32" s="33"/>
      <c r="AA32" s="33"/>
      <c r="AD32" s="83"/>
    </row>
    <row r="33" spans="1:30" ht="15.75" hidden="1" thickBot="1" x14ac:dyDescent="0.3">
      <c r="A33" s="27"/>
      <c r="H33" s="383" t="s">
        <v>721</v>
      </c>
      <c r="I33" s="382"/>
      <c r="V33" s="35"/>
      <c r="W33" s="35"/>
      <c r="X33" s="33"/>
      <c r="Y33" s="33"/>
      <c r="Z33" s="33"/>
      <c r="AA33" s="33"/>
      <c r="AD33" s="83"/>
    </row>
    <row r="34" spans="1:30" ht="21" hidden="1" customHeight="1" x14ac:dyDescent="0.25">
      <c r="A34" s="27"/>
      <c r="H34" s="359" t="s">
        <v>718</v>
      </c>
      <c r="I34" s="358">
        <v>0.9</v>
      </c>
      <c r="W34" s="35"/>
      <c r="X34" s="33"/>
      <c r="Y34" s="33"/>
      <c r="Z34" s="33"/>
      <c r="AA34" s="33"/>
      <c r="AD34" s="83"/>
    </row>
    <row r="35" spans="1:30" ht="15.75" hidden="1" thickBot="1" x14ac:dyDescent="0.3">
      <c r="A35" s="27"/>
      <c r="C35" s="13" t="s">
        <v>146</v>
      </c>
      <c r="H35" s="383" t="s">
        <v>93</v>
      </c>
      <c r="I35" s="382"/>
      <c r="W35" s="35"/>
      <c r="X35" s="33"/>
      <c r="Y35" s="33"/>
      <c r="Z35" s="33"/>
      <c r="AA35" s="33"/>
      <c r="AD35" s="83"/>
    </row>
    <row r="36" spans="1:30" hidden="1" x14ac:dyDescent="0.25">
      <c r="A36" s="27"/>
      <c r="C36" s="5">
        <v>15</v>
      </c>
      <c r="H36" s="381" t="s">
        <v>355</v>
      </c>
      <c r="I36" s="380">
        <v>9.4E-2</v>
      </c>
      <c r="V36" s="35"/>
      <c r="W36" s="35"/>
      <c r="X36" s="33"/>
      <c r="Y36" s="33"/>
      <c r="Z36" s="33"/>
      <c r="AA36" s="33"/>
      <c r="AD36" s="83"/>
    </row>
    <row r="37" spans="1:30" hidden="1" x14ac:dyDescent="0.25">
      <c r="A37" s="27"/>
      <c r="C37" s="34"/>
      <c r="H37" s="379" t="s">
        <v>763</v>
      </c>
      <c r="I37" s="362">
        <v>8.6999999999999994E-2</v>
      </c>
      <c r="V37" s="35"/>
      <c r="W37" s="35"/>
      <c r="X37" s="33"/>
      <c r="Y37" s="33"/>
      <c r="Z37" s="33"/>
      <c r="AA37" s="33"/>
      <c r="AD37" s="83"/>
    </row>
    <row r="38" spans="1:30" ht="15.75" hidden="1" thickBot="1" x14ac:dyDescent="0.3">
      <c r="A38" s="27"/>
      <c r="C38" s="223" t="s">
        <v>150</v>
      </c>
      <c r="H38" s="378" t="s">
        <v>762</v>
      </c>
      <c r="I38" s="377">
        <v>0.10199999999999999</v>
      </c>
      <c r="V38" s="35"/>
      <c r="W38" s="35"/>
      <c r="X38" s="33"/>
      <c r="Y38" s="33"/>
      <c r="Z38" s="33"/>
      <c r="AA38" s="33"/>
      <c r="AD38" s="83"/>
    </row>
    <row r="39" spans="1:30" hidden="1" x14ac:dyDescent="0.25">
      <c r="A39" s="27"/>
      <c r="C39" s="22"/>
      <c r="V39" s="35"/>
      <c r="W39" s="35"/>
      <c r="X39" s="33"/>
      <c r="Y39" s="33"/>
      <c r="Z39" s="33"/>
      <c r="AA39" s="33"/>
      <c r="AD39" s="83"/>
    </row>
    <row r="40" spans="1:30" hidden="1" x14ac:dyDescent="0.25">
      <c r="A40" s="27"/>
      <c r="C40" s="34"/>
      <c r="V40" s="35"/>
      <c r="W40" s="35"/>
      <c r="X40" s="33"/>
      <c r="Y40" s="33"/>
      <c r="Z40" s="33"/>
      <c r="AA40" s="33"/>
      <c r="AD40" s="83"/>
    </row>
    <row r="41" spans="1:30" hidden="1" x14ac:dyDescent="0.25">
      <c r="A41" s="27"/>
      <c r="C41" s="34"/>
      <c r="V41" s="139"/>
      <c r="W41" s="139"/>
      <c r="X41" s="139"/>
      <c r="Y41" s="139"/>
      <c r="Z41" s="139"/>
      <c r="AA41" s="139"/>
      <c r="AD41" s="83"/>
    </row>
    <row r="42" spans="1:30" hidden="1" x14ac:dyDescent="0.25">
      <c r="A42" s="27"/>
      <c r="C42" s="317" t="s">
        <v>676</v>
      </c>
      <c r="V42" s="229"/>
      <c r="W42" s="229"/>
      <c r="X42" s="124"/>
      <c r="Y42" s="124"/>
      <c r="Z42" s="124"/>
      <c r="AA42" s="124"/>
      <c r="AD42" s="83"/>
    </row>
    <row r="43" spans="1:30" hidden="1" x14ac:dyDescent="0.25">
      <c r="A43" s="27"/>
      <c r="C43" s="316" t="s">
        <v>671</v>
      </c>
      <c r="V43" s="35"/>
      <c r="W43" s="35"/>
      <c r="X43" s="33"/>
      <c r="Y43" s="33"/>
      <c r="Z43" s="33"/>
      <c r="AA43" s="33"/>
      <c r="AD43" s="83"/>
    </row>
    <row r="44" spans="1:30" hidden="1" x14ac:dyDescent="0.25">
      <c r="A44" s="27"/>
      <c r="C44" s="316" t="s">
        <v>670</v>
      </c>
      <c r="V44" s="35"/>
      <c r="W44" s="35"/>
      <c r="X44" s="33"/>
      <c r="Y44" s="33"/>
      <c r="Z44" s="33"/>
      <c r="AA44" s="33"/>
      <c r="AD44" s="83"/>
    </row>
    <row r="45" spans="1:30" hidden="1" x14ac:dyDescent="0.25">
      <c r="A45" s="27"/>
      <c r="C45" s="316" t="s">
        <v>761</v>
      </c>
      <c r="V45" s="35"/>
      <c r="W45" s="35"/>
      <c r="X45" s="33"/>
      <c r="Y45" s="33"/>
      <c r="Z45" s="33"/>
      <c r="AA45" s="33"/>
      <c r="AD45" s="83"/>
    </row>
    <row r="46" spans="1:30" hidden="1" x14ac:dyDescent="0.25">
      <c r="A46" s="27"/>
      <c r="C46" s="316" t="s">
        <v>760</v>
      </c>
      <c r="H46" s="219"/>
      <c r="I46" s="219"/>
      <c r="J46" s="33"/>
      <c r="K46" s="33"/>
      <c r="L46" s="33"/>
      <c r="M46" s="33"/>
      <c r="N46" s="33"/>
      <c r="O46" s="35"/>
      <c r="P46" s="35"/>
      <c r="Q46" s="35"/>
      <c r="R46" s="35"/>
      <c r="S46" s="35"/>
      <c r="T46" s="35"/>
      <c r="U46" s="35"/>
      <c r="V46" s="35"/>
      <c r="W46" s="35"/>
      <c r="X46" s="33"/>
      <c r="Y46" s="33"/>
      <c r="Z46" s="33"/>
      <c r="AA46" s="33"/>
      <c r="AD46" s="83"/>
    </row>
    <row r="47" spans="1:30" hidden="1" x14ac:dyDescent="0.25">
      <c r="A47" s="27"/>
      <c r="C47" s="316" t="s">
        <v>759</v>
      </c>
      <c r="H47" s="219"/>
      <c r="I47" s="219"/>
      <c r="J47" s="33"/>
      <c r="K47" s="33"/>
      <c r="L47" s="33"/>
      <c r="M47" s="33"/>
      <c r="N47" s="33"/>
      <c r="O47" s="35"/>
      <c r="P47" s="35"/>
      <c r="Q47" s="35"/>
      <c r="R47" s="35"/>
      <c r="S47" s="35"/>
      <c r="T47" s="35"/>
      <c r="U47" s="35"/>
      <c r="V47" s="35"/>
      <c r="W47" s="35"/>
      <c r="X47" s="33"/>
      <c r="Y47" s="33"/>
      <c r="Z47" s="33"/>
      <c r="AA47" s="33"/>
      <c r="AD47" s="83"/>
    </row>
    <row r="48" spans="1:30" hidden="1" x14ac:dyDescent="0.25">
      <c r="A48" s="27"/>
      <c r="H48" s="219"/>
      <c r="I48" s="219"/>
      <c r="J48" s="33"/>
      <c r="K48" s="33"/>
      <c r="L48" s="33"/>
      <c r="M48" s="33"/>
      <c r="N48" s="33"/>
      <c r="O48" s="35"/>
      <c r="P48" s="35"/>
      <c r="Q48" s="35"/>
      <c r="R48" s="35"/>
      <c r="S48" s="35"/>
      <c r="T48" s="35"/>
      <c r="U48" s="35"/>
      <c r="V48" s="35"/>
      <c r="W48" s="35"/>
      <c r="X48" s="33"/>
      <c r="Y48" s="33"/>
      <c r="Z48" s="33"/>
      <c r="AA48" s="33"/>
      <c r="AD48" s="83"/>
    </row>
    <row r="49" spans="1:30" hidden="1" x14ac:dyDescent="0.25">
      <c r="A49" s="27"/>
      <c r="C49" s="316"/>
      <c r="H49" s="219"/>
      <c r="I49" s="219"/>
      <c r="J49" s="33"/>
      <c r="K49" s="33"/>
      <c r="L49" s="33"/>
      <c r="M49" s="33"/>
      <c r="N49" s="33"/>
      <c r="O49" s="35"/>
      <c r="P49" s="35"/>
      <c r="Q49" s="35"/>
      <c r="R49" s="35"/>
      <c r="S49" s="35"/>
      <c r="T49" s="35"/>
      <c r="U49" s="35"/>
      <c r="V49" s="35"/>
      <c r="W49" s="35"/>
      <c r="X49" s="33"/>
      <c r="Y49" s="33"/>
      <c r="Z49" s="33"/>
      <c r="AA49" s="33"/>
      <c r="AD49" s="83"/>
    </row>
    <row r="50" spans="1:30" hidden="1" x14ac:dyDescent="0.25">
      <c r="A50" s="27"/>
      <c r="C50" s="316"/>
      <c r="H50" s="219"/>
      <c r="I50" s="219"/>
      <c r="J50" s="33"/>
      <c r="K50" s="33"/>
      <c r="L50" s="33"/>
      <c r="M50" s="33"/>
      <c r="N50" s="33"/>
      <c r="O50" s="35"/>
      <c r="P50" s="35"/>
      <c r="Q50" s="35"/>
      <c r="R50" s="35"/>
      <c r="S50" s="35"/>
      <c r="T50" s="35"/>
      <c r="U50" s="35"/>
      <c r="V50" s="35"/>
      <c r="W50" s="35"/>
      <c r="X50" s="33"/>
      <c r="Y50" s="33"/>
      <c r="Z50" s="33"/>
      <c r="AA50" s="33"/>
      <c r="AD50" s="83"/>
    </row>
    <row r="51" spans="1:30" s="82" customFormat="1" hidden="1" x14ac:dyDescent="0.25">
      <c r="A51" s="27"/>
      <c r="B51"/>
      <c r="C51" s="316"/>
      <c r="D51"/>
      <c r="E51"/>
      <c r="F51"/>
      <c r="G51"/>
      <c r="H51"/>
      <c r="I51"/>
      <c r="J51"/>
      <c r="K51"/>
      <c r="L51"/>
      <c r="M51"/>
      <c r="N51"/>
      <c r="O51"/>
      <c r="P51"/>
      <c r="Q51"/>
      <c r="R51"/>
      <c r="S51"/>
      <c r="T51"/>
      <c r="U51"/>
      <c r="V51"/>
      <c r="W51"/>
      <c r="X51"/>
      <c r="Y51"/>
      <c r="Z51"/>
      <c r="AA51"/>
      <c r="AB51"/>
      <c r="AC51"/>
      <c r="AD51" s="83"/>
    </row>
    <row r="52" spans="1:30" s="82" customFormat="1" hidden="1" x14ac:dyDescent="0.25">
      <c r="A52" s="27"/>
      <c r="B52"/>
      <c r="C52" s="316"/>
      <c r="D52"/>
      <c r="E52"/>
      <c r="F52"/>
      <c r="G52"/>
      <c r="H52"/>
      <c r="I52"/>
      <c r="J52"/>
      <c r="K52"/>
      <c r="L52"/>
      <c r="M52"/>
      <c r="N52"/>
      <c r="O52"/>
      <c r="P52"/>
      <c r="Q52"/>
      <c r="R52"/>
      <c r="S52"/>
      <c r="T52"/>
      <c r="U52"/>
      <c r="V52"/>
      <c r="W52"/>
      <c r="X52"/>
      <c r="Y52"/>
      <c r="Z52"/>
      <c r="AA52"/>
      <c r="AB52"/>
      <c r="AC52"/>
      <c r="AD52" s="83"/>
    </row>
    <row r="53" spans="1:30" s="82" customFormat="1" hidden="1" x14ac:dyDescent="0.25">
      <c r="A53" s="27"/>
      <c r="B53"/>
      <c r="C53" s="316"/>
      <c r="D53"/>
      <c r="E53"/>
      <c r="F53"/>
      <c r="G53"/>
      <c r="H53"/>
      <c r="I53"/>
      <c r="J53"/>
      <c r="K53"/>
      <c r="L53"/>
      <c r="M53"/>
      <c r="N53"/>
      <c r="O53"/>
      <c r="P53"/>
      <c r="Q53"/>
      <c r="R53"/>
      <c r="S53"/>
      <c r="T53"/>
      <c r="U53"/>
      <c r="V53"/>
      <c r="W53"/>
      <c r="X53"/>
      <c r="Y53"/>
      <c r="Z53"/>
      <c r="AA53"/>
      <c r="AB53"/>
      <c r="AC53"/>
      <c r="AD53" s="83"/>
    </row>
    <row r="54" spans="1:30" s="82" customFormat="1" hidden="1" x14ac:dyDescent="0.25">
      <c r="A54" s="27"/>
      <c r="B54"/>
      <c r="C54" s="316"/>
      <c r="D54"/>
      <c r="E54"/>
      <c r="F54"/>
      <c r="G54"/>
      <c r="H54"/>
      <c r="I54"/>
      <c r="J54"/>
      <c r="K54"/>
      <c r="L54"/>
      <c r="M54"/>
      <c r="N54"/>
      <c r="O54"/>
      <c r="P54"/>
      <c r="Q54"/>
      <c r="R54"/>
      <c r="S54"/>
      <c r="T54"/>
      <c r="U54"/>
      <c r="V54"/>
      <c r="W54"/>
      <c r="X54"/>
      <c r="Y54"/>
      <c r="Z54"/>
      <c r="AA54"/>
      <c r="AB54"/>
      <c r="AC54"/>
      <c r="AD54" s="83"/>
    </row>
    <row r="55" spans="1:30" s="82" customFormat="1"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row>
    <row r="56" spans="1:30" s="82" customFormat="1"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7" spans="1:30" s="82" customFormat="1" x14ac:dyDescent="0.25"/>
    <row r="58" spans="1:30" s="82" customFormat="1" x14ac:dyDescent="0.25"/>
    <row r="59" spans="1:30" s="82" customFormat="1" x14ac:dyDescent="0.25"/>
    <row r="60" spans="1:30" s="82" customFormat="1" x14ac:dyDescent="0.25"/>
    <row r="61" spans="1:30" s="82" customFormat="1" ht="14.45" customHeight="1" x14ac:dyDescent="0.25"/>
    <row r="62" spans="1:30" s="82" customFormat="1" x14ac:dyDescent="0.25"/>
    <row r="63" spans="1:30" s="82" customFormat="1" x14ac:dyDescent="0.25"/>
    <row r="64" spans="1:30"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sheetData>
  <sheetProtection algorithmName="SHA-512" hashValue="m0q9s9J9eVaign8VcrQ7tvvs7vhKeARuEktIz54pF/3h5HcSWbR0oBPYddEiCMIIs4zaetj0KlORHcedQgB0sw==" saltValue="gyY5tO21xvLLndccwu9dhw==" spinCount="100000" sheet="1" selectLockedCells="1"/>
  <mergeCells count="5">
    <mergeCell ref="H20:I20"/>
    <mergeCell ref="D3:H4"/>
    <mergeCell ref="L21:M27"/>
    <mergeCell ref="B2:V2"/>
    <mergeCell ref="B3:C3"/>
  </mergeCells>
  <dataValidations count="5">
    <dataValidation type="list" allowBlank="1" showInputMessage="1" showErrorMessage="1" sqref="N8:N15" xr:uid="{DFD8461C-CE47-4145-BDE9-E7C852C69844}">
      <formula1>$H$36:$H$38</formula1>
    </dataValidation>
    <dataValidation type="list" allowBlank="1" showInputMessage="1" showErrorMessage="1" sqref="L8:L15" xr:uid="{0B23D5CA-9C5A-4E96-B843-B30D7A4998D5}">
      <formula1>$H$31:$H$32</formula1>
    </dataValidation>
    <dataValidation type="list" allowBlank="1" showInputMessage="1" showErrorMessage="1" sqref="D8:D15" xr:uid="{E79B8174-3D34-46FF-827E-8C58C51B48D0}">
      <formula1>$C$21:$C$22</formula1>
    </dataValidation>
    <dataValidation type="list" allowBlank="1" showInputMessage="1" showErrorMessage="1" sqref="M8:M15" xr:uid="{C53C91D1-E0C1-4832-8308-A52265E2D284}">
      <formula1>"Yes,No"</formula1>
    </dataValidation>
    <dataValidation type="list" allowBlank="1" showInputMessage="1" showErrorMessage="1" sqref="I8:I15" xr:uid="{B5018384-0EAC-402C-BA11-15EBABE08DE4}">
      <formula1>"Cooler,Freezer"</formula1>
    </dataValidation>
  </dataValidations>
  <hyperlinks>
    <hyperlink ref="B3" location="'Calculator Index'!A1" display="Return to Index" xr:uid="{55A7E3C2-FB26-4BA5-B750-56F7B54B47E3}"/>
    <hyperlink ref="B3:C3" location="'Project Summary'!A1" display="Return to Project Summary" xr:uid="{7DB1BECB-AC90-4522-8AA3-E2C8A232286A}"/>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5E48-B2BE-43E4-82CF-9EE8B515AA91}">
  <dimension ref="A1:FE720"/>
  <sheetViews>
    <sheetView zoomScale="90" zoomScaleNormal="90" workbookViewId="0">
      <selection activeCell="H8" sqref="H8"/>
    </sheetView>
  </sheetViews>
  <sheetFormatPr defaultRowHeight="15" x14ac:dyDescent="0.25"/>
  <cols>
    <col min="1" max="1" width="4.7109375" customWidth="1"/>
    <col min="2" max="2" width="4.5703125" bestFit="1" customWidth="1"/>
    <col min="3" max="3" width="23.85546875" customWidth="1"/>
    <col min="4" max="4" width="47.7109375" bestFit="1" customWidth="1"/>
    <col min="5" max="5" width="19.28515625" bestFit="1" customWidth="1"/>
    <col min="6" max="6" width="16" bestFit="1" customWidth="1"/>
    <col min="7" max="8" width="15" bestFit="1" customWidth="1"/>
    <col min="9" max="9" width="18.5703125" customWidth="1"/>
    <col min="10" max="10" width="19.140625" bestFit="1" customWidth="1"/>
    <col min="11" max="11" width="77.28515625" bestFit="1" customWidth="1"/>
    <col min="12" max="12" width="11.7109375" hidden="1" customWidth="1"/>
    <col min="13" max="13" width="15.7109375" hidden="1" customWidth="1"/>
    <col min="14" max="14" width="14.28515625" customWidth="1"/>
    <col min="15" max="15" width="12.85546875" customWidth="1"/>
    <col min="16" max="16" width="12.7109375" bestFit="1" customWidth="1"/>
    <col min="17" max="17" width="12.140625" bestFit="1" customWidth="1"/>
    <col min="18" max="18" width="13.5703125" hidden="1" customWidth="1"/>
    <col min="19" max="19" width="12.28515625" hidden="1" customWidth="1"/>
    <col min="20" max="20" width="17.28515625" hidden="1" customWidth="1"/>
    <col min="21" max="21" width="4.7109375" customWidth="1"/>
    <col min="22" max="28" width="6.5703125" bestFit="1" customWidth="1"/>
    <col min="29" max="31" width="9.140625" customWidth="1"/>
    <col min="32" max="32" width="6.5703125" customWidth="1"/>
    <col min="33" max="33" width="9.140625" style="82" customWidth="1"/>
    <col min="34" max="161" width="9.140625" style="82"/>
  </cols>
  <sheetData>
    <row r="1" spans="1:161" x14ac:dyDescent="0.25">
      <c r="A1" s="38"/>
      <c r="B1" s="38"/>
      <c r="C1" s="38"/>
      <c r="D1" s="38"/>
      <c r="E1" s="38"/>
      <c r="F1" s="38"/>
      <c r="G1" s="38"/>
      <c r="H1" s="38"/>
      <c r="I1" s="38"/>
      <c r="J1" s="38"/>
      <c r="K1" s="38"/>
      <c r="L1" s="38"/>
      <c r="M1" s="38"/>
      <c r="N1" s="38"/>
      <c r="O1" s="295" t="s">
        <v>76</v>
      </c>
      <c r="P1" s="315" t="s">
        <v>641</v>
      </c>
      <c r="Q1" s="27"/>
      <c r="R1" s="27"/>
      <c r="S1" s="27"/>
      <c r="T1" s="27"/>
      <c r="U1" s="38"/>
    </row>
    <row r="2" spans="1:161" ht="21" x14ac:dyDescent="0.25">
      <c r="A2" s="38"/>
      <c r="B2" s="569" t="s">
        <v>640</v>
      </c>
      <c r="C2" s="570"/>
      <c r="D2" s="570"/>
      <c r="E2" s="570"/>
      <c r="F2" s="570"/>
      <c r="G2" s="570"/>
      <c r="H2" s="570"/>
      <c r="I2" s="570"/>
      <c r="J2" s="570"/>
      <c r="K2" s="570"/>
      <c r="L2" s="570"/>
      <c r="M2" s="570"/>
      <c r="N2" s="571"/>
      <c r="O2" s="27"/>
      <c r="P2" s="27"/>
      <c r="Q2" s="27"/>
      <c r="R2" s="27"/>
      <c r="S2" s="27"/>
      <c r="T2" s="27"/>
      <c r="U2" s="38"/>
    </row>
    <row r="3" spans="1:161" ht="14.45" customHeight="1" x14ac:dyDescent="0.25">
      <c r="A3" s="38"/>
      <c r="B3" s="505" t="s">
        <v>79</v>
      </c>
      <c r="C3" s="506"/>
      <c r="D3" s="565" t="s">
        <v>639</v>
      </c>
      <c r="E3" s="565"/>
      <c r="F3" s="565"/>
      <c r="G3" s="565"/>
      <c r="H3" s="565"/>
      <c r="I3" s="565"/>
      <c r="J3" s="565"/>
      <c r="K3" s="565"/>
      <c r="L3" s="565"/>
      <c r="M3" s="565"/>
      <c r="N3" s="565"/>
      <c r="O3" s="27"/>
      <c r="P3" s="27"/>
      <c r="Q3" s="27"/>
      <c r="R3" s="27"/>
      <c r="S3" s="27"/>
      <c r="T3" s="27"/>
      <c r="U3" s="38"/>
    </row>
    <row r="4" spans="1:161" x14ac:dyDescent="0.25">
      <c r="A4" s="38"/>
      <c r="B4" s="38"/>
      <c r="C4" s="38"/>
      <c r="D4" s="565"/>
      <c r="E4" s="565"/>
      <c r="F4" s="565"/>
      <c r="G4" s="565"/>
      <c r="H4" s="565"/>
      <c r="I4" s="565"/>
      <c r="J4" s="565"/>
      <c r="K4" s="565"/>
      <c r="L4" s="565"/>
      <c r="M4" s="565"/>
      <c r="N4" s="565"/>
      <c r="O4" s="27"/>
      <c r="P4" s="27"/>
      <c r="Q4" s="27"/>
      <c r="R4" s="27"/>
      <c r="S4" s="27"/>
      <c r="T4" s="27"/>
      <c r="U4" s="38"/>
    </row>
    <row r="5" spans="1:161" x14ac:dyDescent="0.25">
      <c r="A5" s="38"/>
      <c r="B5" s="38"/>
      <c r="C5" s="38"/>
      <c r="D5" s="38"/>
      <c r="E5" s="38"/>
      <c r="F5" s="38"/>
      <c r="G5" s="38"/>
      <c r="H5" s="38"/>
      <c r="I5" s="38"/>
      <c r="J5" s="38"/>
      <c r="K5" s="38"/>
      <c r="L5" s="38"/>
      <c r="M5" s="38"/>
      <c r="N5" s="38"/>
      <c r="O5" s="27"/>
      <c r="P5" s="27"/>
      <c r="Q5" s="27"/>
      <c r="R5" s="27"/>
      <c r="S5" s="27"/>
      <c r="T5" s="27"/>
      <c r="U5" s="38"/>
    </row>
    <row r="6" spans="1:161" ht="60" x14ac:dyDescent="0.25">
      <c r="A6" s="38"/>
      <c r="B6" s="153" t="s">
        <v>81</v>
      </c>
      <c r="C6" s="153" t="s">
        <v>82</v>
      </c>
      <c r="D6" s="153" t="s">
        <v>85</v>
      </c>
      <c r="E6" s="153" t="s">
        <v>638</v>
      </c>
      <c r="F6" s="153" t="s">
        <v>86</v>
      </c>
      <c r="G6" s="153" t="s">
        <v>87</v>
      </c>
      <c r="H6" s="153" t="s">
        <v>380</v>
      </c>
      <c r="I6" s="153" t="s">
        <v>637</v>
      </c>
      <c r="J6" s="153" t="s">
        <v>636</v>
      </c>
      <c r="K6" s="153" t="s">
        <v>635</v>
      </c>
      <c r="L6" s="153" t="s">
        <v>634</v>
      </c>
      <c r="M6" s="153" t="s">
        <v>412</v>
      </c>
      <c r="N6" s="153" t="s">
        <v>53</v>
      </c>
      <c r="O6" s="153" t="s">
        <v>95</v>
      </c>
      <c r="P6" s="153" t="s">
        <v>633</v>
      </c>
      <c r="Q6" s="153" t="s">
        <v>70</v>
      </c>
      <c r="R6" s="153" t="s">
        <v>97</v>
      </c>
      <c r="S6" s="153" t="s">
        <v>98</v>
      </c>
      <c r="T6" s="153" t="s">
        <v>99</v>
      </c>
      <c r="U6" s="38"/>
    </row>
    <row r="7" spans="1:161" hidden="1" x14ac:dyDescent="0.25">
      <c r="A7" s="38"/>
      <c r="B7" s="245"/>
      <c r="C7" s="245"/>
      <c r="D7" s="245"/>
      <c r="E7" s="245"/>
      <c r="F7" s="245"/>
      <c r="G7" s="245"/>
      <c r="H7" s="245"/>
      <c r="I7" s="245"/>
      <c r="J7" s="245"/>
      <c r="K7" s="245"/>
      <c r="L7" s="245"/>
      <c r="M7" s="294"/>
      <c r="N7" s="245"/>
      <c r="O7" s="245"/>
      <c r="P7" s="245"/>
      <c r="Q7" s="293"/>
      <c r="R7" s="293"/>
      <c r="S7" s="293"/>
      <c r="T7" s="250"/>
      <c r="U7" s="38"/>
    </row>
    <row r="8" spans="1:161" x14ac:dyDescent="0.25">
      <c r="A8" s="38"/>
      <c r="B8" s="220">
        <v>1</v>
      </c>
      <c r="C8" s="9" t="s">
        <v>632</v>
      </c>
      <c r="D8" s="11"/>
      <c r="E8" s="11"/>
      <c r="F8" s="12"/>
      <c r="G8" s="12"/>
      <c r="H8" s="11"/>
      <c r="I8" s="11"/>
      <c r="J8" s="11"/>
      <c r="K8" s="292" t="str">
        <f>IFERROR(_xlfn.XLOOKUP(H8,$C$28:$C$29,$D$28:$D$29),"")&amp;IFERROR(_xlfn.XLOOKUP(I8,$C$32:$C$34,$D$32:$D$34),"")</f>
        <v/>
      </c>
      <c r="L8" s="291" t="str">
        <f t="shared" ref="L8:L15" si="0">IF(ISBLANK(J8),"",1.76)</f>
        <v/>
      </c>
      <c r="M8" s="279" t="str">
        <f t="shared" ref="M8:M15" si="1">IFERROR(_xlfn.XLOOKUP(I8,$C$32:$C$34,$E$32:$E$34),"")</f>
        <v/>
      </c>
      <c r="N8" s="406">
        <f t="shared" ref="N8:N15" si="2">IFERROR(M8*J8*L8*$D$22,0)</f>
        <v>0</v>
      </c>
      <c r="O8" s="407">
        <f t="shared" ref="O8:O15" si="3">N8/8760</f>
        <v>0</v>
      </c>
      <c r="P8" s="407">
        <f t="shared" ref="P8:P15" si="4">O8*$D$20</f>
        <v>0</v>
      </c>
      <c r="Q8" s="39">
        <f>IFERROR(J8*50*'Project Summary'!$M$12, 0)</f>
        <v>0</v>
      </c>
      <c r="R8" s="290" t="str">
        <f>IFERROR(#REF!+#REF!,"0")</f>
        <v>0</v>
      </c>
      <c r="S8" s="10"/>
      <c r="T8" s="5" t="str">
        <f t="shared" ref="T8:T15" si="5">IF(J8=0,"",IF(AND(K8="",N8&gt;0),"Yes","No"))</f>
        <v/>
      </c>
      <c r="U8" s="38"/>
    </row>
    <row r="9" spans="1:161" x14ac:dyDescent="0.25">
      <c r="A9" s="38"/>
      <c r="B9" s="220">
        <v>2</v>
      </c>
      <c r="C9" s="9" t="s">
        <v>632</v>
      </c>
      <c r="D9" s="11"/>
      <c r="E9" s="11"/>
      <c r="F9" s="12"/>
      <c r="G9" s="12"/>
      <c r="H9" s="11"/>
      <c r="I9" s="11"/>
      <c r="J9" s="11"/>
      <c r="K9" s="291" t="str">
        <f t="shared" ref="K9:K15" si="6">IFERROR(_xlfn.XLOOKUP(H9,$C$28:$C$29,$D$28:$D$29),"")&amp;IFERROR(_xlfn.XLOOKUP(I9,$C$32:$C$34,$D$32:$D$34),"")</f>
        <v/>
      </c>
      <c r="L9" s="291" t="str">
        <f t="shared" si="0"/>
        <v/>
      </c>
      <c r="M9" s="279" t="str">
        <f t="shared" si="1"/>
        <v/>
      </c>
      <c r="N9" s="406">
        <f t="shared" si="2"/>
        <v>0</v>
      </c>
      <c r="O9" s="407">
        <f t="shared" si="3"/>
        <v>0</v>
      </c>
      <c r="P9" s="407">
        <f t="shared" si="4"/>
        <v>0</v>
      </c>
      <c r="Q9" s="39">
        <f>IFERROR(J9*50*'Project Summary'!$M$12, 0)</f>
        <v>0</v>
      </c>
      <c r="R9" s="290" t="str">
        <f>IFERROR(#REF!+#REF!,"0")</f>
        <v>0</v>
      </c>
      <c r="S9" s="10"/>
      <c r="T9" s="5" t="str">
        <f t="shared" si="5"/>
        <v/>
      </c>
      <c r="U9" s="38"/>
    </row>
    <row r="10" spans="1:161" x14ac:dyDescent="0.25">
      <c r="A10" s="38"/>
      <c r="B10" s="220">
        <v>3</v>
      </c>
      <c r="C10" s="9" t="s">
        <v>632</v>
      </c>
      <c r="D10" s="11"/>
      <c r="E10" s="11"/>
      <c r="F10" s="12"/>
      <c r="G10" s="12"/>
      <c r="H10" s="11"/>
      <c r="I10" s="11"/>
      <c r="J10" s="11"/>
      <c r="K10" s="291" t="str">
        <f t="shared" si="6"/>
        <v/>
      </c>
      <c r="L10" s="291" t="str">
        <f t="shared" si="0"/>
        <v/>
      </c>
      <c r="M10" s="279" t="str">
        <f t="shared" si="1"/>
        <v/>
      </c>
      <c r="N10" s="406">
        <f t="shared" si="2"/>
        <v>0</v>
      </c>
      <c r="O10" s="407">
        <f t="shared" si="3"/>
        <v>0</v>
      </c>
      <c r="P10" s="407">
        <f t="shared" si="4"/>
        <v>0</v>
      </c>
      <c r="Q10" s="39">
        <f>IFERROR(J10*50*'Project Summary'!$M$12, 0)</f>
        <v>0</v>
      </c>
      <c r="R10" s="290" t="str">
        <f>IFERROR(#REF!+#REF!,"0")</f>
        <v>0</v>
      </c>
      <c r="S10" s="10"/>
      <c r="T10" s="5" t="str">
        <f t="shared" si="5"/>
        <v/>
      </c>
      <c r="U10" s="38"/>
    </row>
    <row r="11" spans="1:161" x14ac:dyDescent="0.25">
      <c r="A11" s="38"/>
      <c r="B11" s="220">
        <v>4</v>
      </c>
      <c r="C11" s="9" t="s">
        <v>632</v>
      </c>
      <c r="D11" s="11"/>
      <c r="E11" s="11"/>
      <c r="F11" s="12"/>
      <c r="G11" s="12"/>
      <c r="H11" s="11"/>
      <c r="I11" s="11"/>
      <c r="J11" s="11"/>
      <c r="K11" s="291" t="str">
        <f t="shared" si="6"/>
        <v/>
      </c>
      <c r="L11" s="291" t="str">
        <f t="shared" si="0"/>
        <v/>
      </c>
      <c r="M11" s="279" t="str">
        <f t="shared" si="1"/>
        <v/>
      </c>
      <c r="N11" s="406">
        <f t="shared" si="2"/>
        <v>0</v>
      </c>
      <c r="O11" s="407">
        <f t="shared" si="3"/>
        <v>0</v>
      </c>
      <c r="P11" s="407">
        <f t="shared" si="4"/>
        <v>0</v>
      </c>
      <c r="Q11" s="39">
        <f>IFERROR(J11*50*'Project Summary'!$M$12, 0)</f>
        <v>0</v>
      </c>
      <c r="R11" s="290" t="str">
        <f>IFERROR(#REF!+#REF!,"0")</f>
        <v>0</v>
      </c>
      <c r="S11" s="10"/>
      <c r="T11" s="5" t="str">
        <f t="shared" si="5"/>
        <v/>
      </c>
      <c r="U11" s="38"/>
    </row>
    <row r="12" spans="1:161" x14ac:dyDescent="0.25">
      <c r="A12" s="38"/>
      <c r="B12" s="220">
        <v>5</v>
      </c>
      <c r="C12" s="9" t="s">
        <v>632</v>
      </c>
      <c r="D12" s="11"/>
      <c r="E12" s="11"/>
      <c r="F12" s="12"/>
      <c r="G12" s="12"/>
      <c r="H12" s="11"/>
      <c r="I12" s="11"/>
      <c r="J12" s="11"/>
      <c r="K12" s="291" t="str">
        <f t="shared" si="6"/>
        <v/>
      </c>
      <c r="L12" s="291" t="str">
        <f t="shared" si="0"/>
        <v/>
      </c>
      <c r="M12" s="279" t="str">
        <f t="shared" si="1"/>
        <v/>
      </c>
      <c r="N12" s="406">
        <f t="shared" si="2"/>
        <v>0</v>
      </c>
      <c r="O12" s="407">
        <f t="shared" si="3"/>
        <v>0</v>
      </c>
      <c r="P12" s="407">
        <f t="shared" si="4"/>
        <v>0</v>
      </c>
      <c r="Q12" s="39">
        <f>IFERROR(J12*50*'Project Summary'!$M$12, 0)</f>
        <v>0</v>
      </c>
      <c r="R12" s="290" t="str">
        <f>IFERROR(#REF!+#REF!,"0")</f>
        <v>0</v>
      </c>
      <c r="S12" s="10"/>
      <c r="T12" s="5" t="str">
        <f t="shared" si="5"/>
        <v/>
      </c>
      <c r="U12" s="38"/>
    </row>
    <row r="13" spans="1:161" x14ac:dyDescent="0.25">
      <c r="A13" s="38"/>
      <c r="B13" s="220">
        <v>6</v>
      </c>
      <c r="C13" s="9" t="s">
        <v>632</v>
      </c>
      <c r="D13" s="11"/>
      <c r="E13" s="11"/>
      <c r="F13" s="12"/>
      <c r="G13" s="12"/>
      <c r="H13" s="11"/>
      <c r="I13" s="11"/>
      <c r="J13" s="11"/>
      <c r="K13" s="291" t="str">
        <f t="shared" si="6"/>
        <v/>
      </c>
      <c r="L13" s="291" t="str">
        <f t="shared" si="0"/>
        <v/>
      </c>
      <c r="M13" s="279" t="str">
        <f t="shared" si="1"/>
        <v/>
      </c>
      <c r="N13" s="406">
        <f t="shared" si="2"/>
        <v>0</v>
      </c>
      <c r="O13" s="407">
        <f t="shared" si="3"/>
        <v>0</v>
      </c>
      <c r="P13" s="407">
        <f t="shared" si="4"/>
        <v>0</v>
      </c>
      <c r="Q13" s="39">
        <f>IFERROR(J13*50*'Project Summary'!$M$12, 0)</f>
        <v>0</v>
      </c>
      <c r="R13" s="290" t="str">
        <f>IFERROR(#REF!+#REF!,"0")</f>
        <v>0</v>
      </c>
      <c r="S13" s="10"/>
      <c r="T13" s="5" t="str">
        <f t="shared" si="5"/>
        <v/>
      </c>
      <c r="U13" s="38"/>
    </row>
    <row r="14" spans="1:161" x14ac:dyDescent="0.25">
      <c r="A14" s="38"/>
      <c r="B14" s="220">
        <v>7</v>
      </c>
      <c r="C14" s="9" t="s">
        <v>632</v>
      </c>
      <c r="D14" s="11"/>
      <c r="E14" s="11"/>
      <c r="F14" s="12"/>
      <c r="G14" s="12"/>
      <c r="H14" s="11"/>
      <c r="I14" s="11"/>
      <c r="J14" s="11"/>
      <c r="K14" s="291" t="str">
        <f t="shared" si="6"/>
        <v/>
      </c>
      <c r="L14" s="291" t="str">
        <f t="shared" si="0"/>
        <v/>
      </c>
      <c r="M14" s="279" t="str">
        <f t="shared" si="1"/>
        <v/>
      </c>
      <c r="N14" s="406">
        <f t="shared" si="2"/>
        <v>0</v>
      </c>
      <c r="O14" s="407">
        <f t="shared" si="3"/>
        <v>0</v>
      </c>
      <c r="P14" s="407">
        <f t="shared" si="4"/>
        <v>0</v>
      </c>
      <c r="Q14" s="39">
        <f>IFERROR(J14*50*'Project Summary'!$M$12, 0)</f>
        <v>0</v>
      </c>
      <c r="R14" s="290" t="str">
        <f>IFERROR(#REF!+#REF!,"0")</f>
        <v>0</v>
      </c>
      <c r="S14" s="10"/>
      <c r="T14" s="5" t="str">
        <f t="shared" si="5"/>
        <v/>
      </c>
      <c r="U14" s="38"/>
      <c r="X14" s="139"/>
      <c r="Y14" s="139"/>
      <c r="Z14" s="139"/>
      <c r="AA14" s="139"/>
      <c r="AB14" s="139"/>
      <c r="AC14" s="139"/>
      <c r="AD14" s="139"/>
      <c r="AE14" s="139"/>
      <c r="AF14" s="139"/>
    </row>
    <row r="15" spans="1:161" x14ac:dyDescent="0.25">
      <c r="A15" s="38"/>
      <c r="B15" s="220">
        <v>8</v>
      </c>
      <c r="C15" s="9" t="s">
        <v>632</v>
      </c>
      <c r="D15" s="11"/>
      <c r="E15" s="11"/>
      <c r="F15" s="12"/>
      <c r="G15" s="12"/>
      <c r="H15" s="11"/>
      <c r="I15" s="11"/>
      <c r="J15" s="11"/>
      <c r="K15" s="291" t="str">
        <f t="shared" si="6"/>
        <v/>
      </c>
      <c r="L15" s="291" t="str">
        <f t="shared" si="0"/>
        <v/>
      </c>
      <c r="M15" s="279" t="str">
        <f t="shared" si="1"/>
        <v/>
      </c>
      <c r="N15" s="406">
        <f t="shared" si="2"/>
        <v>0</v>
      </c>
      <c r="O15" s="407">
        <f t="shared" si="3"/>
        <v>0</v>
      </c>
      <c r="P15" s="407">
        <f t="shared" si="4"/>
        <v>0</v>
      </c>
      <c r="Q15" s="39">
        <f>IFERROR(J15*50*'Project Summary'!$M$12, 0)</f>
        <v>0</v>
      </c>
      <c r="R15" s="290" t="str">
        <f>IFERROR(#REF!+#REF!,"0")</f>
        <v>0</v>
      </c>
      <c r="S15" s="10"/>
      <c r="T15" s="5" t="str">
        <f t="shared" si="5"/>
        <v/>
      </c>
      <c r="U15" s="38"/>
    </row>
    <row r="16" spans="1:161" hidden="1" x14ac:dyDescent="0.25">
      <c r="A16" s="27"/>
      <c r="B16" s="33"/>
      <c r="C16" s="121"/>
      <c r="D16" s="121"/>
      <c r="E16" s="121"/>
      <c r="F16" s="121"/>
      <c r="G16" s="161"/>
      <c r="H16" s="161"/>
      <c r="I16" s="161"/>
      <c r="J16" s="161">
        <f>SUM(J8:J15)</f>
        <v>0</v>
      </c>
      <c r="K16" s="161"/>
      <c r="L16" s="289"/>
      <c r="M16" s="161"/>
      <c r="N16" s="161">
        <f>SUM(N8:N15)</f>
        <v>0</v>
      </c>
      <c r="O16" s="161">
        <f>SUM(O8:O15)</f>
        <v>0</v>
      </c>
      <c r="P16" s="161">
        <f>SUM(P8:P15)</f>
        <v>0</v>
      </c>
      <c r="Q16" s="161">
        <f>SUM(Q8:Q15)</f>
        <v>0</v>
      </c>
      <c r="R16" s="34"/>
      <c r="S16" s="288"/>
      <c r="T16" s="288"/>
      <c r="U16" s="287"/>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row>
    <row r="17" spans="1:161" hidden="1" x14ac:dyDescent="0.25">
      <c r="A17" s="27"/>
      <c r="C17" s="566" t="s">
        <v>117</v>
      </c>
      <c r="D17" s="567"/>
      <c r="E17" s="567"/>
      <c r="F17" s="567"/>
      <c r="G17" s="567"/>
      <c r="H17" s="567"/>
      <c r="I17" s="567"/>
      <c r="J17" s="567"/>
      <c r="K17" s="567"/>
      <c r="L17" s="567"/>
      <c r="M17" s="567"/>
      <c r="N17" s="567"/>
      <c r="O17" s="567"/>
      <c r="P17" s="567"/>
      <c r="Q17" s="567"/>
      <c r="R17" s="567"/>
      <c r="S17" s="567"/>
      <c r="T17" s="568"/>
      <c r="U17" s="38"/>
    </row>
    <row r="18" spans="1:161" hidden="1" x14ac:dyDescent="0.25">
      <c r="A18" s="27"/>
      <c r="L18" s="139"/>
      <c r="M18" s="139"/>
      <c r="N18" s="139"/>
      <c r="O18" s="139"/>
      <c r="P18" s="139"/>
      <c r="Q18" s="139"/>
      <c r="R18" s="139"/>
      <c r="S18" s="139"/>
      <c r="T18" s="139"/>
      <c r="U18" s="283"/>
      <c r="V18" s="139"/>
      <c r="W18" s="139"/>
      <c r="X18" s="139"/>
      <c r="Y18" s="139"/>
      <c r="Z18" s="139"/>
      <c r="AA18" s="139"/>
      <c r="AB18" s="139"/>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row>
    <row r="19" spans="1:161" hidden="1" x14ac:dyDescent="0.25">
      <c r="A19" s="27"/>
      <c r="C19" s="223" t="s">
        <v>631</v>
      </c>
      <c r="D19" s="223" t="s">
        <v>388</v>
      </c>
      <c r="E19" s="281"/>
      <c r="F19" s="281"/>
      <c r="H19" s="281"/>
      <c r="L19" s="124"/>
      <c r="M19" s="124"/>
      <c r="N19" s="124"/>
      <c r="O19" s="229"/>
      <c r="P19" s="229"/>
      <c r="Q19" s="124"/>
      <c r="R19" s="124"/>
      <c r="S19" s="229"/>
      <c r="T19" s="124"/>
      <c r="U19" s="282"/>
      <c r="V19" s="229"/>
      <c r="W19" s="229"/>
      <c r="X19" s="229"/>
      <c r="Y19" s="229"/>
      <c r="Z19" s="229"/>
      <c r="AA19" s="229"/>
      <c r="AB19" s="22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row>
    <row r="20" spans="1:161" hidden="1" x14ac:dyDescent="0.25">
      <c r="A20" s="27"/>
      <c r="C20" s="4" t="s">
        <v>93</v>
      </c>
      <c r="D20" s="4">
        <v>1</v>
      </c>
      <c r="L20" s="219"/>
      <c r="M20" s="33"/>
      <c r="N20" s="33"/>
      <c r="O20" s="35"/>
      <c r="P20" s="35"/>
      <c r="Q20" s="219"/>
      <c r="R20" s="219"/>
      <c r="S20" s="33"/>
      <c r="T20" s="33"/>
      <c r="U20" s="280"/>
      <c r="V20" s="126"/>
      <c r="W20" s="126"/>
      <c r="X20" s="126"/>
      <c r="Y20" s="126"/>
      <c r="Z20" s="126"/>
      <c r="AA20" s="126"/>
      <c r="AB20" s="126"/>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row>
    <row r="21" spans="1:161" hidden="1" x14ac:dyDescent="0.25">
      <c r="A21" s="27"/>
      <c r="C21" s="4" t="s">
        <v>346</v>
      </c>
      <c r="D21" s="4">
        <v>24</v>
      </c>
      <c r="L21" s="219"/>
      <c r="M21" s="33"/>
      <c r="N21" s="33"/>
      <c r="O21" s="35"/>
      <c r="P21" s="35"/>
      <c r="Q21" s="219"/>
      <c r="R21" s="219"/>
      <c r="S21" s="33"/>
      <c r="T21" s="33"/>
      <c r="U21" s="280"/>
      <c r="V21" s="126"/>
      <c r="W21" s="126"/>
      <c r="X21" s="126"/>
      <c r="Y21" s="126"/>
      <c r="Z21" s="126"/>
      <c r="AA21" s="126"/>
      <c r="AB21" s="126"/>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row>
    <row r="22" spans="1:161" hidden="1" x14ac:dyDescent="0.25">
      <c r="A22" s="27"/>
      <c r="C22" s="4" t="s">
        <v>630</v>
      </c>
      <c r="D22" s="4">
        <v>365.25</v>
      </c>
      <c r="L22" s="219"/>
      <c r="M22" s="33"/>
      <c r="N22" s="33"/>
      <c r="O22" s="35"/>
      <c r="P22" s="35"/>
      <c r="Q22" s="219"/>
      <c r="R22" s="219"/>
      <c r="S22" s="33"/>
      <c r="T22" s="33"/>
      <c r="U22" s="280"/>
      <c r="V22" s="126"/>
      <c r="W22" s="126"/>
      <c r="X22" s="126"/>
      <c r="Y22" s="126"/>
      <c r="Z22" s="126"/>
      <c r="AA22" s="126"/>
      <c r="AB22" s="126"/>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row>
    <row r="23" spans="1:161" hidden="1" x14ac:dyDescent="0.25">
      <c r="A23" s="27"/>
      <c r="C23" s="4" t="s">
        <v>629</v>
      </c>
      <c r="D23" s="4">
        <v>12</v>
      </c>
      <c r="G23" s="286"/>
      <c r="L23" s="219"/>
      <c r="M23" s="33"/>
      <c r="N23" s="33"/>
      <c r="O23" s="35"/>
      <c r="P23" s="35"/>
      <c r="Q23" s="219"/>
      <c r="R23" s="219"/>
      <c r="S23" s="33"/>
      <c r="T23" s="33"/>
      <c r="U23" s="280"/>
      <c r="V23" s="126"/>
      <c r="W23" s="126"/>
      <c r="X23" s="126"/>
      <c r="Y23" s="126"/>
      <c r="Z23" s="126"/>
      <c r="AA23" s="126"/>
      <c r="AB23" s="126"/>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row>
    <row r="24" spans="1:161" hidden="1" x14ac:dyDescent="0.25">
      <c r="A24" s="27"/>
      <c r="C24" s="4" t="s">
        <v>628</v>
      </c>
      <c r="D24" s="285">
        <f>0.05*'Project Summary'!M12</f>
        <v>2.5000000000000001E-2</v>
      </c>
      <c r="G24" s="286"/>
      <c r="L24" s="219"/>
      <c r="M24" s="33"/>
      <c r="N24" s="33"/>
      <c r="O24" s="35"/>
      <c r="P24" s="35"/>
      <c r="Q24" s="219"/>
      <c r="R24" s="219"/>
      <c r="S24" s="33"/>
      <c r="T24" s="33"/>
      <c r="U24" s="280"/>
      <c r="V24" s="126"/>
      <c r="W24" s="126"/>
      <c r="X24" s="126"/>
      <c r="Y24" s="126"/>
      <c r="Z24" s="126"/>
      <c r="AA24" s="126"/>
      <c r="AB24" s="126"/>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row>
    <row r="25" spans="1:161" hidden="1" x14ac:dyDescent="0.25">
      <c r="A25" s="27"/>
      <c r="C25" s="4" t="s">
        <v>627</v>
      </c>
      <c r="D25" s="285">
        <f>150*'Project Summary'!M12</f>
        <v>75</v>
      </c>
      <c r="L25" s="219"/>
      <c r="M25" s="33"/>
      <c r="N25" s="33"/>
      <c r="O25" s="35"/>
      <c r="P25" s="35"/>
      <c r="Q25" s="219"/>
      <c r="R25" s="219"/>
      <c r="S25" s="33"/>
      <c r="T25" s="33"/>
      <c r="U25" s="280"/>
      <c r="V25" s="126"/>
      <c r="W25" s="126"/>
      <c r="X25" s="126"/>
      <c r="Y25" s="126"/>
      <c r="Z25" s="126"/>
      <c r="AA25" s="126"/>
      <c r="AB25" s="126"/>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row>
    <row r="26" spans="1:161" hidden="1" x14ac:dyDescent="0.25">
      <c r="A26" s="27"/>
      <c r="L26" s="219"/>
      <c r="M26" s="33"/>
      <c r="N26" s="33"/>
      <c r="O26" s="35"/>
      <c r="P26" s="35"/>
      <c r="Q26" s="219"/>
      <c r="R26" s="219"/>
      <c r="S26" s="33"/>
      <c r="T26" s="33"/>
      <c r="U26" s="280"/>
      <c r="V26" s="126"/>
      <c r="W26" s="126"/>
      <c r="X26" s="126"/>
      <c r="Y26" s="126"/>
      <c r="Z26" s="126"/>
      <c r="AA26" s="126"/>
      <c r="AB26" s="1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row>
    <row r="27" spans="1:161" hidden="1" x14ac:dyDescent="0.25">
      <c r="A27" s="27"/>
      <c r="C27" s="132" t="s">
        <v>380</v>
      </c>
      <c r="D27" s="132" t="s">
        <v>622</v>
      </c>
      <c r="F27" s="284"/>
      <c r="L27" s="219"/>
      <c r="M27" s="33"/>
      <c r="N27" s="33"/>
      <c r="O27" s="35"/>
      <c r="P27" s="35"/>
      <c r="Q27" s="219"/>
      <c r="R27" s="219"/>
      <c r="S27" s="33"/>
      <c r="T27" s="33"/>
      <c r="U27" s="280"/>
      <c r="V27" s="126"/>
      <c r="W27" s="126"/>
      <c r="X27" s="126"/>
      <c r="Y27" s="126"/>
      <c r="Z27" s="126"/>
      <c r="AA27" s="126"/>
      <c r="AB27" s="126"/>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row>
    <row r="28" spans="1:161" hidden="1" x14ac:dyDescent="0.25">
      <c r="A28" s="27"/>
      <c r="C28" s="4" t="s">
        <v>626</v>
      </c>
      <c r="D28" s="4"/>
      <c r="L28" s="219"/>
      <c r="M28" s="33"/>
      <c r="N28" s="33"/>
      <c r="O28" s="35"/>
      <c r="P28" s="35"/>
      <c r="Q28" s="219"/>
      <c r="R28" s="219"/>
      <c r="S28" s="33"/>
      <c r="T28" s="33"/>
      <c r="U28" s="280"/>
      <c r="V28" s="126"/>
      <c r="W28" s="126"/>
      <c r="X28" s="126"/>
      <c r="Y28" s="126"/>
      <c r="Z28" s="126"/>
      <c r="AA28" s="126"/>
      <c r="AB28" s="126"/>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row>
    <row r="29" spans="1:161" hidden="1" x14ac:dyDescent="0.25">
      <c r="A29" s="27"/>
      <c r="C29" s="4" t="s">
        <v>625</v>
      </c>
      <c r="D29" s="4" t="s">
        <v>624</v>
      </c>
      <c r="L29" s="139"/>
      <c r="M29" s="139"/>
      <c r="N29" s="139"/>
      <c r="O29" s="139"/>
      <c r="P29" s="139"/>
      <c r="Q29" s="139"/>
      <c r="R29" s="139"/>
      <c r="S29" s="139"/>
      <c r="T29" s="139"/>
      <c r="U29" s="283"/>
      <c r="V29" s="139"/>
      <c r="W29" s="139"/>
      <c r="X29" s="139"/>
      <c r="Y29" s="139"/>
      <c r="Z29" s="139"/>
      <c r="AA29" s="139"/>
      <c r="AB29" s="13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row>
    <row r="30" spans="1:161" hidden="1" x14ac:dyDescent="0.25">
      <c r="A30" s="27"/>
      <c r="L30" s="124"/>
      <c r="M30" s="124"/>
      <c r="N30" s="124"/>
      <c r="O30" s="229"/>
      <c r="P30" s="229"/>
      <c r="Q30" s="124"/>
      <c r="R30" s="124"/>
      <c r="S30" s="229"/>
      <c r="T30" s="124"/>
      <c r="U30" s="282"/>
      <c r="V30" s="229"/>
      <c r="W30" s="229"/>
      <c r="X30" s="229"/>
      <c r="Y30" s="229"/>
      <c r="Z30" s="229"/>
      <c r="AA30" s="229"/>
      <c r="AB30" s="229"/>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row>
    <row r="31" spans="1:161" hidden="1" x14ac:dyDescent="0.25">
      <c r="A31" s="27"/>
      <c r="C31" s="46" t="s">
        <v>623</v>
      </c>
      <c r="D31" s="132" t="s">
        <v>622</v>
      </c>
      <c r="E31" s="223" t="s">
        <v>412</v>
      </c>
      <c r="F31" s="281"/>
      <c r="L31" s="219"/>
      <c r="M31" s="33"/>
      <c r="N31" s="33"/>
      <c r="O31" s="35"/>
      <c r="P31" s="35"/>
      <c r="Q31" s="219"/>
      <c r="R31" s="219"/>
      <c r="S31" s="33"/>
      <c r="T31" s="33"/>
      <c r="U31" s="280"/>
      <c r="V31" s="126"/>
      <c r="W31" s="126"/>
      <c r="X31" s="126"/>
      <c r="Y31" s="126"/>
      <c r="Z31" s="126"/>
      <c r="AA31" s="126"/>
      <c r="AB31" s="126"/>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row>
    <row r="32" spans="1:161" hidden="1" x14ac:dyDescent="0.25">
      <c r="A32" s="27"/>
      <c r="C32" s="8" t="s">
        <v>621</v>
      </c>
      <c r="D32" s="4" t="s">
        <v>620</v>
      </c>
      <c r="E32" s="4">
        <v>0</v>
      </c>
      <c r="F32" s="119"/>
      <c r="L32" s="219"/>
      <c r="M32" s="33"/>
      <c r="N32" s="33"/>
      <c r="O32" s="35"/>
      <c r="P32" s="35"/>
      <c r="Q32" s="219"/>
      <c r="R32" s="219"/>
      <c r="S32" s="33"/>
      <c r="T32" s="33"/>
      <c r="U32" s="280"/>
      <c r="V32" s="126"/>
      <c r="W32" s="126"/>
      <c r="X32" s="126"/>
      <c r="Y32" s="126"/>
      <c r="Z32" s="126"/>
      <c r="AA32" s="126"/>
      <c r="AB32" s="126"/>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row>
    <row r="33" spans="1:161" hidden="1" x14ac:dyDescent="0.25">
      <c r="A33" s="27"/>
      <c r="C33" s="4" t="s">
        <v>619</v>
      </c>
      <c r="D33" s="4"/>
      <c r="E33" s="4">
        <v>0.87</v>
      </c>
      <c r="L33" s="219"/>
      <c r="M33" s="33"/>
      <c r="N33" s="33"/>
      <c r="O33" s="35"/>
      <c r="P33" s="35"/>
      <c r="Q33" s="219"/>
      <c r="R33" s="219"/>
      <c r="S33" s="33"/>
      <c r="T33" s="33"/>
      <c r="U33" s="280"/>
      <c r="V33" s="126"/>
      <c r="W33" s="126"/>
      <c r="X33" s="126"/>
      <c r="Y33" s="126"/>
      <c r="Z33" s="126"/>
      <c r="AA33" s="126"/>
      <c r="AB33" s="126"/>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row>
    <row r="34" spans="1:161" hidden="1" x14ac:dyDescent="0.25">
      <c r="A34" s="27"/>
      <c r="C34" s="4" t="s">
        <v>618</v>
      </c>
      <c r="D34" s="4"/>
      <c r="E34" s="4">
        <v>0.52</v>
      </c>
      <c r="L34" s="219"/>
      <c r="M34" s="33"/>
      <c r="N34" s="33"/>
      <c r="O34" s="35"/>
      <c r="P34" s="35"/>
      <c r="Q34" s="219"/>
      <c r="R34" s="219"/>
      <c r="S34" s="33"/>
      <c r="T34" s="33"/>
      <c r="U34" s="280"/>
      <c r="V34" s="126"/>
      <c r="W34" s="126"/>
      <c r="X34" s="126"/>
      <c r="Y34" s="126"/>
      <c r="Z34" s="126"/>
      <c r="AA34" s="126"/>
      <c r="AB34" s="126"/>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row>
    <row r="35" spans="1:161" hidden="1" x14ac:dyDescent="0.25">
      <c r="A35" s="27"/>
      <c r="C35" s="34"/>
      <c r="D35" s="34"/>
      <c r="E35" s="34"/>
      <c r="F35" s="34"/>
      <c r="L35" s="219"/>
      <c r="M35" s="33"/>
      <c r="N35" s="33"/>
      <c r="O35" s="35"/>
      <c r="P35" s="35"/>
      <c r="Q35" s="219"/>
      <c r="R35" s="219"/>
      <c r="S35" s="33"/>
      <c r="T35" s="33"/>
      <c r="U35" s="280"/>
      <c r="V35" s="126"/>
      <c r="W35" s="126"/>
      <c r="X35" s="126"/>
      <c r="Y35" s="126"/>
      <c r="Z35" s="126"/>
      <c r="AA35" s="126"/>
      <c r="AB35" s="126"/>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row>
    <row r="36" spans="1:161" s="82" customFormat="1" x14ac:dyDescent="0.25">
      <c r="A36" s="83"/>
      <c r="B36" s="83"/>
      <c r="C36" s="83"/>
      <c r="D36" s="83"/>
      <c r="E36" s="83"/>
      <c r="F36" s="83"/>
      <c r="G36" s="83"/>
      <c r="H36" s="83"/>
      <c r="I36" s="83"/>
      <c r="J36" s="83"/>
      <c r="K36" s="83"/>
      <c r="L36" s="83"/>
      <c r="M36" s="83"/>
      <c r="N36" s="83"/>
      <c r="O36" s="83"/>
      <c r="P36" s="83"/>
      <c r="Q36" s="83"/>
      <c r="R36" s="83"/>
      <c r="S36" s="83"/>
      <c r="T36" s="83"/>
      <c r="U36" s="38"/>
      <c r="V36"/>
      <c r="W36"/>
      <c r="X36"/>
      <c r="Y36"/>
      <c r="Z36"/>
      <c r="AA36"/>
      <c r="AB36"/>
      <c r="AC36"/>
      <c r="AD36"/>
      <c r="AE36"/>
      <c r="AF36"/>
    </row>
    <row r="37" spans="1:161" s="82" customFormat="1" x14ac:dyDescent="0.25">
      <c r="A37" s="83"/>
      <c r="B37" s="83"/>
      <c r="C37" s="83"/>
      <c r="D37" s="83"/>
      <c r="E37" s="83"/>
      <c r="F37" s="83"/>
      <c r="G37" s="83"/>
      <c r="H37" s="83"/>
      <c r="I37" s="83"/>
      <c r="J37" s="83"/>
      <c r="K37" s="83"/>
      <c r="L37" s="83"/>
      <c r="M37" s="83"/>
      <c r="N37" s="83"/>
      <c r="O37" s="83"/>
      <c r="P37" s="83"/>
      <c r="Q37" s="83"/>
      <c r="R37" s="83"/>
      <c r="S37" s="83"/>
      <c r="T37" s="83"/>
      <c r="U37" s="38"/>
      <c r="V37"/>
      <c r="W37"/>
      <c r="X37"/>
      <c r="Y37"/>
      <c r="Z37"/>
      <c r="AA37"/>
      <c r="AB37"/>
      <c r="AC37"/>
      <c r="AD37"/>
      <c r="AE37"/>
      <c r="AF37"/>
    </row>
    <row r="38" spans="1:161" s="82" customFormat="1" x14ac:dyDescent="0.25">
      <c r="A38"/>
      <c r="B38"/>
      <c r="C38"/>
      <c r="D38"/>
      <c r="E38"/>
      <c r="F38"/>
      <c r="G38"/>
      <c r="H38"/>
      <c r="I38"/>
      <c r="J38"/>
      <c r="K38"/>
      <c r="L38"/>
      <c r="M38"/>
      <c r="N38"/>
      <c r="O38"/>
      <c r="P38"/>
      <c r="Q38"/>
      <c r="R38"/>
      <c r="S38"/>
      <c r="T38"/>
      <c r="U38"/>
      <c r="V38"/>
      <c r="W38"/>
      <c r="X38"/>
      <c r="Y38"/>
      <c r="Z38"/>
      <c r="AA38"/>
      <c r="AB38"/>
      <c r="AC38"/>
      <c r="AD38"/>
      <c r="AE38"/>
      <c r="AF38"/>
    </row>
    <row r="39" spans="1:161" s="82" customFormat="1" x14ac:dyDescent="0.25">
      <c r="A39"/>
      <c r="B39"/>
      <c r="C39"/>
      <c r="D39"/>
      <c r="E39"/>
      <c r="F39"/>
      <c r="G39"/>
      <c r="H39"/>
      <c r="I39"/>
      <c r="J39"/>
      <c r="K39"/>
      <c r="L39"/>
      <c r="M39"/>
      <c r="N39"/>
      <c r="O39"/>
      <c r="P39"/>
      <c r="Q39"/>
      <c r="R39"/>
      <c r="S39"/>
      <c r="T39"/>
      <c r="U39"/>
      <c r="V39"/>
      <c r="W39"/>
      <c r="X39"/>
      <c r="Y39"/>
      <c r="Z39"/>
      <c r="AA39"/>
      <c r="AB39"/>
      <c r="AC39"/>
      <c r="AD39"/>
      <c r="AE39"/>
      <c r="AF39"/>
    </row>
    <row r="40" spans="1:161" s="82" customFormat="1" x14ac:dyDescent="0.25">
      <c r="A40"/>
      <c r="B40"/>
      <c r="C40"/>
      <c r="D40"/>
      <c r="E40"/>
      <c r="F40"/>
      <c r="G40"/>
      <c r="H40"/>
      <c r="I40"/>
      <c r="J40"/>
      <c r="K40"/>
      <c r="L40"/>
      <c r="M40"/>
      <c r="N40"/>
      <c r="O40"/>
      <c r="P40"/>
      <c r="Q40"/>
      <c r="R40"/>
      <c r="S40"/>
      <c r="T40"/>
      <c r="U40"/>
      <c r="V40"/>
      <c r="W40"/>
      <c r="X40"/>
      <c r="Y40"/>
      <c r="Z40"/>
      <c r="AA40"/>
      <c r="AB40"/>
      <c r="AC40"/>
      <c r="AD40"/>
      <c r="AE40"/>
      <c r="AF40"/>
    </row>
    <row r="41" spans="1:161" s="82" customFormat="1" x14ac:dyDescent="0.25">
      <c r="A41"/>
      <c r="B41"/>
      <c r="C41"/>
      <c r="D41"/>
      <c r="E41"/>
      <c r="F41"/>
      <c r="G41"/>
      <c r="H41"/>
      <c r="I41"/>
      <c r="J41"/>
      <c r="K41"/>
      <c r="L41"/>
      <c r="M41"/>
      <c r="N41"/>
      <c r="O41"/>
      <c r="P41"/>
      <c r="Q41"/>
      <c r="R41"/>
      <c r="S41"/>
      <c r="T41"/>
      <c r="U41"/>
      <c r="V41"/>
      <c r="W41"/>
      <c r="X41"/>
      <c r="Y41"/>
      <c r="Z41"/>
      <c r="AA41"/>
      <c r="AB41"/>
      <c r="AC41"/>
      <c r="AD41"/>
      <c r="AE41"/>
      <c r="AF41"/>
    </row>
    <row r="42" spans="1:161" s="82" customFormat="1" x14ac:dyDescent="0.25">
      <c r="A42"/>
      <c r="B42"/>
      <c r="C42"/>
      <c r="D42"/>
      <c r="E42"/>
      <c r="F42"/>
      <c r="G42"/>
      <c r="H42"/>
      <c r="I42"/>
      <c r="J42"/>
      <c r="K42"/>
      <c r="L42"/>
      <c r="M42"/>
      <c r="N42"/>
      <c r="O42"/>
      <c r="P42"/>
      <c r="Q42"/>
      <c r="R42"/>
      <c r="S42"/>
      <c r="T42"/>
      <c r="U42"/>
      <c r="V42"/>
      <c r="W42"/>
      <c r="X42"/>
      <c r="Y42"/>
      <c r="Z42"/>
      <c r="AA42"/>
      <c r="AB42"/>
      <c r="AC42"/>
      <c r="AD42"/>
      <c r="AE42"/>
      <c r="AF42"/>
    </row>
    <row r="43" spans="1:161" s="82" customFormat="1" x14ac:dyDescent="0.25">
      <c r="A43"/>
      <c r="B43"/>
      <c r="C43"/>
      <c r="D43"/>
      <c r="E43"/>
      <c r="F43"/>
      <c r="G43"/>
      <c r="H43"/>
      <c r="I43"/>
      <c r="J43"/>
      <c r="K43"/>
      <c r="L43"/>
      <c r="M43"/>
      <c r="N43"/>
      <c r="O43"/>
      <c r="P43"/>
      <c r="Q43"/>
      <c r="R43"/>
      <c r="S43"/>
      <c r="T43"/>
      <c r="U43"/>
      <c r="V43"/>
      <c r="W43"/>
      <c r="X43"/>
      <c r="Y43"/>
      <c r="Z43"/>
      <c r="AA43"/>
      <c r="AB43"/>
      <c r="AC43"/>
      <c r="AD43"/>
      <c r="AE43"/>
      <c r="AF43"/>
    </row>
    <row r="44" spans="1:161" s="82" customFormat="1" x14ac:dyDescent="0.25">
      <c r="A44"/>
      <c r="B44"/>
      <c r="C44"/>
      <c r="D44"/>
      <c r="E44"/>
      <c r="F44"/>
      <c r="G44"/>
      <c r="H44"/>
      <c r="I44"/>
      <c r="J44"/>
      <c r="K44"/>
      <c r="L44"/>
      <c r="M44"/>
      <c r="N44"/>
      <c r="O44"/>
      <c r="P44"/>
      <c r="Q44"/>
      <c r="R44"/>
      <c r="S44"/>
      <c r="T44"/>
      <c r="U44"/>
      <c r="V44"/>
      <c r="W44"/>
      <c r="X44"/>
      <c r="Y44"/>
      <c r="Z44"/>
      <c r="AA44"/>
      <c r="AB44"/>
      <c r="AC44"/>
      <c r="AD44"/>
      <c r="AE44"/>
      <c r="AF44"/>
    </row>
    <row r="45" spans="1:161" s="82" customFormat="1" x14ac:dyDescent="0.25">
      <c r="A45"/>
      <c r="B45"/>
      <c r="C45"/>
      <c r="D45"/>
      <c r="E45"/>
      <c r="F45"/>
      <c r="G45"/>
      <c r="H45"/>
      <c r="I45"/>
      <c r="J45"/>
      <c r="K45"/>
      <c r="L45"/>
      <c r="M45"/>
      <c r="N45"/>
      <c r="O45"/>
      <c r="P45"/>
      <c r="Q45"/>
      <c r="R45"/>
      <c r="S45"/>
      <c r="T45"/>
      <c r="U45"/>
      <c r="V45"/>
      <c r="W45"/>
      <c r="X45"/>
      <c r="Y45"/>
      <c r="Z45"/>
      <c r="AA45"/>
      <c r="AB45"/>
      <c r="AC45"/>
      <c r="AD45"/>
      <c r="AE45"/>
      <c r="AF45"/>
    </row>
    <row r="46" spans="1:161" s="82" customFormat="1" x14ac:dyDescent="0.25">
      <c r="A46"/>
      <c r="B46"/>
      <c r="C46"/>
      <c r="D46"/>
      <c r="E46"/>
      <c r="F46"/>
      <c r="G46"/>
      <c r="H46"/>
      <c r="I46"/>
      <c r="J46"/>
      <c r="K46"/>
      <c r="L46"/>
      <c r="M46"/>
      <c r="N46"/>
      <c r="O46"/>
      <c r="P46"/>
      <c r="Q46"/>
      <c r="R46"/>
      <c r="S46"/>
      <c r="T46"/>
      <c r="U46"/>
      <c r="V46"/>
      <c r="W46"/>
      <c r="X46"/>
      <c r="Y46"/>
      <c r="Z46"/>
      <c r="AA46"/>
      <c r="AB46"/>
      <c r="AC46"/>
      <c r="AD46"/>
      <c r="AE46"/>
      <c r="AF46"/>
    </row>
    <row r="47" spans="1:161" s="82" customFormat="1" x14ac:dyDescent="0.25">
      <c r="A47"/>
      <c r="B47"/>
      <c r="C47"/>
      <c r="D47"/>
      <c r="E47"/>
      <c r="F47"/>
      <c r="G47"/>
      <c r="H47"/>
      <c r="I47"/>
      <c r="J47"/>
      <c r="K47"/>
      <c r="L47"/>
      <c r="M47"/>
      <c r="N47"/>
      <c r="O47"/>
      <c r="P47"/>
      <c r="Q47"/>
      <c r="R47"/>
      <c r="S47"/>
      <c r="T47"/>
      <c r="U47"/>
      <c r="V47"/>
      <c r="W47"/>
      <c r="X47"/>
      <c r="Y47"/>
      <c r="Z47"/>
      <c r="AA47"/>
      <c r="AB47"/>
      <c r="AC47"/>
      <c r="AD47"/>
      <c r="AE47"/>
      <c r="AF47"/>
    </row>
    <row r="48" spans="1:161" s="82" customFormat="1" x14ac:dyDescent="0.25">
      <c r="A48"/>
      <c r="B48"/>
      <c r="C48"/>
      <c r="D48"/>
      <c r="E48"/>
      <c r="F48"/>
      <c r="G48"/>
      <c r="H48"/>
      <c r="I48"/>
      <c r="J48"/>
      <c r="K48"/>
      <c r="L48"/>
      <c r="M48"/>
      <c r="N48"/>
      <c r="O48"/>
      <c r="P48"/>
      <c r="Q48"/>
      <c r="R48"/>
      <c r="S48"/>
      <c r="T48"/>
      <c r="U48"/>
      <c r="V48"/>
      <c r="W48"/>
      <c r="X48"/>
      <c r="Y48"/>
      <c r="Z48"/>
      <c r="AA48"/>
      <c r="AB48"/>
      <c r="AC48"/>
      <c r="AD48"/>
      <c r="AE48"/>
      <c r="AF48"/>
    </row>
    <row r="49" spans="1:32" s="82" customFormat="1" x14ac:dyDescent="0.25">
      <c r="A49"/>
      <c r="B49"/>
      <c r="C49"/>
      <c r="D49"/>
      <c r="E49"/>
      <c r="F49"/>
      <c r="G49"/>
      <c r="H49"/>
      <c r="I49"/>
      <c r="J49"/>
      <c r="K49"/>
      <c r="L49"/>
      <c r="M49"/>
      <c r="N49"/>
      <c r="O49"/>
      <c r="P49"/>
      <c r="Q49"/>
      <c r="R49"/>
      <c r="S49"/>
      <c r="T49"/>
      <c r="U49"/>
      <c r="V49"/>
      <c r="W49"/>
      <c r="X49"/>
      <c r="Y49"/>
      <c r="Z49"/>
      <c r="AA49"/>
      <c r="AB49"/>
      <c r="AC49"/>
      <c r="AD49"/>
      <c r="AE49"/>
      <c r="AF49"/>
    </row>
    <row r="50" spans="1:32" s="82" customFormat="1" x14ac:dyDescent="0.25">
      <c r="A50"/>
      <c r="B50"/>
      <c r="C50"/>
      <c r="D50"/>
      <c r="E50"/>
      <c r="F50"/>
      <c r="G50"/>
      <c r="H50"/>
      <c r="I50"/>
      <c r="J50"/>
      <c r="K50"/>
      <c r="L50"/>
      <c r="M50"/>
      <c r="N50"/>
      <c r="O50"/>
      <c r="P50"/>
      <c r="Q50"/>
      <c r="R50"/>
      <c r="S50"/>
      <c r="T50"/>
      <c r="U50"/>
      <c r="V50"/>
      <c r="W50"/>
      <c r="X50"/>
      <c r="Y50"/>
      <c r="Z50"/>
      <c r="AA50"/>
      <c r="AB50"/>
      <c r="AC50"/>
      <c r="AD50"/>
      <c r="AE50"/>
      <c r="AF50"/>
    </row>
    <row r="51" spans="1:32" s="82" customFormat="1" x14ac:dyDescent="0.25">
      <c r="A51"/>
      <c r="B51"/>
      <c r="C51"/>
      <c r="D51"/>
      <c r="E51"/>
      <c r="F51"/>
      <c r="G51"/>
      <c r="H51"/>
      <c r="I51"/>
      <c r="J51"/>
      <c r="K51"/>
      <c r="L51"/>
      <c r="M51"/>
      <c r="N51"/>
      <c r="O51"/>
      <c r="P51"/>
      <c r="Q51"/>
      <c r="R51"/>
      <c r="S51"/>
      <c r="T51"/>
      <c r="U51"/>
      <c r="V51"/>
      <c r="W51"/>
      <c r="X51"/>
      <c r="Y51"/>
      <c r="Z51"/>
      <c r="AA51"/>
      <c r="AB51"/>
      <c r="AC51"/>
      <c r="AD51"/>
      <c r="AE51"/>
      <c r="AF51"/>
    </row>
    <row r="52" spans="1:32" s="82" customFormat="1" x14ac:dyDescent="0.25">
      <c r="A52"/>
      <c r="B52"/>
      <c r="C52"/>
      <c r="D52"/>
      <c r="E52"/>
      <c r="F52"/>
      <c r="G52"/>
      <c r="H52"/>
      <c r="I52"/>
      <c r="J52"/>
      <c r="K52"/>
      <c r="L52"/>
      <c r="M52"/>
      <c r="N52"/>
      <c r="O52"/>
      <c r="P52"/>
      <c r="Q52"/>
      <c r="R52"/>
      <c r="S52"/>
      <c r="T52"/>
      <c r="U52"/>
      <c r="V52"/>
      <c r="W52"/>
      <c r="X52"/>
      <c r="Y52"/>
      <c r="Z52"/>
      <c r="AA52"/>
      <c r="AB52"/>
      <c r="AC52"/>
      <c r="AD52"/>
      <c r="AE52"/>
      <c r="AF52"/>
    </row>
    <row r="53" spans="1:32" s="82" customFormat="1" x14ac:dyDescent="0.25">
      <c r="A53"/>
      <c r="B53"/>
      <c r="C53"/>
      <c r="D53"/>
      <c r="E53"/>
      <c r="F53"/>
      <c r="G53"/>
      <c r="H53"/>
      <c r="I53"/>
      <c r="J53"/>
      <c r="K53"/>
      <c r="L53"/>
      <c r="M53"/>
      <c r="N53"/>
      <c r="O53"/>
      <c r="P53"/>
      <c r="Q53"/>
      <c r="R53"/>
      <c r="S53"/>
      <c r="T53"/>
      <c r="U53"/>
      <c r="V53"/>
      <c r="W53"/>
      <c r="X53"/>
      <c r="Y53"/>
      <c r="Z53"/>
      <c r="AA53"/>
      <c r="AB53"/>
      <c r="AC53"/>
      <c r="AD53"/>
      <c r="AE53"/>
      <c r="AF53"/>
    </row>
    <row r="54" spans="1:32" s="82" customFormat="1" x14ac:dyDescent="0.25">
      <c r="A54"/>
      <c r="B54"/>
      <c r="C54"/>
      <c r="D54"/>
      <c r="E54"/>
      <c r="F54"/>
      <c r="G54"/>
      <c r="H54"/>
      <c r="I54"/>
      <c r="J54"/>
      <c r="K54"/>
      <c r="L54"/>
      <c r="M54"/>
      <c r="N54"/>
      <c r="O54"/>
      <c r="P54"/>
      <c r="Q54"/>
      <c r="R54"/>
      <c r="S54"/>
      <c r="T54"/>
      <c r="U54"/>
      <c r="V54"/>
      <c r="W54"/>
      <c r="X54"/>
      <c r="Y54"/>
      <c r="Z54"/>
      <c r="AA54"/>
      <c r="AB54"/>
      <c r="AC54"/>
      <c r="AD54"/>
      <c r="AE54"/>
      <c r="AF54"/>
    </row>
    <row r="55" spans="1:32" s="82" customFormat="1" x14ac:dyDescent="0.25">
      <c r="A55"/>
      <c r="B55"/>
      <c r="C55"/>
      <c r="D55"/>
      <c r="E55"/>
      <c r="F55"/>
      <c r="G55"/>
      <c r="H55"/>
      <c r="I55"/>
      <c r="J55"/>
      <c r="K55"/>
      <c r="L55"/>
      <c r="M55"/>
      <c r="N55"/>
      <c r="O55"/>
      <c r="P55"/>
      <c r="Q55"/>
      <c r="R55"/>
      <c r="S55"/>
      <c r="T55"/>
      <c r="U55"/>
      <c r="V55"/>
      <c r="W55"/>
      <c r="X55"/>
      <c r="Y55"/>
      <c r="Z55"/>
      <c r="AA55"/>
      <c r="AB55"/>
      <c r="AC55"/>
      <c r="AD55"/>
      <c r="AE55"/>
      <c r="AF55"/>
    </row>
    <row r="56" spans="1:32" s="82" customFormat="1" x14ac:dyDescent="0.25">
      <c r="A56"/>
      <c r="B56"/>
      <c r="C56"/>
      <c r="D56"/>
      <c r="E56"/>
      <c r="F56"/>
      <c r="G56"/>
      <c r="H56"/>
      <c r="I56"/>
      <c r="J56"/>
      <c r="K56"/>
      <c r="L56"/>
      <c r="M56"/>
      <c r="N56"/>
      <c r="O56"/>
      <c r="P56"/>
      <c r="Q56"/>
      <c r="R56"/>
      <c r="S56"/>
      <c r="T56"/>
      <c r="U56"/>
      <c r="V56"/>
      <c r="W56"/>
      <c r="X56"/>
      <c r="Y56"/>
      <c r="Z56"/>
      <c r="AA56"/>
      <c r="AB56"/>
      <c r="AC56"/>
      <c r="AD56"/>
      <c r="AE56"/>
      <c r="AF56"/>
    </row>
    <row r="57" spans="1:32" s="82" customFormat="1" x14ac:dyDescent="0.25">
      <c r="A57"/>
      <c r="B57"/>
      <c r="C57"/>
      <c r="D57"/>
      <c r="E57"/>
      <c r="F57"/>
      <c r="G57"/>
      <c r="H57"/>
      <c r="I57"/>
      <c r="J57"/>
      <c r="K57"/>
      <c r="L57"/>
      <c r="M57"/>
      <c r="N57"/>
      <c r="O57"/>
      <c r="P57"/>
      <c r="Q57"/>
      <c r="R57"/>
      <c r="S57"/>
      <c r="T57"/>
      <c r="U57"/>
      <c r="V57"/>
      <c r="W57"/>
      <c r="X57"/>
      <c r="Y57"/>
      <c r="Z57"/>
      <c r="AA57"/>
      <c r="AB57"/>
      <c r="AC57"/>
      <c r="AD57"/>
      <c r="AE57"/>
      <c r="AF57"/>
    </row>
    <row r="58" spans="1:32" s="82" customFormat="1" x14ac:dyDescent="0.25">
      <c r="A58"/>
      <c r="B58"/>
      <c r="C58"/>
      <c r="D58"/>
      <c r="E58"/>
      <c r="F58"/>
      <c r="G58"/>
      <c r="H58"/>
      <c r="I58"/>
      <c r="J58"/>
      <c r="K58"/>
      <c r="L58"/>
      <c r="M58"/>
      <c r="N58"/>
      <c r="O58"/>
      <c r="P58"/>
      <c r="Q58"/>
      <c r="R58"/>
      <c r="S58"/>
      <c r="T58"/>
      <c r="U58"/>
      <c r="V58"/>
      <c r="W58"/>
      <c r="X58"/>
      <c r="Y58"/>
      <c r="Z58"/>
      <c r="AA58"/>
      <c r="AB58"/>
      <c r="AC58"/>
      <c r="AD58"/>
      <c r="AE58"/>
      <c r="AF58"/>
    </row>
    <row r="59" spans="1:32" s="82" customFormat="1" x14ac:dyDescent="0.25">
      <c r="A59"/>
      <c r="B59"/>
      <c r="C59"/>
      <c r="D59"/>
      <c r="E59"/>
      <c r="F59"/>
      <c r="G59"/>
      <c r="H59"/>
      <c r="I59"/>
      <c r="J59"/>
      <c r="K59"/>
      <c r="L59"/>
      <c r="M59"/>
      <c r="N59"/>
      <c r="O59"/>
      <c r="P59"/>
      <c r="Q59"/>
      <c r="R59"/>
      <c r="S59"/>
      <c r="T59"/>
      <c r="U59"/>
      <c r="V59"/>
      <c r="W59"/>
      <c r="X59"/>
      <c r="Y59"/>
      <c r="Z59"/>
      <c r="AA59"/>
      <c r="AB59"/>
      <c r="AC59"/>
      <c r="AD59"/>
      <c r="AE59"/>
      <c r="AF59"/>
    </row>
    <row r="60" spans="1:32" s="82" customFormat="1" x14ac:dyDescent="0.25">
      <c r="A60"/>
      <c r="B60"/>
      <c r="C60"/>
      <c r="D60"/>
      <c r="E60"/>
      <c r="F60"/>
      <c r="G60"/>
      <c r="H60"/>
      <c r="I60"/>
      <c r="J60"/>
      <c r="K60"/>
      <c r="L60"/>
      <c r="M60"/>
      <c r="N60"/>
      <c r="O60"/>
      <c r="P60"/>
      <c r="Q60"/>
      <c r="R60"/>
      <c r="S60"/>
      <c r="T60"/>
      <c r="U60"/>
      <c r="V60"/>
      <c r="W60"/>
      <c r="X60"/>
      <c r="Y60"/>
      <c r="Z60"/>
      <c r="AA60"/>
      <c r="AB60"/>
      <c r="AC60"/>
      <c r="AD60"/>
      <c r="AE60"/>
      <c r="AF60"/>
    </row>
    <row r="61" spans="1:32" s="82" customFormat="1" x14ac:dyDescent="0.25">
      <c r="A61"/>
      <c r="B61"/>
      <c r="C61"/>
      <c r="D61"/>
      <c r="E61"/>
      <c r="F61"/>
      <c r="G61"/>
      <c r="H61"/>
      <c r="I61"/>
      <c r="J61"/>
      <c r="K61"/>
      <c r="L61"/>
      <c r="M61"/>
      <c r="N61"/>
      <c r="O61"/>
      <c r="P61"/>
      <c r="Q61"/>
      <c r="R61"/>
      <c r="S61"/>
      <c r="T61"/>
      <c r="U61"/>
      <c r="V61"/>
      <c r="W61"/>
      <c r="X61"/>
      <c r="Y61"/>
      <c r="Z61"/>
      <c r="AA61"/>
      <c r="AB61"/>
      <c r="AC61"/>
      <c r="AD61"/>
      <c r="AE61"/>
      <c r="AF61"/>
    </row>
    <row r="62" spans="1:32" s="82" customFormat="1" x14ac:dyDescent="0.25">
      <c r="A62"/>
      <c r="B62"/>
      <c r="C62"/>
      <c r="D62"/>
      <c r="E62"/>
      <c r="F62"/>
      <c r="G62"/>
      <c r="H62"/>
      <c r="I62"/>
      <c r="J62"/>
      <c r="K62"/>
      <c r="L62"/>
      <c r="M62"/>
      <c r="N62"/>
      <c r="O62"/>
      <c r="P62"/>
      <c r="Q62"/>
      <c r="R62"/>
      <c r="S62"/>
      <c r="T62"/>
      <c r="U62"/>
      <c r="V62"/>
      <c r="W62"/>
      <c r="X62"/>
      <c r="Y62"/>
      <c r="Z62"/>
      <c r="AA62"/>
      <c r="AB62"/>
      <c r="AC62"/>
      <c r="AD62"/>
      <c r="AE62"/>
      <c r="AF62"/>
    </row>
    <row r="63" spans="1:32" s="82" customFormat="1" x14ac:dyDescent="0.25">
      <c r="A63"/>
      <c r="B63"/>
      <c r="C63"/>
      <c r="D63"/>
      <c r="E63"/>
      <c r="F63"/>
      <c r="G63"/>
      <c r="H63"/>
      <c r="I63"/>
      <c r="J63"/>
      <c r="K63"/>
      <c r="L63"/>
      <c r="M63"/>
      <c r="N63"/>
      <c r="O63"/>
      <c r="P63"/>
      <c r="Q63"/>
      <c r="R63"/>
      <c r="S63"/>
      <c r="T63"/>
      <c r="U63"/>
      <c r="V63"/>
      <c r="W63"/>
      <c r="X63"/>
      <c r="Y63"/>
      <c r="Z63"/>
      <c r="AA63"/>
      <c r="AB63"/>
      <c r="AC63"/>
      <c r="AD63"/>
      <c r="AE63"/>
      <c r="AF63"/>
    </row>
    <row r="64" spans="1:32" s="82" customFormat="1" x14ac:dyDescent="0.25">
      <c r="A64"/>
      <c r="B64"/>
      <c r="C64"/>
      <c r="D64"/>
      <c r="E64"/>
      <c r="F64"/>
      <c r="G64"/>
      <c r="H64"/>
      <c r="I64"/>
      <c r="J64"/>
      <c r="K64"/>
      <c r="L64"/>
      <c r="M64"/>
      <c r="N64"/>
      <c r="O64"/>
      <c r="P64"/>
      <c r="Q64"/>
      <c r="R64"/>
      <c r="S64"/>
      <c r="T64"/>
      <c r="U64"/>
      <c r="V64"/>
      <c r="W64"/>
      <c r="X64"/>
      <c r="Y64"/>
      <c r="Z64"/>
      <c r="AA64"/>
      <c r="AB64"/>
      <c r="AC64"/>
      <c r="AD64"/>
      <c r="AE64"/>
      <c r="AF64"/>
    </row>
    <row r="65" spans="1:32" s="82" customFormat="1" x14ac:dyDescent="0.25">
      <c r="A65"/>
      <c r="B65"/>
      <c r="C65"/>
      <c r="D65"/>
      <c r="E65"/>
      <c r="F65"/>
      <c r="G65"/>
      <c r="H65"/>
      <c r="I65"/>
      <c r="J65"/>
      <c r="K65"/>
      <c r="L65"/>
      <c r="M65"/>
      <c r="N65"/>
      <c r="O65"/>
      <c r="P65"/>
      <c r="Q65"/>
      <c r="R65"/>
      <c r="S65"/>
      <c r="T65"/>
      <c r="U65"/>
      <c r="V65"/>
      <c r="W65"/>
      <c r="X65"/>
      <c r="Y65"/>
      <c r="Z65"/>
      <c r="AA65"/>
      <c r="AB65"/>
      <c r="AC65"/>
      <c r="AD65"/>
      <c r="AE65"/>
      <c r="AF65"/>
    </row>
    <row r="66" spans="1:32" s="82" customFormat="1" x14ac:dyDescent="0.25">
      <c r="A66"/>
      <c r="B66"/>
      <c r="C66"/>
      <c r="D66"/>
      <c r="E66"/>
      <c r="F66"/>
      <c r="G66"/>
      <c r="H66"/>
      <c r="I66"/>
      <c r="J66"/>
      <c r="K66"/>
      <c r="L66"/>
      <c r="M66"/>
      <c r="N66"/>
      <c r="O66"/>
      <c r="P66"/>
      <c r="Q66"/>
      <c r="R66"/>
      <c r="S66"/>
      <c r="T66"/>
      <c r="U66"/>
      <c r="V66"/>
      <c r="W66"/>
      <c r="X66"/>
      <c r="Y66"/>
      <c r="Z66"/>
      <c r="AA66"/>
      <c r="AB66"/>
      <c r="AC66"/>
      <c r="AD66"/>
      <c r="AE66"/>
      <c r="AF66"/>
    </row>
    <row r="67" spans="1:32" s="82" customFormat="1" x14ac:dyDescent="0.25">
      <c r="A67"/>
      <c r="B67"/>
      <c r="C67"/>
      <c r="D67"/>
      <c r="E67"/>
      <c r="F67"/>
      <c r="G67"/>
      <c r="H67"/>
      <c r="I67"/>
      <c r="J67"/>
      <c r="K67"/>
      <c r="L67"/>
      <c r="M67"/>
      <c r="N67"/>
      <c r="O67"/>
      <c r="P67"/>
      <c r="Q67"/>
      <c r="R67"/>
      <c r="S67"/>
      <c r="T67"/>
      <c r="U67"/>
      <c r="V67"/>
      <c r="W67"/>
      <c r="X67"/>
      <c r="Y67"/>
      <c r="Z67"/>
      <c r="AA67"/>
      <c r="AB67"/>
      <c r="AC67"/>
      <c r="AD67"/>
      <c r="AE67"/>
      <c r="AF67"/>
    </row>
    <row r="68" spans="1:32" s="82" customFormat="1" x14ac:dyDescent="0.25">
      <c r="A68"/>
      <c r="B68"/>
      <c r="C68"/>
      <c r="D68"/>
      <c r="E68"/>
      <c r="F68"/>
      <c r="G68"/>
      <c r="H68"/>
      <c r="I68"/>
      <c r="J68"/>
      <c r="K68"/>
      <c r="L68"/>
      <c r="M68"/>
      <c r="N68"/>
      <c r="O68"/>
      <c r="P68"/>
      <c r="Q68"/>
      <c r="R68"/>
      <c r="S68"/>
      <c r="T68"/>
      <c r="U68"/>
      <c r="V68"/>
      <c r="W68"/>
      <c r="X68"/>
      <c r="Y68"/>
      <c r="Z68"/>
      <c r="AA68"/>
      <c r="AB68"/>
      <c r="AC68"/>
      <c r="AD68"/>
      <c r="AE68"/>
      <c r="AF68"/>
    </row>
    <row r="69" spans="1:32" s="82" customFormat="1" x14ac:dyDescent="0.25">
      <c r="A69"/>
      <c r="B69"/>
      <c r="C69"/>
      <c r="D69"/>
      <c r="E69"/>
      <c r="F69"/>
      <c r="G69"/>
      <c r="H69"/>
      <c r="I69"/>
      <c r="J69"/>
      <c r="K69"/>
      <c r="L69"/>
      <c r="M69"/>
      <c r="N69"/>
      <c r="O69"/>
      <c r="P69"/>
      <c r="Q69"/>
      <c r="R69"/>
      <c r="S69"/>
      <c r="T69"/>
      <c r="U69"/>
      <c r="V69"/>
      <c r="W69"/>
      <c r="X69"/>
      <c r="Y69"/>
      <c r="Z69"/>
      <c r="AA69"/>
      <c r="AB69"/>
      <c r="AC69"/>
      <c r="AD69"/>
      <c r="AE69"/>
      <c r="AF69"/>
    </row>
    <row r="70" spans="1:32" s="82" customFormat="1" x14ac:dyDescent="0.25">
      <c r="A70"/>
      <c r="B70"/>
      <c r="C70"/>
      <c r="D70"/>
      <c r="E70"/>
      <c r="F70"/>
      <c r="G70"/>
      <c r="H70"/>
      <c r="I70"/>
      <c r="J70"/>
      <c r="K70"/>
      <c r="L70"/>
      <c r="M70"/>
      <c r="N70"/>
      <c r="O70"/>
      <c r="P70"/>
      <c r="Q70"/>
      <c r="R70"/>
      <c r="S70"/>
      <c r="T70"/>
      <c r="U70"/>
      <c r="V70"/>
      <c r="W70"/>
      <c r="X70"/>
      <c r="Y70"/>
      <c r="Z70"/>
      <c r="AA70"/>
      <c r="AB70"/>
      <c r="AC70"/>
      <c r="AD70"/>
      <c r="AE70"/>
      <c r="AF70"/>
    </row>
    <row r="71" spans="1:32" s="82" customFormat="1" x14ac:dyDescent="0.25">
      <c r="A71"/>
      <c r="B71"/>
      <c r="C71"/>
      <c r="D71"/>
      <c r="E71"/>
      <c r="F71"/>
      <c r="G71"/>
      <c r="H71"/>
      <c r="I71"/>
      <c r="J71"/>
      <c r="K71"/>
      <c r="L71"/>
      <c r="M71"/>
      <c r="N71"/>
      <c r="O71"/>
      <c r="P71"/>
      <c r="Q71"/>
      <c r="R71"/>
      <c r="S71"/>
      <c r="T71"/>
      <c r="U71"/>
      <c r="V71"/>
      <c r="W71"/>
      <c r="X71"/>
      <c r="Y71"/>
      <c r="Z71"/>
      <c r="AA71"/>
      <c r="AB71"/>
      <c r="AC71"/>
      <c r="AD71"/>
      <c r="AE71"/>
      <c r="AF71"/>
    </row>
    <row r="72" spans="1:32" s="82" customFormat="1" x14ac:dyDescent="0.25">
      <c r="A72"/>
      <c r="B72"/>
      <c r="C72"/>
      <c r="D72"/>
      <c r="E72"/>
      <c r="F72"/>
      <c r="G72"/>
      <c r="H72"/>
      <c r="I72"/>
      <c r="J72"/>
      <c r="K72"/>
      <c r="L72"/>
      <c r="M72"/>
      <c r="N72"/>
      <c r="O72"/>
      <c r="P72"/>
      <c r="Q72"/>
      <c r="R72"/>
      <c r="S72"/>
      <c r="T72"/>
      <c r="U72"/>
      <c r="V72"/>
      <c r="W72"/>
      <c r="X72"/>
      <c r="Y72"/>
      <c r="Z72"/>
      <c r="AA72"/>
      <c r="AB72"/>
      <c r="AC72"/>
      <c r="AD72"/>
      <c r="AE72"/>
      <c r="AF72"/>
    </row>
    <row r="73" spans="1:32" s="82" customFormat="1" x14ac:dyDescent="0.25">
      <c r="A73"/>
      <c r="B73"/>
      <c r="C73"/>
      <c r="D73"/>
      <c r="E73"/>
      <c r="F73"/>
      <c r="G73"/>
      <c r="H73"/>
      <c r="I73"/>
      <c r="J73"/>
      <c r="K73"/>
      <c r="L73"/>
      <c r="M73"/>
      <c r="N73"/>
      <c r="O73"/>
      <c r="P73"/>
      <c r="Q73"/>
      <c r="R73"/>
      <c r="S73"/>
      <c r="T73"/>
      <c r="U73"/>
      <c r="V73"/>
      <c r="W73"/>
      <c r="X73"/>
      <c r="Y73"/>
      <c r="Z73"/>
      <c r="AA73"/>
      <c r="AB73"/>
      <c r="AC73"/>
      <c r="AD73"/>
      <c r="AE73"/>
      <c r="AF73"/>
    </row>
    <row r="74" spans="1:32" s="82" customFormat="1" x14ac:dyDescent="0.25">
      <c r="A74"/>
      <c r="B74"/>
      <c r="C74"/>
      <c r="D74"/>
      <c r="E74"/>
      <c r="F74"/>
      <c r="G74"/>
      <c r="H74"/>
      <c r="I74"/>
      <c r="J74"/>
      <c r="K74"/>
      <c r="L74"/>
      <c r="M74"/>
      <c r="N74"/>
      <c r="O74"/>
      <c r="P74"/>
      <c r="Q74"/>
      <c r="R74"/>
      <c r="S74"/>
      <c r="T74"/>
      <c r="U74"/>
      <c r="V74"/>
      <c r="W74"/>
      <c r="X74"/>
      <c r="Y74"/>
      <c r="Z74"/>
      <c r="AA74"/>
      <c r="AB74"/>
      <c r="AC74"/>
      <c r="AD74"/>
      <c r="AE74"/>
      <c r="AF74"/>
    </row>
    <row r="75" spans="1:32" s="82" customFormat="1" x14ac:dyDescent="0.25">
      <c r="A75"/>
      <c r="B75"/>
      <c r="C75"/>
      <c r="D75"/>
      <c r="E75"/>
      <c r="F75"/>
      <c r="G75"/>
      <c r="H75"/>
      <c r="I75"/>
      <c r="J75"/>
      <c r="K75"/>
      <c r="L75"/>
      <c r="M75"/>
      <c r="N75"/>
      <c r="O75"/>
      <c r="P75"/>
      <c r="Q75"/>
      <c r="R75"/>
      <c r="S75"/>
      <c r="T75"/>
      <c r="U75"/>
      <c r="V75"/>
      <c r="W75"/>
      <c r="X75"/>
      <c r="Y75"/>
      <c r="Z75"/>
      <c r="AA75"/>
      <c r="AB75"/>
      <c r="AC75"/>
      <c r="AD75"/>
      <c r="AE75"/>
      <c r="AF75"/>
    </row>
    <row r="76" spans="1:32" s="82" customFormat="1" x14ac:dyDescent="0.25">
      <c r="A76"/>
      <c r="B76"/>
      <c r="C76"/>
      <c r="D76"/>
      <c r="E76"/>
      <c r="F76"/>
      <c r="G76"/>
      <c r="H76"/>
      <c r="I76"/>
      <c r="J76"/>
      <c r="K76"/>
      <c r="L76"/>
      <c r="M76"/>
      <c r="N76"/>
      <c r="O76"/>
      <c r="P76"/>
      <c r="Q76"/>
      <c r="R76"/>
      <c r="S76"/>
      <c r="T76"/>
      <c r="U76"/>
      <c r="V76"/>
      <c r="W76"/>
      <c r="X76"/>
      <c r="Y76"/>
      <c r="Z76"/>
      <c r="AA76"/>
      <c r="AB76"/>
      <c r="AC76"/>
      <c r="AD76"/>
      <c r="AE76"/>
      <c r="AF76"/>
    </row>
    <row r="77" spans="1:32" s="82" customFormat="1" x14ac:dyDescent="0.25">
      <c r="A77"/>
      <c r="B77"/>
      <c r="C77"/>
      <c r="D77"/>
      <c r="E77"/>
      <c r="F77"/>
      <c r="G77"/>
      <c r="H77"/>
      <c r="I77"/>
      <c r="J77"/>
      <c r="K77"/>
      <c r="L77"/>
      <c r="M77"/>
      <c r="N77"/>
      <c r="O77"/>
      <c r="P77"/>
      <c r="Q77"/>
      <c r="R77"/>
      <c r="S77"/>
      <c r="T77"/>
      <c r="U77"/>
      <c r="V77"/>
      <c r="W77"/>
      <c r="X77"/>
      <c r="Y77"/>
      <c r="Z77"/>
      <c r="AA77"/>
      <c r="AB77"/>
      <c r="AC77"/>
      <c r="AD77"/>
      <c r="AE77"/>
      <c r="AF77"/>
    </row>
    <row r="78" spans="1:32" s="82" customFormat="1" x14ac:dyDescent="0.25">
      <c r="A78"/>
      <c r="B78"/>
      <c r="C78"/>
      <c r="D78"/>
      <c r="E78"/>
      <c r="F78"/>
      <c r="G78"/>
      <c r="H78"/>
      <c r="I78"/>
      <c r="J78"/>
      <c r="K78"/>
      <c r="L78"/>
      <c r="M78"/>
      <c r="N78"/>
      <c r="O78"/>
      <c r="P78"/>
      <c r="Q78"/>
      <c r="R78"/>
      <c r="S78"/>
      <c r="T78"/>
      <c r="U78"/>
      <c r="V78"/>
      <c r="W78"/>
      <c r="X78"/>
      <c r="Y78"/>
      <c r="Z78"/>
      <c r="AA78"/>
      <c r="AB78"/>
      <c r="AC78"/>
      <c r="AD78"/>
      <c r="AE78"/>
      <c r="AF78"/>
    </row>
    <row r="79" spans="1:32" s="82" customFormat="1" x14ac:dyDescent="0.25">
      <c r="A79"/>
      <c r="B79"/>
      <c r="C79"/>
      <c r="D79"/>
      <c r="E79"/>
      <c r="F79"/>
      <c r="G79"/>
      <c r="H79"/>
      <c r="I79"/>
      <c r="J79"/>
      <c r="K79"/>
      <c r="L79"/>
      <c r="M79"/>
      <c r="N79"/>
      <c r="O79"/>
      <c r="P79"/>
      <c r="Q79"/>
      <c r="R79"/>
      <c r="S79"/>
      <c r="T79"/>
      <c r="U79"/>
      <c r="V79"/>
      <c r="W79"/>
      <c r="X79"/>
      <c r="Y79"/>
      <c r="Z79"/>
      <c r="AA79"/>
      <c r="AB79"/>
      <c r="AC79"/>
      <c r="AD79"/>
      <c r="AE79"/>
      <c r="AF79"/>
    </row>
    <row r="80" spans="1:32" s="82" customFormat="1" x14ac:dyDescent="0.25">
      <c r="A80"/>
      <c r="B80"/>
      <c r="C80"/>
      <c r="D80"/>
      <c r="E80"/>
      <c r="F80"/>
      <c r="G80"/>
      <c r="H80"/>
      <c r="I80"/>
      <c r="J80"/>
      <c r="K80"/>
      <c r="L80"/>
      <c r="M80"/>
      <c r="N80"/>
      <c r="O80"/>
      <c r="P80"/>
      <c r="Q80"/>
      <c r="R80"/>
      <c r="S80"/>
      <c r="T80"/>
      <c r="U80"/>
      <c r="V80"/>
      <c r="W80"/>
      <c r="X80"/>
      <c r="Y80"/>
      <c r="Z80"/>
      <c r="AA80"/>
      <c r="AB80"/>
      <c r="AC80"/>
      <c r="AD80"/>
      <c r="AE80"/>
      <c r="AF80"/>
    </row>
    <row r="81" spans="1:32" s="82" customFormat="1" x14ac:dyDescent="0.25">
      <c r="A81"/>
      <c r="B81"/>
      <c r="C81"/>
      <c r="D81"/>
      <c r="E81"/>
      <c r="F81"/>
      <c r="G81"/>
      <c r="H81"/>
      <c r="I81"/>
      <c r="J81"/>
      <c r="K81"/>
      <c r="L81"/>
      <c r="M81"/>
      <c r="N81"/>
      <c r="O81"/>
      <c r="P81"/>
      <c r="Q81"/>
      <c r="R81"/>
      <c r="S81"/>
      <c r="T81"/>
      <c r="U81"/>
      <c r="V81"/>
      <c r="W81"/>
      <c r="X81"/>
      <c r="Y81"/>
      <c r="Z81"/>
      <c r="AA81"/>
      <c r="AB81"/>
      <c r="AC81"/>
      <c r="AD81"/>
      <c r="AE81"/>
      <c r="AF81"/>
    </row>
    <row r="82" spans="1:32" s="82" customFormat="1" x14ac:dyDescent="0.25">
      <c r="A82"/>
      <c r="B82"/>
      <c r="C82"/>
      <c r="D82"/>
      <c r="E82"/>
      <c r="F82"/>
      <c r="G82"/>
      <c r="H82"/>
      <c r="I82"/>
      <c r="J82"/>
      <c r="K82"/>
      <c r="L82"/>
      <c r="M82"/>
      <c r="N82"/>
      <c r="O82"/>
      <c r="P82"/>
      <c r="Q82"/>
      <c r="R82"/>
      <c r="S82"/>
      <c r="T82"/>
      <c r="U82"/>
      <c r="V82"/>
      <c r="W82"/>
      <c r="X82"/>
      <c r="Y82"/>
      <c r="Z82"/>
      <c r="AA82"/>
      <c r="AB82"/>
      <c r="AC82"/>
      <c r="AD82"/>
      <c r="AE82"/>
      <c r="AF82"/>
    </row>
    <row r="83" spans="1:32" s="82" customFormat="1" x14ac:dyDescent="0.25">
      <c r="A83"/>
      <c r="B83"/>
      <c r="C83"/>
      <c r="D83"/>
      <c r="E83"/>
      <c r="F83"/>
      <c r="G83"/>
      <c r="H83"/>
      <c r="I83"/>
      <c r="J83"/>
      <c r="K83"/>
      <c r="L83"/>
      <c r="M83"/>
      <c r="N83"/>
      <c r="O83"/>
      <c r="P83"/>
      <c r="Q83"/>
      <c r="R83"/>
      <c r="S83"/>
      <c r="T83"/>
      <c r="U83"/>
      <c r="V83"/>
      <c r="W83"/>
      <c r="X83"/>
      <c r="Y83"/>
      <c r="Z83"/>
      <c r="AA83"/>
      <c r="AB83"/>
      <c r="AC83"/>
      <c r="AD83"/>
      <c r="AE83"/>
      <c r="AF83"/>
    </row>
    <row r="84" spans="1:32" s="82" customFormat="1" x14ac:dyDescent="0.25">
      <c r="A84"/>
      <c r="B84"/>
      <c r="C84"/>
      <c r="D84"/>
      <c r="E84"/>
      <c r="F84"/>
      <c r="G84"/>
      <c r="H84"/>
      <c r="I84"/>
      <c r="J84"/>
      <c r="K84"/>
      <c r="L84"/>
      <c r="M84"/>
      <c r="N84"/>
      <c r="O84"/>
      <c r="P84"/>
      <c r="Q84"/>
      <c r="R84"/>
      <c r="S84"/>
      <c r="T84"/>
      <c r="U84"/>
      <c r="V84"/>
      <c r="W84"/>
      <c r="X84"/>
      <c r="Y84"/>
      <c r="Z84"/>
      <c r="AA84"/>
      <c r="AB84"/>
      <c r="AC84"/>
      <c r="AD84"/>
      <c r="AE84"/>
      <c r="AF84"/>
    </row>
    <row r="85" spans="1:32" s="82" customFormat="1" x14ac:dyDescent="0.25">
      <c r="A85"/>
      <c r="B85"/>
      <c r="C85"/>
      <c r="D85"/>
      <c r="E85"/>
      <c r="F85"/>
      <c r="G85"/>
      <c r="H85"/>
      <c r="I85"/>
      <c r="J85"/>
      <c r="K85"/>
      <c r="L85"/>
      <c r="M85"/>
      <c r="N85"/>
      <c r="O85"/>
      <c r="P85"/>
      <c r="Q85"/>
      <c r="R85"/>
      <c r="S85"/>
      <c r="T85"/>
      <c r="U85"/>
      <c r="V85"/>
      <c r="W85"/>
      <c r="X85"/>
      <c r="Y85"/>
      <c r="Z85"/>
      <c r="AA85"/>
      <c r="AB85"/>
      <c r="AC85"/>
      <c r="AD85"/>
      <c r="AE85"/>
      <c r="AF85"/>
    </row>
    <row r="86" spans="1:32" s="82" customFormat="1" x14ac:dyDescent="0.25">
      <c r="A86"/>
      <c r="B86"/>
      <c r="C86"/>
      <c r="D86"/>
      <c r="E86"/>
      <c r="F86"/>
      <c r="G86"/>
      <c r="H86"/>
      <c r="I86"/>
      <c r="J86"/>
      <c r="K86"/>
      <c r="L86"/>
      <c r="M86"/>
      <c r="N86"/>
      <c r="O86"/>
      <c r="P86"/>
      <c r="Q86"/>
      <c r="R86"/>
      <c r="S86"/>
      <c r="T86"/>
      <c r="U86"/>
      <c r="V86"/>
      <c r="W86"/>
      <c r="X86"/>
      <c r="Y86"/>
      <c r="Z86"/>
      <c r="AA86"/>
      <c r="AB86"/>
      <c r="AC86"/>
      <c r="AD86"/>
      <c r="AE86"/>
      <c r="AF86"/>
    </row>
    <row r="87" spans="1:32" s="82" customFormat="1" x14ac:dyDescent="0.25">
      <c r="A87"/>
      <c r="B87"/>
      <c r="C87"/>
      <c r="D87"/>
      <c r="E87"/>
      <c r="F87"/>
      <c r="G87"/>
      <c r="H87"/>
      <c r="I87"/>
      <c r="J87"/>
      <c r="K87"/>
      <c r="L87"/>
      <c r="M87"/>
      <c r="N87"/>
      <c r="O87"/>
      <c r="P87"/>
      <c r="Q87"/>
      <c r="R87"/>
      <c r="S87"/>
      <c r="T87"/>
      <c r="U87"/>
      <c r="V87"/>
      <c r="W87"/>
      <c r="X87"/>
      <c r="Y87"/>
      <c r="Z87"/>
      <c r="AA87"/>
      <c r="AB87"/>
      <c r="AC87"/>
      <c r="AD87"/>
      <c r="AE87"/>
      <c r="AF87"/>
    </row>
    <row r="88" spans="1:32" s="82" customFormat="1" x14ac:dyDescent="0.25">
      <c r="A88"/>
      <c r="B88"/>
      <c r="C88"/>
      <c r="D88"/>
      <c r="E88"/>
      <c r="F88"/>
      <c r="G88"/>
      <c r="H88"/>
      <c r="I88"/>
      <c r="J88"/>
      <c r="K88"/>
      <c r="L88"/>
      <c r="M88"/>
      <c r="N88"/>
      <c r="O88"/>
      <c r="P88"/>
      <c r="Q88"/>
      <c r="R88"/>
      <c r="S88"/>
      <c r="T88"/>
      <c r="U88"/>
      <c r="V88"/>
      <c r="W88"/>
      <c r="X88"/>
      <c r="Y88"/>
      <c r="Z88"/>
      <c r="AA88"/>
      <c r="AB88"/>
      <c r="AC88"/>
      <c r="AD88"/>
      <c r="AE88"/>
      <c r="AF88"/>
    </row>
    <row r="89" spans="1:32" s="82" customFormat="1" x14ac:dyDescent="0.25">
      <c r="A89"/>
      <c r="B89"/>
      <c r="C89"/>
      <c r="D89"/>
      <c r="E89"/>
      <c r="F89"/>
      <c r="G89"/>
      <c r="H89"/>
      <c r="I89"/>
      <c r="J89"/>
      <c r="K89"/>
      <c r="L89"/>
      <c r="M89"/>
      <c r="N89"/>
      <c r="O89"/>
      <c r="P89"/>
      <c r="Q89"/>
      <c r="R89"/>
      <c r="S89"/>
      <c r="T89"/>
      <c r="U89"/>
      <c r="V89"/>
      <c r="W89"/>
      <c r="X89"/>
      <c r="Y89"/>
      <c r="Z89"/>
      <c r="AA89"/>
      <c r="AB89"/>
      <c r="AC89"/>
      <c r="AD89"/>
      <c r="AE89"/>
      <c r="AF89"/>
    </row>
    <row r="90" spans="1:32" s="82" customFormat="1" x14ac:dyDescent="0.25">
      <c r="A90"/>
      <c r="B90"/>
      <c r="C90"/>
      <c r="D90"/>
      <c r="E90"/>
      <c r="F90"/>
      <c r="G90"/>
      <c r="H90"/>
      <c r="I90"/>
      <c r="J90"/>
      <c r="K90"/>
      <c r="L90"/>
      <c r="M90"/>
      <c r="N90"/>
      <c r="O90"/>
      <c r="P90"/>
      <c r="Q90"/>
      <c r="R90"/>
      <c r="S90"/>
      <c r="T90"/>
      <c r="U90"/>
      <c r="V90"/>
      <c r="W90"/>
      <c r="X90"/>
      <c r="Y90"/>
      <c r="Z90"/>
      <c r="AA90"/>
      <c r="AB90"/>
      <c r="AC90"/>
      <c r="AD90"/>
      <c r="AE90"/>
      <c r="AF90"/>
    </row>
    <row r="91" spans="1:32" s="82" customFormat="1" x14ac:dyDescent="0.25">
      <c r="A91"/>
      <c r="B91"/>
      <c r="C91"/>
      <c r="D91"/>
      <c r="E91"/>
      <c r="F91"/>
      <c r="G91"/>
      <c r="H91"/>
      <c r="I91"/>
      <c r="J91"/>
      <c r="K91"/>
      <c r="L91"/>
      <c r="M91"/>
      <c r="N91"/>
      <c r="O91"/>
      <c r="P91"/>
      <c r="Q91"/>
      <c r="R91"/>
      <c r="S91"/>
      <c r="T91"/>
      <c r="U91"/>
      <c r="V91"/>
      <c r="W91"/>
      <c r="X91"/>
      <c r="Y91"/>
      <c r="Z91"/>
      <c r="AA91"/>
      <c r="AB91"/>
      <c r="AC91"/>
      <c r="AD91"/>
      <c r="AE91"/>
      <c r="AF91"/>
    </row>
    <row r="92" spans="1:32" s="82" customFormat="1" x14ac:dyDescent="0.25">
      <c r="A92"/>
      <c r="B92"/>
      <c r="C92"/>
      <c r="D92"/>
      <c r="E92"/>
      <c r="F92"/>
      <c r="G92"/>
      <c r="H92"/>
      <c r="I92"/>
      <c r="J92"/>
      <c r="K92"/>
      <c r="L92"/>
      <c r="M92"/>
      <c r="N92"/>
      <c r="O92"/>
      <c r="P92"/>
      <c r="Q92"/>
      <c r="R92"/>
      <c r="S92"/>
      <c r="T92"/>
      <c r="U92"/>
      <c r="V92"/>
      <c r="W92"/>
      <c r="X92"/>
      <c r="Y92"/>
      <c r="Z92"/>
      <c r="AA92"/>
      <c r="AB92"/>
      <c r="AC92"/>
      <c r="AD92"/>
      <c r="AE92"/>
      <c r="AF92"/>
    </row>
    <row r="93" spans="1:32" s="82" customFormat="1" x14ac:dyDescent="0.25">
      <c r="A93"/>
      <c r="B93"/>
      <c r="C93"/>
      <c r="D93"/>
      <c r="E93"/>
      <c r="F93"/>
      <c r="G93"/>
      <c r="H93"/>
      <c r="I93"/>
      <c r="J93"/>
      <c r="K93"/>
      <c r="L93"/>
      <c r="M93"/>
      <c r="N93"/>
      <c r="O93"/>
      <c r="P93"/>
      <c r="Q93"/>
      <c r="R93"/>
      <c r="S93"/>
      <c r="T93"/>
      <c r="U93"/>
      <c r="V93"/>
      <c r="W93"/>
      <c r="X93"/>
      <c r="Y93"/>
      <c r="Z93"/>
      <c r="AA93"/>
      <c r="AB93"/>
      <c r="AC93"/>
      <c r="AD93"/>
      <c r="AE93"/>
      <c r="AF93"/>
    </row>
    <row r="94" spans="1:32" s="82" customFormat="1" x14ac:dyDescent="0.25">
      <c r="A94"/>
      <c r="B94"/>
      <c r="C94"/>
      <c r="D94"/>
      <c r="E94"/>
      <c r="F94"/>
      <c r="G94"/>
      <c r="H94"/>
      <c r="I94"/>
      <c r="J94"/>
      <c r="K94"/>
      <c r="L94"/>
      <c r="M94"/>
      <c r="N94"/>
      <c r="O94"/>
      <c r="P94"/>
      <c r="Q94"/>
      <c r="R94"/>
      <c r="S94"/>
      <c r="T94"/>
      <c r="U94"/>
      <c r="V94"/>
      <c r="W94"/>
      <c r="X94"/>
      <c r="Y94"/>
      <c r="Z94"/>
      <c r="AA94"/>
      <c r="AB94"/>
      <c r="AC94"/>
      <c r="AD94"/>
      <c r="AE94"/>
      <c r="AF94"/>
    </row>
    <row r="95" spans="1:32" s="82" customFormat="1" x14ac:dyDescent="0.25">
      <c r="A95"/>
      <c r="B95"/>
      <c r="C95"/>
      <c r="D95"/>
      <c r="E95"/>
      <c r="F95"/>
      <c r="G95"/>
      <c r="H95"/>
      <c r="I95"/>
      <c r="J95"/>
      <c r="K95"/>
      <c r="L95"/>
      <c r="M95"/>
      <c r="N95"/>
      <c r="O95"/>
      <c r="P95"/>
      <c r="Q95"/>
      <c r="R95"/>
      <c r="S95"/>
      <c r="T95"/>
      <c r="U95"/>
      <c r="V95"/>
      <c r="W95"/>
      <c r="X95"/>
      <c r="Y95"/>
      <c r="Z95"/>
      <c r="AA95"/>
      <c r="AB95"/>
      <c r="AC95"/>
      <c r="AD95"/>
      <c r="AE95"/>
      <c r="AF95"/>
    </row>
    <row r="96" spans="1:32" s="82" customFormat="1" x14ac:dyDescent="0.25">
      <c r="A96"/>
      <c r="B96"/>
      <c r="C96"/>
      <c r="D96"/>
      <c r="E96"/>
      <c r="F96"/>
      <c r="G96"/>
      <c r="H96"/>
      <c r="I96"/>
      <c r="J96"/>
      <c r="K96"/>
      <c r="L96"/>
      <c r="M96"/>
      <c r="N96"/>
      <c r="O96"/>
      <c r="P96"/>
      <c r="Q96"/>
      <c r="R96"/>
      <c r="S96"/>
      <c r="T96"/>
      <c r="U96"/>
      <c r="V96"/>
      <c r="W96"/>
      <c r="X96"/>
      <c r="Y96"/>
      <c r="Z96"/>
      <c r="AA96"/>
      <c r="AB96"/>
      <c r="AC96"/>
      <c r="AD96"/>
      <c r="AE96"/>
      <c r="AF96"/>
    </row>
    <row r="97" spans="1:32" s="82" customFormat="1" x14ac:dyDescent="0.25">
      <c r="A97"/>
      <c r="B97"/>
      <c r="C97"/>
      <c r="D97"/>
      <c r="E97"/>
      <c r="F97"/>
      <c r="G97"/>
      <c r="H97"/>
      <c r="I97"/>
      <c r="J97"/>
      <c r="K97"/>
      <c r="L97"/>
      <c r="M97"/>
      <c r="N97"/>
      <c r="O97"/>
      <c r="P97"/>
      <c r="Q97"/>
      <c r="R97"/>
      <c r="S97"/>
      <c r="T97"/>
      <c r="U97"/>
      <c r="V97"/>
      <c r="W97"/>
      <c r="X97"/>
      <c r="Y97"/>
      <c r="Z97"/>
      <c r="AA97"/>
      <c r="AB97"/>
      <c r="AC97"/>
      <c r="AD97"/>
      <c r="AE97"/>
      <c r="AF97"/>
    </row>
    <row r="98" spans="1:32" s="82" customFormat="1" x14ac:dyDescent="0.25">
      <c r="A98"/>
      <c r="B98"/>
      <c r="C98"/>
      <c r="D98"/>
      <c r="E98"/>
      <c r="F98"/>
      <c r="G98"/>
      <c r="H98"/>
      <c r="I98"/>
      <c r="J98"/>
      <c r="K98"/>
      <c r="L98"/>
      <c r="M98"/>
      <c r="N98"/>
      <c r="O98"/>
      <c r="P98"/>
      <c r="Q98"/>
      <c r="R98"/>
      <c r="S98"/>
      <c r="T98"/>
      <c r="U98"/>
      <c r="V98"/>
      <c r="W98"/>
      <c r="X98"/>
      <c r="Y98"/>
      <c r="Z98"/>
      <c r="AA98"/>
      <c r="AB98"/>
      <c r="AC98"/>
      <c r="AD98"/>
      <c r="AE98"/>
      <c r="AF98"/>
    </row>
    <row r="99" spans="1:32" s="82" customFormat="1" x14ac:dyDescent="0.25">
      <c r="A99"/>
      <c r="B99"/>
      <c r="C99"/>
      <c r="D99"/>
      <c r="E99"/>
      <c r="F99"/>
      <c r="G99"/>
      <c r="H99"/>
      <c r="I99"/>
      <c r="J99"/>
      <c r="K99"/>
      <c r="L99"/>
      <c r="M99"/>
      <c r="N99"/>
      <c r="O99"/>
      <c r="P99"/>
      <c r="Q99"/>
      <c r="R99"/>
      <c r="S99"/>
      <c r="T99"/>
      <c r="U99"/>
      <c r="V99"/>
      <c r="W99"/>
      <c r="X99"/>
      <c r="Y99"/>
      <c r="Z99"/>
      <c r="AA99"/>
      <c r="AB99"/>
      <c r="AC99"/>
      <c r="AD99"/>
      <c r="AE99"/>
      <c r="AF99"/>
    </row>
    <row r="100" spans="1:32" s="82" customForma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row>
    <row r="101" spans="1:32" s="82" customForma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row>
    <row r="102" spans="1:32" s="82" customForma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row>
    <row r="103" spans="1:32" s="82" customForma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row>
    <row r="104" spans="1:32" s="82" customForma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row>
    <row r="105" spans="1:32" s="82" customForma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row>
    <row r="106" spans="1:32" s="82" customForma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row>
    <row r="107" spans="1:32" s="82" customForma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row>
    <row r="108" spans="1:32" s="82" customForma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row>
    <row r="109" spans="1:32" s="82" customForma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row>
    <row r="110" spans="1:32" s="82" customForma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row>
    <row r="111" spans="1:32" s="82" customForma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row>
    <row r="112" spans="1:32" s="82" customForma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row>
    <row r="113" spans="1:32" s="82" customForma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row>
    <row r="114" spans="1:32" s="82" customForma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row>
    <row r="115" spans="1:32" s="82" customForma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row>
    <row r="116" spans="1:32" s="82" customForma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row>
    <row r="117" spans="1:32" s="82" customForma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row>
    <row r="118" spans="1:32" s="82" customForma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row>
    <row r="119" spans="1:32" s="82" customForma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row>
    <row r="120" spans="1:32" s="82" customForma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row>
    <row r="121" spans="1:32" s="82" customForma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row>
    <row r="122" spans="1:32" s="82" customForma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row>
    <row r="123" spans="1:32" s="82" customForma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row>
    <row r="124" spans="1:32" s="82" customForma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row>
    <row r="125" spans="1:32" s="82" customForma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row>
    <row r="126" spans="1:32" s="82" customForma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row>
    <row r="127" spans="1:32" s="82" customForma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row>
    <row r="128" spans="1:32" s="82" customForma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row>
    <row r="129" spans="1:32" s="82" customForma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row>
    <row r="130" spans="1:32" s="82" customForma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row>
    <row r="131" spans="1:32" s="82" customForma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row>
    <row r="132" spans="1:32" s="82" customForma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row>
    <row r="133" spans="1:32" s="82" customForma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row>
    <row r="134" spans="1:32" s="82" customForma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row>
    <row r="135" spans="1:32" s="82" customForma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row>
    <row r="136" spans="1:32" s="82" customForma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row>
    <row r="137" spans="1:32" s="82" customForma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row>
    <row r="138" spans="1:32" s="82" customForma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row>
    <row r="139" spans="1:32" s="82" customForma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row>
    <row r="140" spans="1:32" s="82" customForma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row>
    <row r="141" spans="1:32" s="82" customForma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row>
    <row r="142" spans="1:32" s="82" customForma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row>
    <row r="143" spans="1:32" s="82" customForma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row>
    <row r="144" spans="1:32" s="82" customForma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row>
    <row r="145" spans="1:32" s="82" customForma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row>
    <row r="146" spans="1:32" s="82" customForma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row>
    <row r="147" spans="1:32" s="82" customForma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row>
    <row r="148" spans="1:32" s="82" customForma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row>
    <row r="149" spans="1:32" s="82" customForma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row>
    <row r="150" spans="1:32" s="82" customForma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row>
    <row r="151" spans="1:32" s="82" customForma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row>
    <row r="152" spans="1:32" s="82" customForma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row>
    <row r="153" spans="1:32" s="82" customForma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row>
    <row r="154" spans="1:32" s="82" customForma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row>
    <row r="155" spans="1:32" s="82" customForma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row>
    <row r="156" spans="1:32" s="82" customForma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row>
    <row r="157" spans="1:32" s="82" customForma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row>
    <row r="158" spans="1:32" s="82" customForma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row>
    <row r="159" spans="1:32" s="82" customForma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row>
    <row r="160" spans="1:32" s="82" customForma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row>
    <row r="161" spans="1:32" s="82" customForma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row>
    <row r="162" spans="1:32" s="82" customForma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row>
    <row r="163" spans="1:32" s="82" customForma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row>
    <row r="164" spans="1:32" s="82" customForma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row>
    <row r="165" spans="1:32" s="82" customForma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row>
    <row r="166" spans="1:32" s="82" customForma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row>
    <row r="167" spans="1:32" s="82" customForma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row>
    <row r="168" spans="1:32" s="82" customForma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row>
    <row r="169" spans="1:32" s="82" customForma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row>
    <row r="170" spans="1:32" s="82" customForma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row>
    <row r="171" spans="1:32" s="82" customForma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row>
    <row r="172" spans="1:32" s="82" customForma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row>
    <row r="173" spans="1:32" s="82" customForma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row>
    <row r="174" spans="1:32" s="82" customForma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row>
    <row r="175" spans="1:32" s="82" customForma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row>
    <row r="176" spans="1:32" s="82" customForma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row>
    <row r="177" spans="1:32" s="82" customForma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row>
    <row r="178" spans="1:32" s="82" customForma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row>
    <row r="179" spans="1:32" s="82" customForma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row>
    <row r="180" spans="1:32" s="82" customForma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row>
    <row r="181" spans="1:32" s="82" customForma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row>
    <row r="182" spans="1:32" s="82" customForma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row>
    <row r="183" spans="1:32" s="82" customForma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row>
    <row r="184" spans="1:32" s="82" customForma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row>
    <row r="185" spans="1:32" s="82" customForma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row>
    <row r="186" spans="1:32" s="82" customForma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row>
    <row r="187" spans="1:32" s="82" customForma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row>
    <row r="188" spans="1:32" s="82" customForma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row>
    <row r="189" spans="1:32" s="82" customForma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row>
    <row r="190" spans="1:32" s="82" customForma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row>
    <row r="191" spans="1:32" s="82" customForma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row>
    <row r="192" spans="1:32" s="82" customForma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row>
    <row r="193" spans="1:32" s="82" customForma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row>
    <row r="194" spans="1:32" s="82" customForma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row>
    <row r="195" spans="1:32" s="82" customForma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row>
    <row r="196" spans="1:32" s="82" customForma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row>
    <row r="197" spans="1:32" s="82" customForma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row>
    <row r="198" spans="1:32" s="82" customForma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row>
    <row r="199" spans="1:32" s="82" customForma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row>
    <row r="200" spans="1:32" s="82" customForma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row>
    <row r="201" spans="1:32" s="82" customForma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row>
    <row r="202" spans="1:32" s="82" customForma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row>
    <row r="203" spans="1:32" s="82" customForma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row>
    <row r="204" spans="1:32" s="82" customForma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row>
    <row r="205" spans="1:32" s="82" customForma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row>
    <row r="206" spans="1:32" s="82" customForma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row>
    <row r="207" spans="1:32" s="82" customForma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row>
    <row r="208" spans="1:32" s="82" customForma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row>
    <row r="209" spans="1:32" s="82" customForma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row>
    <row r="210" spans="1:32" s="82" customForma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row>
    <row r="211" spans="1:32" s="82" customForma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row>
    <row r="212" spans="1:32" s="82" customForma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row>
    <row r="213" spans="1:32" s="82" customForma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row>
    <row r="214" spans="1:32" s="82" customForma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row>
    <row r="215" spans="1:32" s="82" customForma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row>
    <row r="216" spans="1:32" s="82" customForma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row>
    <row r="217" spans="1:32" s="82" customForma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row>
    <row r="218" spans="1:32" s="82" customForma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row>
    <row r="219" spans="1:32" s="82" customForma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row>
    <row r="220" spans="1:32" s="82" customForma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row>
    <row r="221" spans="1:32" s="82" customForma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row>
    <row r="222" spans="1:32" s="82" customForma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row>
    <row r="223" spans="1:32" s="82" customForma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row>
    <row r="224" spans="1:32" s="82" customForma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row>
    <row r="225" spans="1:32" s="82" customForma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row>
    <row r="226" spans="1:32" s="82" customForma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row>
    <row r="227" spans="1:32" s="82" customForma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row>
    <row r="228" spans="1:32" s="82" customForma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row>
    <row r="229" spans="1:32" s="82" customForma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row>
    <row r="230" spans="1:32" s="82" customForma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row>
    <row r="231" spans="1:32" s="82" customForma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row>
    <row r="232" spans="1:32" s="82" customForma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row>
    <row r="233" spans="1:32" s="82" customForma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row>
    <row r="234" spans="1:32" s="82" customForma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row>
    <row r="235" spans="1:32" s="82" customForma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row>
    <row r="236" spans="1:32" s="82" customForma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row>
    <row r="237" spans="1:32" s="82" customForma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row>
    <row r="238" spans="1:32" s="82" customForma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row>
    <row r="239" spans="1:32" s="82" customForma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row>
    <row r="240" spans="1:32" s="82" customForma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row>
    <row r="241" spans="1:32" s="82" customForma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row>
    <row r="242" spans="1:32" s="82" customForma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row>
    <row r="243" spans="1:32" s="82" customForma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row>
    <row r="244" spans="1:32" s="82" customForma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row>
    <row r="245" spans="1:32" s="82" customForma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row>
    <row r="246" spans="1:32" s="82" customForma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row>
    <row r="247" spans="1:32" s="82" customForma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row>
    <row r="248" spans="1:32" s="82" customForma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row>
    <row r="249" spans="1:32" s="82" customForma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row>
    <row r="250" spans="1:32" s="82" customForma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row>
    <row r="251" spans="1:32" s="82" customForma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row>
    <row r="252" spans="1:32" s="82" customForma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row>
    <row r="253" spans="1:32" s="82" customForma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row>
    <row r="254" spans="1:32" s="82" customForma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row>
    <row r="255" spans="1:32" s="82" customForma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row>
    <row r="256" spans="1:32" s="82" customForma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row>
    <row r="257" spans="1:32" s="82" customForma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row>
    <row r="258" spans="1:32" s="82" customForma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row>
    <row r="259" spans="1:32" s="82" customForma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row>
    <row r="260" spans="1:32" s="82" customForma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row>
    <row r="261" spans="1:32" s="82" customForma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row>
    <row r="262" spans="1:32" s="82" customForma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row>
    <row r="263" spans="1:32" s="82" customForma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row>
    <row r="264" spans="1:32" s="82" customForma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row>
    <row r="265" spans="1:32" s="82" customForma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row>
    <row r="266" spans="1:32" s="82" customForma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row>
    <row r="267" spans="1:32" s="82" customForma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row>
    <row r="268" spans="1:32" s="82" customForma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row>
    <row r="269" spans="1:32" s="82" customForma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row>
    <row r="270" spans="1:32" s="82" customForma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row>
    <row r="271" spans="1:32" s="82" customForma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row>
    <row r="272" spans="1:32" s="82" customForma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row>
    <row r="273" spans="1:32" s="82" customForma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row>
    <row r="274" spans="1:32" s="82" customForma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row>
    <row r="275" spans="1:32" s="82" customForma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row>
    <row r="276" spans="1:32" s="82" customForma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row>
    <row r="277" spans="1:32" s="82" customForma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row>
    <row r="278" spans="1:32" s="82" customForma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row>
    <row r="279" spans="1:32" s="82" customForma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row>
    <row r="280" spans="1:32" s="82" customForma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row>
    <row r="281" spans="1:32" s="82" customFormat="1"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row>
    <row r="282" spans="1:32" s="82" customFormat="1"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row>
    <row r="283" spans="1:32" s="82" customFormat="1"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row>
    <row r="284" spans="1:32" s="82" customFormat="1"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row>
    <row r="285" spans="1:32" s="82" customFormat="1"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row>
    <row r="286" spans="1:32" s="82" customFormat="1"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row>
    <row r="287" spans="1:32" s="82" customFormat="1"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row>
    <row r="288" spans="1:32" s="82" customFormat="1"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row>
    <row r="289" spans="1:32" s="82" customFormat="1"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row>
    <row r="290" spans="1:32" s="82" customFormat="1"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row>
    <row r="291" spans="1:32" s="82" customFormat="1"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row>
    <row r="292" spans="1:32" s="82" customFormat="1"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row>
    <row r="293" spans="1:32" s="82" customFormat="1"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row>
    <row r="294" spans="1:32" s="82" customFormat="1"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row>
    <row r="295" spans="1:32" s="82" customFormat="1"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row>
    <row r="296" spans="1:32" s="82" customFormat="1"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row>
    <row r="297" spans="1:32" s="82" customFormat="1"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row>
    <row r="298" spans="1:32" s="82" customFormat="1"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row>
    <row r="299" spans="1:32" s="82" customFormat="1"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row>
    <row r="300" spans="1:32" s="82" customFormat="1"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row>
    <row r="301" spans="1:32" s="82" customFormat="1"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row>
    <row r="302" spans="1:32" s="82" customFormat="1"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row>
    <row r="303" spans="1:32" s="82" customFormat="1"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row>
    <row r="304" spans="1:32" s="82" customFormat="1"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row>
    <row r="305" spans="1:32" s="82" customFormat="1"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row>
    <row r="306" spans="1:32" s="82" customFormat="1"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row>
    <row r="307" spans="1:32" s="82" customFormat="1"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row>
    <row r="308" spans="1:32" s="82" customFormat="1"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row>
    <row r="309" spans="1:32" s="82" customFormat="1"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row>
    <row r="310" spans="1:32" s="82" customFormat="1"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row>
    <row r="311" spans="1:32" s="82" customFormat="1"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row>
    <row r="312" spans="1:32" s="82" customFormat="1"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row>
    <row r="313" spans="1:32" s="82" customFormat="1"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row>
    <row r="314" spans="1:32" s="82" customFormat="1"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row>
    <row r="315" spans="1:32" s="82" customFormat="1"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row>
    <row r="316" spans="1:32" s="82" customFormat="1"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row>
    <row r="317" spans="1:32" s="82" customFormat="1"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row>
    <row r="318" spans="1:32" s="82" customFormat="1"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row>
    <row r="319" spans="1:32" s="82" customFormat="1"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row>
    <row r="320" spans="1:32" s="82" customFormat="1"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row>
    <row r="321" spans="1:32" s="82" customFormat="1"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row>
    <row r="322" spans="1:32" s="82" customFormat="1"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row>
    <row r="323" spans="1:32" s="82" customFormat="1"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row>
    <row r="324" spans="1:32" s="82" customFormat="1"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row>
    <row r="325" spans="1:32" s="82" customFormat="1"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row>
    <row r="326" spans="1:32" s="82" customFormat="1"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row>
    <row r="327" spans="1:32" s="82" customFormat="1"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row>
    <row r="328" spans="1:32" s="82" customFormat="1"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row>
    <row r="329" spans="1:32" s="82" customFormat="1"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row>
    <row r="330" spans="1:32" s="82" customFormat="1"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row>
    <row r="331" spans="1:32" s="82" customFormat="1"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row>
    <row r="332" spans="1:32" s="82" customFormat="1"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row>
    <row r="333" spans="1:32" s="82" customFormat="1"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row>
    <row r="334" spans="1:32" s="82" customFormat="1"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row>
    <row r="335" spans="1:32" s="82" customFormat="1"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row>
    <row r="336" spans="1:32" s="82" customFormat="1"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row>
    <row r="337" spans="1:32" s="82" customFormat="1"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row>
    <row r="338" spans="1:32" s="82" customFormat="1"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row>
    <row r="339" spans="1:32" s="82" customFormat="1"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row>
    <row r="340" spans="1:32" s="82" customFormat="1"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row>
    <row r="341" spans="1:32" s="82" customFormat="1"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row>
    <row r="342" spans="1:32" s="82" customFormat="1"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row>
    <row r="343" spans="1:32" s="82" customFormat="1"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row>
    <row r="344" spans="1:32" s="82" customFormat="1"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row>
    <row r="345" spans="1:32" s="82" customFormat="1"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row>
    <row r="346" spans="1:32" s="82" customFormat="1"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row>
    <row r="347" spans="1:32" s="82" customFormat="1"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row>
    <row r="348" spans="1:32" s="82" customFormat="1"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row>
    <row r="349" spans="1:32" s="82" customFormat="1"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row>
    <row r="350" spans="1:32" s="82" customFormat="1"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row>
    <row r="351" spans="1:32" s="82" customFormat="1"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row>
    <row r="352" spans="1:32" s="82" customFormat="1"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row>
    <row r="353" spans="1:32" s="82" customFormat="1"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row>
    <row r="354" spans="1:32" s="82" customFormat="1"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row>
    <row r="355" spans="1:32" s="82" customFormat="1"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row>
    <row r="356" spans="1:32" s="82" customFormat="1"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row>
    <row r="357" spans="1:32" s="82" customFormat="1"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row>
    <row r="358" spans="1:32" s="82" customFormat="1"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row>
    <row r="359" spans="1:32" s="82" customFormat="1"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row>
    <row r="360" spans="1:32" s="82" customFormat="1"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row>
    <row r="361" spans="1:32" s="82" customFormat="1"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row>
    <row r="362" spans="1:32" s="82" customFormat="1"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row>
    <row r="363" spans="1:32" s="82" customFormat="1"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row>
    <row r="364" spans="1:32" s="82" customFormat="1"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row>
    <row r="365" spans="1:32" s="82" customFormat="1"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row>
    <row r="366" spans="1:32" s="82" customFormat="1"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row>
    <row r="367" spans="1:32" s="82" customFormat="1"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row>
    <row r="368" spans="1:32" s="82" customFormat="1"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row>
    <row r="369" spans="1:32" s="82" customFormat="1"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row>
    <row r="370" spans="1:32" s="82" customFormat="1"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row>
    <row r="371" spans="1:32" s="82" customFormat="1"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row>
    <row r="372" spans="1:32" s="82" customFormat="1"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row>
    <row r="373" spans="1:32" s="82" customFormat="1"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row>
    <row r="374" spans="1:32" s="82" customFormat="1"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row>
    <row r="375" spans="1:32" s="82" customFormat="1"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row>
    <row r="376" spans="1:32" s="82" customFormat="1"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row>
    <row r="377" spans="1:32" s="82" customFormat="1"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row>
    <row r="378" spans="1:32" s="82" customFormat="1"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row>
    <row r="379" spans="1:32" s="82" customFormat="1"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row>
    <row r="380" spans="1:32" s="82" customFormat="1"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row>
    <row r="381" spans="1:32" s="82" customFormat="1"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row>
    <row r="382" spans="1:32" s="82" customFormat="1"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row>
    <row r="383" spans="1:32" s="82" customFormat="1"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row>
    <row r="384" spans="1:32" s="82" customFormat="1"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row>
    <row r="385" spans="1:32" s="82" customFormat="1"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row>
    <row r="386" spans="1:32" s="82" customFormat="1"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row>
    <row r="387" spans="1:32" s="82" customFormat="1"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row>
    <row r="388" spans="1:32" s="82" customFormat="1"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row>
    <row r="389" spans="1:32" s="82" customFormat="1"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row>
    <row r="390" spans="1:32" s="82" customFormat="1"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row>
    <row r="391" spans="1:32" s="82" customFormat="1"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row>
    <row r="392" spans="1:32" s="82" customFormat="1"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row>
    <row r="393" spans="1:32" s="82" customFormat="1"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row>
    <row r="394" spans="1:32" s="82" customFormat="1"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row>
    <row r="395" spans="1:32" s="82" customFormat="1"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row>
    <row r="396" spans="1:32" s="82" customFormat="1"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row>
    <row r="397" spans="1:32" s="82" customFormat="1"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row>
    <row r="398" spans="1:32" s="82" customFormat="1"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row>
    <row r="399" spans="1:32" s="82" customFormat="1"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row>
    <row r="400" spans="1:32" s="82" customFormat="1"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row>
    <row r="401" spans="1:32" s="82" customFormat="1"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row>
    <row r="402" spans="1:32" s="82" customFormat="1"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row>
    <row r="403" spans="1:32" s="82" customFormat="1"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row>
    <row r="404" spans="1:32" s="82" customFormat="1"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row>
    <row r="405" spans="1:32" s="82" customFormat="1"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row>
    <row r="406" spans="1:32" s="82" customFormat="1"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row>
    <row r="407" spans="1:32" s="82" customFormat="1"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row>
    <row r="408" spans="1:32" s="82" customFormat="1"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row>
    <row r="409" spans="1:32" s="82" customFormat="1"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row>
    <row r="410" spans="1:32" s="82" customFormat="1"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row>
    <row r="411" spans="1:32" s="82" customFormat="1"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row>
    <row r="412" spans="1:32" s="82" customFormat="1"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row>
    <row r="413" spans="1:32" s="82" customFormat="1"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row>
    <row r="414" spans="1:32" s="82" customFormat="1"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row>
    <row r="415" spans="1:32" s="82" customFormat="1"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row>
    <row r="416" spans="1:32" s="82" customFormat="1"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row>
    <row r="417" spans="1:32" s="82" customFormat="1"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row>
    <row r="418" spans="1:32" s="82" customFormat="1"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row>
    <row r="419" spans="1:32" s="82" customFormat="1"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row>
    <row r="420" spans="1:32" s="82" customFormat="1"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row>
    <row r="421" spans="1:32" s="82" customFormat="1"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row>
    <row r="422" spans="1:32" s="82" customFormat="1"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row>
    <row r="423" spans="1:32" s="82" customFormat="1"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row>
    <row r="424" spans="1:32" s="82" customFormat="1"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row>
    <row r="425" spans="1:32" s="82" customFormat="1"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row>
    <row r="426" spans="1:32" s="82" customFormat="1"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row>
    <row r="427" spans="1:32" s="82" customFormat="1"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row>
    <row r="428" spans="1:32" s="82" customFormat="1"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row>
    <row r="429" spans="1:32" s="82" customFormat="1"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row>
    <row r="430" spans="1:32" s="82" customFormat="1"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row>
    <row r="431" spans="1:32" s="82" customFormat="1"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row>
    <row r="432" spans="1:32" s="82" customFormat="1"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row>
    <row r="433" spans="1:32" s="82" customFormat="1"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row>
    <row r="434" spans="1:32" s="82" customFormat="1"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row>
    <row r="435" spans="1:32" s="82" customFormat="1"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row>
    <row r="436" spans="1:32" s="82" customFormat="1"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row>
    <row r="437" spans="1:32" s="82" customFormat="1"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row>
    <row r="438" spans="1:32" s="82" customFormat="1"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row>
    <row r="439" spans="1:32" s="82" customFormat="1"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row>
    <row r="440" spans="1:32" s="82" customFormat="1"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row>
    <row r="441" spans="1:32" s="82" customFormat="1"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row>
    <row r="442" spans="1:32" s="82" customFormat="1"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row>
    <row r="443" spans="1:32" s="82" customFormat="1"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row>
    <row r="444" spans="1:32" s="82" customFormat="1"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row>
    <row r="445" spans="1:32" s="82" customFormat="1"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row>
    <row r="446" spans="1:32" s="82" customFormat="1"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row>
    <row r="447" spans="1:32" s="82" customFormat="1"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row>
    <row r="448" spans="1:32" s="82" customFormat="1"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row>
    <row r="449" spans="1:32" s="82" customFormat="1"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row>
    <row r="450" spans="1:32" s="82" customFormat="1"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row>
    <row r="451" spans="1:32" s="82" customFormat="1"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row>
    <row r="452" spans="1:32" s="82" customFormat="1"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row>
    <row r="453" spans="1:32" s="82" customFormat="1"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row>
    <row r="454" spans="1:32" s="82" customFormat="1"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row>
    <row r="455" spans="1:32" s="82" customFormat="1"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row>
    <row r="456" spans="1:32" s="82" customFormat="1"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row>
    <row r="457" spans="1:32" s="82" customFormat="1"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row>
    <row r="458" spans="1:32" s="82" customFormat="1"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row>
    <row r="459" spans="1:32" s="82" customFormat="1"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row>
    <row r="460" spans="1:32" s="82" customFormat="1"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row>
    <row r="461" spans="1:32" s="82" customFormat="1"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row>
    <row r="462" spans="1:32" s="82" customFormat="1"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row>
    <row r="463" spans="1:32" s="82" customFormat="1"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row>
    <row r="464" spans="1:32" s="82" customFormat="1"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row>
    <row r="465" spans="1:32" s="82" customFormat="1"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row>
    <row r="466" spans="1:32" s="82" customFormat="1"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row>
    <row r="467" spans="1:32" s="82" customFormat="1"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row>
    <row r="468" spans="1:32" s="82" customFormat="1"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row>
    <row r="469" spans="1:32" s="82" customFormat="1"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row>
    <row r="470" spans="1:32" s="82" customFormat="1"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row>
    <row r="471" spans="1:32" s="82" customFormat="1"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row>
    <row r="472" spans="1:32" s="82" customFormat="1"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row>
    <row r="473" spans="1:32" s="82" customFormat="1"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row>
    <row r="474" spans="1:32" s="82" customFormat="1"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row>
    <row r="475" spans="1:32" s="82" customFormat="1"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row>
    <row r="476" spans="1:32" s="82" customFormat="1"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row>
    <row r="477" spans="1:32" s="82" customFormat="1"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row>
    <row r="478" spans="1:32" s="82" customFormat="1"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row>
    <row r="479" spans="1:32" s="82" customFormat="1"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row>
    <row r="480" spans="1:32" s="82" customFormat="1"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row>
    <row r="481" spans="1:32" s="82" customFormat="1"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row>
    <row r="482" spans="1:32" s="82" customFormat="1"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row>
    <row r="483" spans="1:32" s="82" customFormat="1"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row>
    <row r="484" spans="1:32" s="82" customFormat="1"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row>
    <row r="485" spans="1:32" s="82" customFormat="1"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row>
    <row r="486" spans="1:32" s="82" customFormat="1"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row>
    <row r="487" spans="1:32" s="82" customFormat="1"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row>
    <row r="488" spans="1:32" s="82" customFormat="1"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row>
    <row r="489" spans="1:32" s="82" customFormat="1"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row>
    <row r="490" spans="1:32" s="82" customFormat="1"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row>
    <row r="491" spans="1:32" s="82" customFormat="1"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row>
    <row r="492" spans="1:32" s="82" customFormat="1"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row>
    <row r="493" spans="1:32" s="82" customFormat="1"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row>
    <row r="494" spans="1:32" s="82" customFormat="1"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row>
    <row r="495" spans="1:32" s="82" customFormat="1"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row>
    <row r="496" spans="1:32" s="82" customFormat="1"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row>
    <row r="497" spans="1:32" s="82" customFormat="1"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row>
    <row r="498" spans="1:32" s="82" customFormat="1"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row>
    <row r="499" spans="1:32" s="82" customFormat="1"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row>
    <row r="500" spans="1:32" s="82" customFormat="1"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row>
    <row r="501" spans="1:32" s="82" customFormat="1"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row>
    <row r="502" spans="1:32" s="82" customFormat="1"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row>
    <row r="503" spans="1:32" s="82" customFormat="1"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row>
    <row r="504" spans="1:32" s="82" customFormat="1"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row>
    <row r="505" spans="1:32" s="82" customFormat="1"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row>
    <row r="506" spans="1:32" s="82" customFormat="1"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row>
    <row r="507" spans="1:32" s="82" customFormat="1"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row>
    <row r="508" spans="1:32" s="82" customFormat="1"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row>
    <row r="509" spans="1:32" s="82" customFormat="1"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row>
    <row r="510" spans="1:32" s="82" customFormat="1"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row>
    <row r="511" spans="1:32" s="82" customFormat="1"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row>
    <row r="512" spans="1:32" s="82" customFormat="1"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row>
    <row r="513" spans="1:32" s="82" customFormat="1"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row>
    <row r="514" spans="1:32" s="82" customFormat="1"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row>
    <row r="515" spans="1:32" s="82" customFormat="1"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row>
    <row r="516" spans="1:32" s="82" customFormat="1"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row>
    <row r="517" spans="1:32" s="82" customFormat="1"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row>
    <row r="518" spans="1:32" s="82" customFormat="1"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row>
    <row r="519" spans="1:32" s="82" customFormat="1"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row>
    <row r="520" spans="1:32" s="82" customFormat="1"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row>
    <row r="521" spans="1:32" s="82" customFormat="1"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row>
    <row r="522" spans="1:32" s="82" customFormat="1"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row>
    <row r="523" spans="1:32" s="82" customFormat="1"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row>
    <row r="524" spans="1:32" s="82" customFormat="1"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row>
    <row r="525" spans="1:32" s="82" customFormat="1"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row>
    <row r="526" spans="1:32" s="82" customFormat="1"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row>
    <row r="527" spans="1:32" s="82" customFormat="1"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row>
    <row r="528" spans="1:32" s="82" customFormat="1"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row>
    <row r="529" spans="1:32" s="82" customFormat="1"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row>
    <row r="530" spans="1:32" s="82" customFormat="1"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row>
    <row r="531" spans="1:32" s="82" customFormat="1"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row>
    <row r="532" spans="1:32" s="82" customFormat="1"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row>
    <row r="533" spans="1:32" s="82" customFormat="1"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row>
    <row r="534" spans="1:32" s="82" customFormat="1"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row>
    <row r="535" spans="1:32" s="82" customFormat="1"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row>
    <row r="536" spans="1:32" s="82" customFormat="1"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row>
    <row r="537" spans="1:32" s="82" customFormat="1"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row>
    <row r="538" spans="1:32" s="82" customFormat="1"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row>
    <row r="539" spans="1:32" s="82" customFormat="1"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row>
    <row r="540" spans="1:32" s="82" customFormat="1"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row>
    <row r="541" spans="1:32" s="82" customFormat="1"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row>
    <row r="542" spans="1:32" s="82" customFormat="1"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row>
    <row r="543" spans="1:32" s="82" customFormat="1"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row>
    <row r="544" spans="1:32" s="82" customFormat="1"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row>
    <row r="545" spans="1:32" s="82" customFormat="1"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row>
    <row r="546" spans="1:32" s="82" customFormat="1"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row>
    <row r="547" spans="1:32" s="82" customFormat="1"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row>
    <row r="548" spans="1:32" s="82" customFormat="1"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row>
    <row r="549" spans="1:32" s="82" customFormat="1"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row>
    <row r="550" spans="1:32" s="82" customFormat="1"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row>
    <row r="551" spans="1:32" s="82" customFormat="1"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row>
    <row r="552" spans="1:32" s="82" customFormat="1"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row>
    <row r="553" spans="1:32" s="82" customFormat="1"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row>
    <row r="554" spans="1:32" s="82" customFormat="1"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row>
    <row r="555" spans="1:32" s="82" customFormat="1"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row>
    <row r="556" spans="1:32" s="82" customFormat="1"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row>
    <row r="557" spans="1:32" s="82" customFormat="1"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row>
    <row r="558" spans="1:32" s="82" customFormat="1"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row>
    <row r="559" spans="1:32" s="82" customFormat="1"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row>
    <row r="560" spans="1:32" s="82" customFormat="1"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row>
    <row r="561" spans="1:32" s="82" customFormat="1"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row>
    <row r="562" spans="1:32" s="82" customFormat="1"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row>
    <row r="563" spans="1:32" s="82" customFormat="1"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row>
    <row r="564" spans="1:32" s="82" customFormat="1"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row>
    <row r="565" spans="1:32" s="82" customFormat="1"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row>
    <row r="566" spans="1:32" s="82" customFormat="1"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row>
    <row r="567" spans="1:32" s="82" customFormat="1"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row>
    <row r="568" spans="1:32" s="82" customFormat="1"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row>
    <row r="569" spans="1:32" s="82" customFormat="1"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row>
    <row r="570" spans="1:32" s="82" customFormat="1"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row>
    <row r="571" spans="1:32" s="82" customFormat="1"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row>
    <row r="572" spans="1:32" s="82" customFormat="1"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row>
    <row r="573" spans="1:32" s="82" customFormat="1"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row>
    <row r="574" spans="1:32" s="82" customFormat="1"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row>
    <row r="575" spans="1:32" s="82" customFormat="1"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row>
    <row r="576" spans="1:32" s="82" customFormat="1"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row>
    <row r="577" spans="1:32" s="82" customFormat="1"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row>
    <row r="578" spans="1:32" s="82" customFormat="1"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row>
    <row r="579" spans="1:32" s="82" customFormat="1"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row>
    <row r="580" spans="1:32" s="82" customFormat="1"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row>
    <row r="581" spans="1:32" s="82" customFormat="1"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row>
    <row r="582" spans="1:32" s="82" customFormat="1"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row>
    <row r="583" spans="1:32" s="82" customFormat="1"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row>
    <row r="584" spans="1:32" s="82" customFormat="1"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row>
    <row r="585" spans="1:32" s="82" customFormat="1"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row>
    <row r="586" spans="1:32" s="82" customFormat="1"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row>
    <row r="587" spans="1:32" s="82" customFormat="1"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row>
    <row r="588" spans="1:32" s="82" customFormat="1"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row>
    <row r="589" spans="1:32" s="82" customFormat="1"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row>
    <row r="590" spans="1:32" s="82" customFormat="1"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row>
    <row r="591" spans="1:32" s="82" customFormat="1"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row>
    <row r="592" spans="1:32" s="82" customFormat="1"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row>
    <row r="593" spans="1:32" s="82" customFormat="1"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row>
    <row r="594" spans="1:32" s="82" customFormat="1"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row>
    <row r="595" spans="1:32" s="82" customFormat="1"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row>
    <row r="596" spans="1:32" s="82" customFormat="1"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row>
    <row r="597" spans="1:32" s="82" customFormat="1"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row>
    <row r="598" spans="1:32" s="82" customFormat="1"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row>
    <row r="599" spans="1:32" s="82" customFormat="1"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row>
    <row r="600" spans="1:32" s="82" customFormat="1"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row>
    <row r="601" spans="1:32" s="82" customFormat="1"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row>
    <row r="602" spans="1:32" s="82" customFormat="1"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row>
    <row r="603" spans="1:32" s="82" customFormat="1"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row>
    <row r="604" spans="1:32" s="82" customFormat="1"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row>
    <row r="605" spans="1:32" s="82" customFormat="1"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row>
    <row r="606" spans="1:32" s="82" customFormat="1"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row>
    <row r="607" spans="1:32" s="82" customFormat="1"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row>
    <row r="608" spans="1:32" s="82" customFormat="1"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row>
    <row r="609" spans="1:32" s="82" customFormat="1"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row>
    <row r="610" spans="1:32" s="82" customFormat="1"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row>
    <row r="611" spans="1:32" s="82" customFormat="1"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row>
    <row r="612" spans="1:32" s="82" customFormat="1"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row>
    <row r="613" spans="1:32" s="82" customFormat="1"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row>
    <row r="614" spans="1:32" s="82" customFormat="1"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row>
    <row r="615" spans="1:32" s="82" customFormat="1"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row>
    <row r="616" spans="1:32" s="82" customFormat="1"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row>
    <row r="617" spans="1:32" s="82" customFormat="1"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row>
    <row r="618" spans="1:32" s="82" customFormat="1"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row>
    <row r="619" spans="1:32" s="82" customFormat="1"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row>
    <row r="620" spans="1:32" s="82" customFormat="1"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row>
    <row r="621" spans="1:32" s="82" customFormat="1"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row>
    <row r="622" spans="1:32" s="82" customFormat="1"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row>
    <row r="623" spans="1:32" s="82" customFormat="1"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row>
    <row r="624" spans="1:32" s="82" customFormat="1"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row>
    <row r="625" spans="1:32" s="82" customFormat="1"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row>
    <row r="626" spans="1:32" s="82" customFormat="1"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row>
    <row r="627" spans="1:32" s="82" customFormat="1"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row>
    <row r="628" spans="1:32" s="82" customFormat="1"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row>
    <row r="629" spans="1:32" s="82" customFormat="1"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row>
    <row r="630" spans="1:32" s="82" customFormat="1"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row>
    <row r="631" spans="1:32" s="82" customFormat="1"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row>
    <row r="632" spans="1:32" s="82" customFormat="1"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row>
    <row r="633" spans="1:32" s="82" customFormat="1"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row>
    <row r="634" spans="1:32" s="82" customFormat="1"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row>
    <row r="635" spans="1:32" s="82" customFormat="1"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row>
    <row r="636" spans="1:32" s="82" customFormat="1"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row>
    <row r="637" spans="1:32" s="82" customFormat="1"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row>
    <row r="638" spans="1:32" s="82" customFormat="1"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row>
    <row r="639" spans="1:32" s="82" customFormat="1"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row>
    <row r="640" spans="1:32" s="82" customFormat="1"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row>
    <row r="641" spans="1:32" s="82" customFormat="1"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row>
    <row r="642" spans="1:32" s="82" customFormat="1"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row>
    <row r="643" spans="1:32" s="82" customFormat="1"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row>
    <row r="644" spans="1:32" s="82" customFormat="1"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row>
    <row r="645" spans="1:32" s="82" customFormat="1"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row>
    <row r="646" spans="1:32" s="82" customFormat="1"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row>
    <row r="647" spans="1:32" s="82" customFormat="1"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row>
    <row r="648" spans="1:32" s="82" customFormat="1"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row>
    <row r="649" spans="1:32" s="82" customFormat="1"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row>
    <row r="650" spans="1:32" s="82" customFormat="1"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row>
    <row r="651" spans="1:32" s="82" customFormat="1"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row>
    <row r="652" spans="1:32" s="82" customFormat="1"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row>
    <row r="653" spans="1:32" s="82" customFormat="1"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row>
    <row r="654" spans="1:32" s="82" customFormat="1"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row>
    <row r="655" spans="1:32" s="82" customFormat="1"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row>
    <row r="656" spans="1:32" s="82" customFormat="1"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row>
    <row r="657" spans="1:32" s="82" customFormat="1"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row>
    <row r="658" spans="1:32" s="82" customFormat="1"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row>
    <row r="659" spans="1:32" s="82" customFormat="1"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row>
    <row r="660" spans="1:32" s="82" customFormat="1"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row>
    <row r="661" spans="1:32" s="82" customFormat="1"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row>
    <row r="662" spans="1:32" s="82" customFormat="1"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row>
    <row r="663" spans="1:32" s="82" customFormat="1"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row>
    <row r="664" spans="1:32" s="82" customFormat="1"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row>
    <row r="665" spans="1:32" s="82" customFormat="1"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row>
    <row r="666" spans="1:32" s="82" customFormat="1"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row>
    <row r="667" spans="1:32" s="82" customFormat="1"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row>
    <row r="668" spans="1:32" s="82" customFormat="1"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row>
    <row r="669" spans="1:32" s="82" customFormat="1"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row>
    <row r="670" spans="1:32" s="82" customFormat="1"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row>
    <row r="671" spans="1:32" s="82" customFormat="1"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row>
    <row r="672" spans="1:32" s="82" customFormat="1"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row>
    <row r="673" spans="1:32" s="82" customFormat="1"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row>
    <row r="674" spans="1:32" s="82" customFormat="1"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row>
    <row r="675" spans="1:32" s="82" customFormat="1"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row>
    <row r="676" spans="1:32" s="82" customFormat="1"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row>
    <row r="677" spans="1:32" s="82" customFormat="1"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row>
    <row r="678" spans="1:32" s="82" customFormat="1"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row>
    <row r="679" spans="1:32" s="82" customFormat="1"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row>
    <row r="680" spans="1:32" s="82" customFormat="1"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row>
    <row r="681" spans="1:32" s="82" customFormat="1"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row>
    <row r="682" spans="1:32" s="82" customFormat="1"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row>
    <row r="683" spans="1:32" s="82" customFormat="1"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row>
    <row r="684" spans="1:32" s="82" customFormat="1"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row>
    <row r="685" spans="1:32" s="82" customFormat="1"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row>
    <row r="686" spans="1:32" s="82" customFormat="1"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row>
    <row r="687" spans="1:32" s="82" customFormat="1"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row>
    <row r="688" spans="1:32" s="82" customFormat="1"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row>
    <row r="689" spans="1:32" s="82" customFormat="1"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row>
    <row r="690" spans="1:32" s="82" customFormat="1"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row>
    <row r="691" spans="1:32" s="82" customFormat="1"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row>
    <row r="692" spans="1:32" s="82" customFormat="1"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row>
    <row r="693" spans="1:32" s="82" customFormat="1" x14ac:dyDescent="0.25">
      <c r="A693"/>
      <c r="B693"/>
      <c r="C693"/>
      <c r="D693"/>
      <c r="E693"/>
      <c r="F693"/>
      <c r="G693"/>
      <c r="H693"/>
      <c r="I693"/>
      <c r="J693"/>
      <c r="K693"/>
      <c r="L693"/>
      <c r="M693"/>
      <c r="N693"/>
      <c r="O693"/>
      <c r="P693"/>
      <c r="Q693"/>
      <c r="R693"/>
      <c r="S693"/>
      <c r="T693"/>
      <c r="U693"/>
      <c r="V693"/>
      <c r="W693"/>
      <c r="X693"/>
      <c r="Y693"/>
      <c r="Z693"/>
      <c r="AA693"/>
      <c r="AB693"/>
      <c r="AC693"/>
      <c r="AD693"/>
      <c r="AE693"/>
      <c r="AF693"/>
    </row>
    <row r="694" spans="1:32" s="82" customFormat="1" x14ac:dyDescent="0.25">
      <c r="A694"/>
      <c r="B694"/>
      <c r="C694"/>
      <c r="D694"/>
      <c r="E694"/>
      <c r="F694"/>
      <c r="G694"/>
      <c r="H694"/>
      <c r="I694"/>
      <c r="J694"/>
      <c r="K694"/>
      <c r="L694"/>
      <c r="M694"/>
      <c r="N694"/>
      <c r="O694"/>
      <c r="P694"/>
      <c r="Q694"/>
      <c r="R694"/>
      <c r="S694"/>
      <c r="T694"/>
      <c r="U694"/>
      <c r="V694"/>
      <c r="W694"/>
      <c r="X694"/>
      <c r="Y694"/>
      <c r="Z694"/>
      <c r="AA694"/>
      <c r="AB694"/>
      <c r="AC694"/>
      <c r="AD694"/>
      <c r="AE694"/>
      <c r="AF694"/>
    </row>
    <row r="695" spans="1:32" s="82" customFormat="1" x14ac:dyDescent="0.25">
      <c r="A695"/>
      <c r="B695"/>
      <c r="C695"/>
      <c r="D695"/>
      <c r="E695"/>
      <c r="F695"/>
      <c r="G695"/>
      <c r="H695"/>
      <c r="I695"/>
      <c r="J695"/>
      <c r="K695"/>
      <c r="L695"/>
      <c r="M695"/>
      <c r="N695"/>
      <c r="O695"/>
      <c r="P695"/>
      <c r="Q695"/>
      <c r="R695"/>
      <c r="S695"/>
      <c r="T695"/>
      <c r="U695"/>
      <c r="V695"/>
      <c r="W695"/>
      <c r="X695"/>
      <c r="Y695"/>
      <c r="Z695"/>
      <c r="AA695"/>
      <c r="AB695"/>
      <c r="AC695"/>
      <c r="AD695"/>
      <c r="AE695"/>
      <c r="AF695"/>
    </row>
    <row r="696" spans="1:32" s="82" customFormat="1" x14ac:dyDescent="0.25">
      <c r="A696"/>
      <c r="B696"/>
      <c r="C696"/>
      <c r="D696"/>
      <c r="E696"/>
      <c r="F696"/>
      <c r="G696"/>
      <c r="H696"/>
      <c r="I696"/>
      <c r="J696"/>
      <c r="K696"/>
      <c r="L696"/>
      <c r="M696"/>
      <c r="N696"/>
      <c r="O696"/>
      <c r="P696"/>
      <c r="Q696"/>
      <c r="R696"/>
      <c r="S696"/>
      <c r="T696"/>
      <c r="U696"/>
      <c r="V696"/>
      <c r="W696"/>
      <c r="X696"/>
      <c r="Y696"/>
      <c r="Z696"/>
      <c r="AA696"/>
      <c r="AB696"/>
      <c r="AC696"/>
      <c r="AD696"/>
      <c r="AE696"/>
      <c r="AF696"/>
    </row>
    <row r="697" spans="1:32" s="82" customFormat="1" x14ac:dyDescent="0.25">
      <c r="A697"/>
      <c r="B697"/>
      <c r="C697"/>
      <c r="D697"/>
      <c r="E697"/>
      <c r="F697"/>
      <c r="G697"/>
      <c r="H697"/>
      <c r="I697"/>
      <c r="J697"/>
      <c r="K697"/>
      <c r="L697"/>
      <c r="M697"/>
      <c r="N697"/>
      <c r="O697"/>
      <c r="P697"/>
      <c r="Q697"/>
      <c r="R697"/>
      <c r="S697"/>
      <c r="T697"/>
      <c r="U697"/>
      <c r="V697"/>
      <c r="W697"/>
      <c r="X697"/>
      <c r="Y697"/>
      <c r="Z697"/>
      <c r="AA697"/>
      <c r="AB697"/>
      <c r="AC697"/>
      <c r="AD697"/>
      <c r="AE697"/>
      <c r="AF697"/>
    </row>
    <row r="698" spans="1:32" s="82" customFormat="1" x14ac:dyDescent="0.25">
      <c r="A698"/>
      <c r="B698"/>
      <c r="C698"/>
      <c r="D698"/>
      <c r="E698"/>
      <c r="F698"/>
      <c r="G698"/>
      <c r="H698"/>
      <c r="I698"/>
      <c r="J698"/>
      <c r="K698"/>
      <c r="L698"/>
      <c r="M698"/>
      <c r="N698"/>
      <c r="O698"/>
      <c r="P698"/>
      <c r="Q698"/>
      <c r="R698"/>
      <c r="S698"/>
      <c r="T698"/>
      <c r="U698"/>
      <c r="V698"/>
      <c r="W698"/>
      <c r="X698"/>
      <c r="Y698"/>
      <c r="Z698"/>
      <c r="AA698"/>
      <c r="AB698"/>
      <c r="AC698"/>
      <c r="AD698"/>
      <c r="AE698"/>
      <c r="AF698"/>
    </row>
    <row r="699" spans="1:32" s="82" customFormat="1" x14ac:dyDescent="0.25">
      <c r="A699"/>
      <c r="B699"/>
      <c r="C699"/>
      <c r="D699"/>
      <c r="E699"/>
      <c r="F699"/>
      <c r="G699"/>
      <c r="H699"/>
      <c r="I699"/>
      <c r="J699"/>
      <c r="K699"/>
      <c r="L699"/>
      <c r="M699"/>
      <c r="N699"/>
      <c r="O699"/>
      <c r="P699"/>
      <c r="Q699"/>
      <c r="R699"/>
      <c r="S699"/>
      <c r="T699"/>
      <c r="U699"/>
      <c r="V699"/>
      <c r="W699"/>
      <c r="X699"/>
      <c r="Y699"/>
      <c r="Z699"/>
      <c r="AA699"/>
      <c r="AB699"/>
      <c r="AC699"/>
      <c r="AD699"/>
      <c r="AE699"/>
      <c r="AF699"/>
    </row>
    <row r="700" spans="1:32" s="82" customFormat="1" x14ac:dyDescent="0.25">
      <c r="A700"/>
      <c r="B700"/>
      <c r="C700"/>
      <c r="D700"/>
      <c r="E700"/>
      <c r="F700"/>
      <c r="G700"/>
      <c r="H700"/>
      <c r="I700"/>
      <c r="J700"/>
      <c r="K700"/>
      <c r="L700"/>
      <c r="M700"/>
      <c r="N700"/>
      <c r="O700"/>
      <c r="P700"/>
      <c r="Q700"/>
      <c r="R700"/>
      <c r="S700"/>
      <c r="T700"/>
      <c r="U700"/>
      <c r="V700"/>
      <c r="W700"/>
      <c r="X700"/>
      <c r="Y700"/>
      <c r="Z700"/>
      <c r="AA700"/>
      <c r="AB700"/>
      <c r="AC700"/>
      <c r="AD700"/>
      <c r="AE700"/>
      <c r="AF700"/>
    </row>
    <row r="701" spans="1:32" s="82" customFormat="1" x14ac:dyDescent="0.25">
      <c r="A701"/>
      <c r="B701"/>
      <c r="C701"/>
      <c r="D701"/>
      <c r="E701"/>
      <c r="F701"/>
      <c r="G701"/>
      <c r="H701"/>
      <c r="I701"/>
      <c r="J701"/>
      <c r="K701"/>
      <c r="L701"/>
      <c r="M701"/>
      <c r="N701"/>
      <c r="O701"/>
      <c r="P701"/>
      <c r="Q701"/>
      <c r="R701"/>
      <c r="S701"/>
      <c r="T701"/>
      <c r="U701"/>
      <c r="V701"/>
      <c r="W701"/>
      <c r="X701"/>
      <c r="Y701"/>
      <c r="Z701"/>
      <c r="AA701"/>
      <c r="AB701"/>
      <c r="AC701"/>
      <c r="AD701"/>
      <c r="AE701"/>
      <c r="AF701"/>
    </row>
    <row r="702" spans="1:32" s="82" customFormat="1" x14ac:dyDescent="0.25">
      <c r="A702"/>
      <c r="B702"/>
      <c r="C702"/>
      <c r="D702"/>
      <c r="E702"/>
      <c r="F702"/>
      <c r="G702"/>
      <c r="H702"/>
      <c r="I702"/>
      <c r="J702"/>
      <c r="K702"/>
      <c r="L702"/>
      <c r="M702"/>
      <c r="N702"/>
      <c r="O702"/>
      <c r="P702"/>
      <c r="Q702"/>
      <c r="R702"/>
      <c r="S702"/>
      <c r="T702"/>
      <c r="U702"/>
      <c r="V702"/>
      <c r="W702"/>
      <c r="X702"/>
      <c r="Y702"/>
      <c r="Z702"/>
      <c r="AA702"/>
      <c r="AB702"/>
      <c r="AC702"/>
      <c r="AD702"/>
      <c r="AE702"/>
      <c r="AF702"/>
    </row>
    <row r="703" spans="1:32" s="82" customFormat="1" x14ac:dyDescent="0.25">
      <c r="A703"/>
      <c r="B703"/>
      <c r="C703"/>
      <c r="D703"/>
      <c r="E703"/>
      <c r="F703"/>
      <c r="G703"/>
      <c r="H703"/>
      <c r="I703"/>
      <c r="J703"/>
      <c r="K703"/>
      <c r="L703"/>
      <c r="M703"/>
      <c r="N703"/>
      <c r="O703"/>
      <c r="P703"/>
      <c r="Q703"/>
      <c r="R703"/>
      <c r="S703"/>
      <c r="T703"/>
      <c r="U703"/>
      <c r="V703"/>
      <c r="W703"/>
      <c r="X703"/>
      <c r="Y703"/>
      <c r="Z703"/>
      <c r="AA703"/>
      <c r="AB703"/>
      <c r="AC703"/>
      <c r="AD703"/>
      <c r="AE703"/>
      <c r="AF703"/>
    </row>
    <row r="704" spans="1:32" s="82" customFormat="1" x14ac:dyDescent="0.25">
      <c r="A704"/>
      <c r="B704"/>
      <c r="C704"/>
      <c r="D704"/>
      <c r="E704"/>
      <c r="F704"/>
      <c r="G704"/>
      <c r="H704"/>
      <c r="I704"/>
      <c r="J704"/>
      <c r="K704"/>
      <c r="L704"/>
      <c r="M704"/>
      <c r="N704"/>
      <c r="O704"/>
      <c r="P704"/>
      <c r="Q704"/>
      <c r="R704"/>
      <c r="S704"/>
      <c r="T704"/>
      <c r="U704"/>
      <c r="V704"/>
      <c r="W704"/>
      <c r="X704"/>
      <c r="Y704"/>
      <c r="Z704"/>
      <c r="AA704"/>
      <c r="AB704"/>
      <c r="AC704"/>
      <c r="AD704"/>
      <c r="AE704"/>
      <c r="AF704"/>
    </row>
    <row r="705" spans="1:32" s="82" customFormat="1" x14ac:dyDescent="0.25">
      <c r="A705"/>
      <c r="B705"/>
      <c r="C705"/>
      <c r="D705"/>
      <c r="E705"/>
      <c r="F705"/>
      <c r="G705"/>
      <c r="H705"/>
      <c r="I705"/>
      <c r="J705"/>
      <c r="K705"/>
      <c r="L705"/>
      <c r="M705"/>
      <c r="N705"/>
      <c r="O705"/>
      <c r="P705"/>
      <c r="Q705"/>
      <c r="R705"/>
      <c r="S705"/>
      <c r="T705"/>
      <c r="U705"/>
      <c r="V705"/>
      <c r="W705"/>
      <c r="X705"/>
      <c r="Y705"/>
      <c r="Z705"/>
      <c r="AA705"/>
      <c r="AB705"/>
      <c r="AC705"/>
      <c r="AD705"/>
      <c r="AE705"/>
      <c r="AF705"/>
    </row>
    <row r="706" spans="1:32" s="82" customFormat="1" x14ac:dyDescent="0.25">
      <c r="A706"/>
      <c r="B706"/>
      <c r="C706"/>
      <c r="D706"/>
      <c r="E706"/>
      <c r="F706"/>
      <c r="G706"/>
      <c r="H706"/>
      <c r="I706"/>
      <c r="J706"/>
      <c r="K706"/>
      <c r="L706"/>
      <c r="M706"/>
      <c r="N706"/>
      <c r="O706"/>
      <c r="P706"/>
      <c r="Q706"/>
      <c r="R706"/>
      <c r="S706"/>
      <c r="T706"/>
      <c r="U706"/>
      <c r="V706"/>
      <c r="W706"/>
      <c r="X706"/>
      <c r="Y706"/>
      <c r="Z706"/>
      <c r="AA706"/>
      <c r="AB706"/>
      <c r="AC706"/>
      <c r="AD706"/>
      <c r="AE706"/>
      <c r="AF706"/>
    </row>
    <row r="707" spans="1:32" s="82" customFormat="1" x14ac:dyDescent="0.25">
      <c r="A707"/>
      <c r="B707"/>
      <c r="C707"/>
      <c r="D707"/>
      <c r="E707"/>
      <c r="F707"/>
      <c r="G707"/>
      <c r="H707"/>
      <c r="I707"/>
      <c r="J707"/>
      <c r="K707"/>
      <c r="L707"/>
      <c r="M707"/>
      <c r="N707"/>
      <c r="O707"/>
      <c r="P707"/>
      <c r="Q707"/>
      <c r="R707"/>
      <c r="S707"/>
      <c r="T707"/>
      <c r="U707"/>
      <c r="V707"/>
      <c r="W707"/>
      <c r="X707"/>
      <c r="Y707"/>
      <c r="Z707"/>
      <c r="AA707"/>
      <c r="AB707"/>
      <c r="AC707"/>
      <c r="AD707"/>
      <c r="AE707"/>
      <c r="AF707"/>
    </row>
    <row r="708" spans="1:32" s="82" customFormat="1" x14ac:dyDescent="0.25">
      <c r="A708"/>
      <c r="B708"/>
      <c r="C708"/>
      <c r="D708"/>
      <c r="E708"/>
      <c r="F708"/>
      <c r="G708"/>
      <c r="H708"/>
      <c r="I708"/>
      <c r="J708"/>
      <c r="K708"/>
      <c r="L708"/>
      <c r="M708"/>
      <c r="N708"/>
      <c r="O708"/>
      <c r="P708"/>
      <c r="Q708"/>
      <c r="R708"/>
      <c r="S708"/>
      <c r="T708"/>
      <c r="U708"/>
      <c r="V708"/>
      <c r="W708"/>
      <c r="X708"/>
      <c r="Y708"/>
      <c r="Z708"/>
      <c r="AA708"/>
      <c r="AB708"/>
      <c r="AC708"/>
      <c r="AD708"/>
      <c r="AE708"/>
      <c r="AF708"/>
    </row>
    <row r="709" spans="1:32" s="82" customFormat="1" x14ac:dyDescent="0.25">
      <c r="A709"/>
      <c r="B709"/>
      <c r="C709"/>
      <c r="D709"/>
      <c r="E709"/>
      <c r="F709"/>
      <c r="G709"/>
      <c r="H709"/>
      <c r="I709"/>
      <c r="J709"/>
      <c r="K709"/>
      <c r="L709"/>
      <c r="M709"/>
      <c r="N709"/>
      <c r="O709"/>
      <c r="P709"/>
      <c r="Q709"/>
      <c r="R709"/>
      <c r="S709"/>
      <c r="T709"/>
      <c r="U709"/>
      <c r="V709"/>
      <c r="W709"/>
      <c r="X709"/>
      <c r="Y709"/>
      <c r="Z709"/>
      <c r="AA709"/>
      <c r="AB709"/>
      <c r="AC709"/>
      <c r="AD709"/>
      <c r="AE709"/>
      <c r="AF709"/>
    </row>
    <row r="710" spans="1:32" s="82" customFormat="1" x14ac:dyDescent="0.25">
      <c r="A710"/>
      <c r="B710"/>
      <c r="C710"/>
      <c r="D710"/>
      <c r="E710"/>
      <c r="F710"/>
      <c r="G710"/>
      <c r="H710"/>
      <c r="I710"/>
      <c r="J710"/>
      <c r="K710"/>
      <c r="L710"/>
      <c r="M710"/>
      <c r="N710"/>
      <c r="O710"/>
      <c r="P710"/>
      <c r="Q710"/>
      <c r="R710"/>
      <c r="S710"/>
      <c r="T710"/>
      <c r="U710"/>
      <c r="V710"/>
      <c r="W710"/>
      <c r="X710"/>
      <c r="Y710"/>
      <c r="Z710"/>
      <c r="AA710"/>
      <c r="AB710"/>
      <c r="AC710"/>
      <c r="AD710"/>
      <c r="AE710"/>
      <c r="AF710"/>
    </row>
    <row r="711" spans="1:32" s="82" customFormat="1" x14ac:dyDescent="0.25">
      <c r="A711"/>
      <c r="B711"/>
      <c r="C711"/>
      <c r="D711"/>
      <c r="E711"/>
      <c r="F711"/>
      <c r="G711"/>
      <c r="H711"/>
      <c r="I711"/>
      <c r="J711"/>
      <c r="K711"/>
      <c r="L711"/>
      <c r="M711"/>
      <c r="N711"/>
      <c r="O711"/>
      <c r="P711"/>
      <c r="Q711"/>
      <c r="R711"/>
      <c r="S711"/>
      <c r="T711"/>
      <c r="U711"/>
      <c r="V711"/>
      <c r="W711"/>
      <c r="X711"/>
      <c r="Y711"/>
      <c r="Z711"/>
      <c r="AA711"/>
      <c r="AB711"/>
      <c r="AC711"/>
      <c r="AD711"/>
      <c r="AE711"/>
      <c r="AF711"/>
    </row>
    <row r="712" spans="1:32" s="82" customFormat="1" x14ac:dyDescent="0.25">
      <c r="A712"/>
      <c r="B712"/>
      <c r="C712"/>
      <c r="D712"/>
      <c r="E712"/>
      <c r="F712"/>
      <c r="G712"/>
      <c r="H712"/>
      <c r="I712"/>
      <c r="J712"/>
      <c r="K712"/>
      <c r="L712"/>
      <c r="M712"/>
      <c r="N712"/>
      <c r="O712"/>
      <c r="P712"/>
      <c r="Q712"/>
      <c r="R712"/>
      <c r="S712"/>
      <c r="T712"/>
      <c r="U712"/>
      <c r="V712"/>
      <c r="W712"/>
      <c r="X712"/>
      <c r="Y712"/>
      <c r="Z712"/>
      <c r="AA712"/>
      <c r="AB712"/>
      <c r="AC712"/>
      <c r="AD712"/>
      <c r="AE712"/>
      <c r="AF712"/>
    </row>
    <row r="713" spans="1:32" s="82" customFormat="1" x14ac:dyDescent="0.25">
      <c r="A713"/>
      <c r="B713"/>
      <c r="C713"/>
      <c r="D713"/>
      <c r="E713"/>
      <c r="F713"/>
      <c r="G713"/>
      <c r="H713"/>
      <c r="I713"/>
      <c r="J713"/>
      <c r="K713"/>
      <c r="L713"/>
      <c r="M713"/>
      <c r="N713"/>
      <c r="O713"/>
      <c r="P713"/>
      <c r="Q713"/>
      <c r="R713"/>
      <c r="S713"/>
      <c r="T713"/>
      <c r="U713"/>
      <c r="V713"/>
      <c r="W713"/>
      <c r="X713"/>
      <c r="Y713"/>
      <c r="Z713"/>
      <c r="AA713"/>
      <c r="AB713"/>
      <c r="AC713"/>
      <c r="AD713"/>
      <c r="AE713"/>
      <c r="AF713"/>
    </row>
    <row r="714" spans="1:32" s="82" customFormat="1" x14ac:dyDescent="0.25">
      <c r="A714"/>
      <c r="B714"/>
      <c r="C714"/>
      <c r="D714"/>
      <c r="E714"/>
      <c r="F714"/>
      <c r="G714"/>
      <c r="H714"/>
      <c r="I714"/>
      <c r="J714"/>
      <c r="K714"/>
      <c r="L714"/>
      <c r="M714"/>
      <c r="N714"/>
      <c r="O714"/>
      <c r="P714"/>
      <c r="Q714"/>
      <c r="R714"/>
      <c r="S714"/>
      <c r="T714"/>
      <c r="U714"/>
      <c r="V714"/>
      <c r="W714"/>
      <c r="X714"/>
      <c r="Y714"/>
      <c r="Z714"/>
      <c r="AA714"/>
      <c r="AB714"/>
      <c r="AC714"/>
      <c r="AD714"/>
      <c r="AE714"/>
      <c r="AF714"/>
    </row>
    <row r="715" spans="1:32" s="82" customFormat="1" x14ac:dyDescent="0.25">
      <c r="A715"/>
      <c r="B715"/>
      <c r="C715"/>
      <c r="D715"/>
      <c r="E715"/>
      <c r="F715"/>
      <c r="G715"/>
      <c r="H715"/>
      <c r="I715"/>
      <c r="J715"/>
      <c r="K715"/>
      <c r="L715"/>
      <c r="M715"/>
      <c r="N715"/>
      <c r="O715"/>
      <c r="P715"/>
      <c r="Q715"/>
      <c r="R715"/>
      <c r="S715"/>
      <c r="T715"/>
      <c r="U715"/>
      <c r="V715"/>
      <c r="W715"/>
      <c r="X715"/>
      <c r="Y715"/>
      <c r="Z715"/>
      <c r="AA715"/>
      <c r="AB715"/>
      <c r="AC715"/>
      <c r="AD715"/>
      <c r="AE715"/>
      <c r="AF715"/>
    </row>
    <row r="716" spans="1:32" s="82" customFormat="1" x14ac:dyDescent="0.25">
      <c r="A716"/>
      <c r="B716"/>
      <c r="C716"/>
      <c r="D716"/>
      <c r="E716"/>
      <c r="F716"/>
      <c r="G716"/>
      <c r="H716"/>
      <c r="I716"/>
      <c r="J716"/>
      <c r="K716"/>
      <c r="L716"/>
      <c r="M716"/>
      <c r="N716"/>
      <c r="O716"/>
      <c r="P716"/>
      <c r="Q716"/>
      <c r="R716"/>
      <c r="S716"/>
      <c r="T716"/>
      <c r="U716"/>
      <c r="V716"/>
      <c r="W716"/>
      <c r="X716"/>
      <c r="Y716"/>
      <c r="Z716"/>
      <c r="AA716"/>
      <c r="AB716"/>
      <c r="AC716"/>
      <c r="AD716"/>
      <c r="AE716"/>
      <c r="AF716"/>
    </row>
    <row r="717" spans="1:32" s="82" customFormat="1" x14ac:dyDescent="0.25">
      <c r="A717"/>
      <c r="B717"/>
      <c r="C717"/>
      <c r="D717"/>
      <c r="E717"/>
      <c r="F717"/>
      <c r="G717"/>
      <c r="H717"/>
      <c r="I717"/>
      <c r="J717"/>
      <c r="K717"/>
      <c r="L717"/>
      <c r="M717"/>
      <c r="N717"/>
      <c r="O717"/>
      <c r="P717"/>
      <c r="Q717"/>
      <c r="R717"/>
      <c r="S717"/>
      <c r="T717"/>
      <c r="U717"/>
      <c r="V717"/>
      <c r="W717"/>
      <c r="X717"/>
      <c r="Y717"/>
      <c r="Z717"/>
      <c r="AA717"/>
      <c r="AB717"/>
      <c r="AC717"/>
      <c r="AD717"/>
      <c r="AE717"/>
      <c r="AF717"/>
    </row>
    <row r="718" spans="1:32" s="82" customFormat="1" x14ac:dyDescent="0.25">
      <c r="A718"/>
      <c r="B718"/>
      <c r="C718"/>
      <c r="D718"/>
      <c r="E718"/>
      <c r="F718"/>
      <c r="G718"/>
      <c r="H718"/>
      <c r="I718"/>
      <c r="J718"/>
      <c r="K718"/>
      <c r="L718"/>
      <c r="M718"/>
      <c r="N718"/>
      <c r="O718"/>
      <c r="P718"/>
      <c r="Q718"/>
      <c r="R718"/>
      <c r="S718"/>
      <c r="T718"/>
      <c r="U718"/>
      <c r="V718"/>
      <c r="W718"/>
      <c r="X718"/>
      <c r="Y718"/>
      <c r="Z718"/>
      <c r="AA718"/>
      <c r="AB718"/>
      <c r="AC718"/>
      <c r="AD718"/>
      <c r="AE718"/>
      <c r="AF718"/>
    </row>
    <row r="719" spans="1:32" s="82" customFormat="1" x14ac:dyDescent="0.25">
      <c r="A719"/>
      <c r="B719"/>
      <c r="C719"/>
      <c r="D719"/>
      <c r="E719"/>
      <c r="F719"/>
      <c r="G719"/>
      <c r="H719"/>
      <c r="I719"/>
      <c r="J719"/>
      <c r="K719"/>
      <c r="L719"/>
      <c r="M719"/>
      <c r="N719"/>
      <c r="O719"/>
      <c r="P719"/>
      <c r="Q719"/>
      <c r="R719"/>
      <c r="S719"/>
      <c r="T719"/>
      <c r="U719"/>
      <c r="V719"/>
      <c r="W719"/>
      <c r="X719"/>
      <c r="Y719"/>
      <c r="Z719"/>
      <c r="AA719"/>
      <c r="AB719"/>
      <c r="AC719"/>
      <c r="AD719"/>
      <c r="AE719"/>
      <c r="AF719"/>
    </row>
    <row r="720" spans="1:32" s="82" customFormat="1" x14ac:dyDescent="0.25">
      <c r="A720"/>
      <c r="B720"/>
      <c r="C720"/>
      <c r="D720"/>
      <c r="E720"/>
      <c r="F720"/>
      <c r="G720"/>
      <c r="H720"/>
      <c r="I720"/>
      <c r="J720"/>
      <c r="K720"/>
      <c r="L720"/>
      <c r="M720"/>
      <c r="N720"/>
      <c r="O720"/>
      <c r="P720"/>
      <c r="Q720"/>
      <c r="R720"/>
      <c r="S720"/>
      <c r="T720"/>
      <c r="U720"/>
      <c r="V720"/>
      <c r="W720"/>
      <c r="X720"/>
      <c r="Y720"/>
      <c r="Z720"/>
      <c r="AA720"/>
      <c r="AB720"/>
      <c r="AC720"/>
      <c r="AD720"/>
      <c r="AE720"/>
      <c r="AF720"/>
    </row>
  </sheetData>
  <sheetProtection algorithmName="SHA-512" hashValue="HLsvgTmrlVNbSKFKcPDnH/sR6kA04QNIYB8jqONkrTUWoXokF4nXWL0VYQSPlMBUn6g8voQROommPrfEXX1OQw==" saltValue="6dGq2zsz6ZMvv0zDNVfb1w==" spinCount="100000" sheet="1" selectLockedCells="1"/>
  <mergeCells count="4">
    <mergeCell ref="B3:C3"/>
    <mergeCell ref="D3:N4"/>
    <mergeCell ref="C17:T17"/>
    <mergeCell ref="B2:N2"/>
  </mergeCells>
  <conditionalFormatting sqref="C8:C15">
    <cfRule type="expression" dxfId="9" priority="1">
      <formula>AND(COUNTA($C8:$J8)&gt;0,C8="")</formula>
    </cfRule>
  </conditionalFormatting>
  <conditionalFormatting sqref="N8:Q15">
    <cfRule type="cellIs" dxfId="8" priority="3" operator="equal">
      <formula>0</formula>
    </cfRule>
  </conditionalFormatting>
  <conditionalFormatting sqref="R8:R15">
    <cfRule type="cellIs" dxfId="7" priority="2" operator="equal">
      <formula>0</formula>
    </cfRule>
  </conditionalFormatting>
  <dataValidations count="3">
    <dataValidation type="list" allowBlank="1" showInputMessage="1" showErrorMessage="1" sqref="C8:C15" xr:uid="{EEA7D3AD-F1FA-4C80-8AC7-DEEE57209760}">
      <formula1>"Added Doors"</formula1>
    </dataValidation>
    <dataValidation type="list" allowBlank="1" showInputMessage="1" showErrorMessage="1" sqref="H16 I8:I15" xr:uid="{CE6F0B19-A139-42C8-BF39-5CCE5A9726A5}">
      <formula1>$C$32:$C$34</formula1>
    </dataValidation>
    <dataValidation type="list" allowBlank="1" showInputMessage="1" showErrorMessage="1" sqref="G16 H8:H15" xr:uid="{8F3B78F5-138F-4995-8647-4A7C5EA50111}">
      <formula1>$C$28:$C$29</formula1>
    </dataValidation>
  </dataValidations>
  <hyperlinks>
    <hyperlink ref="B3" location="'Calculator Index'!A1" display="Return to Index" xr:uid="{03E0782C-5BF4-4172-9CA2-401052E83237}"/>
    <hyperlink ref="B3:C3" location="'Project Summary'!A1" display="Return to Project Summary" xr:uid="{E771658B-2E50-4510-95C8-A266F11EFCAE}"/>
    <hyperlink ref="O1" r:id="rId1" xr:uid="{05092EE6-DDBE-446B-B329-90FC8031E49C}"/>
  </hyperlinks>
  <pageMargins left="0.7" right="0.7" top="0.75" bottom="0.75" header="0.3" footer="0.3"/>
  <pageSetup orientation="portrait"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A66D2-BA48-4AE4-A307-D7B61795C6D3}">
  <dimension ref="A1:FB719"/>
  <sheetViews>
    <sheetView zoomScale="90" zoomScaleNormal="90" workbookViewId="0">
      <selection activeCell="D11" sqref="D11"/>
    </sheetView>
  </sheetViews>
  <sheetFormatPr defaultRowHeight="15" x14ac:dyDescent="0.25"/>
  <cols>
    <col min="1" max="1" width="4.7109375" customWidth="1"/>
    <col min="2" max="2" width="4.5703125" bestFit="1" customWidth="1"/>
    <col min="3" max="3" width="23.85546875" customWidth="1"/>
    <col min="4" max="4" width="20" customWidth="1"/>
    <col min="5" max="6" width="20" hidden="1" customWidth="1"/>
    <col min="7" max="7" width="19.28515625" bestFit="1" customWidth="1"/>
    <col min="8" max="8" width="16" bestFit="1" customWidth="1"/>
    <col min="9" max="9" width="12.85546875" bestFit="1" customWidth="1"/>
    <col min="10" max="10" width="15.42578125" bestFit="1" customWidth="1"/>
    <col min="11" max="11" width="9.28515625" bestFit="1" customWidth="1"/>
    <col min="12" max="12" width="10.7109375" bestFit="1" customWidth="1"/>
    <col min="13" max="13" width="12.5703125" customWidth="1"/>
    <col min="14" max="14" width="12.7109375" bestFit="1" customWidth="1"/>
    <col min="15" max="15" width="12.140625" bestFit="1" customWidth="1"/>
    <col min="16" max="16" width="12.28515625" hidden="1" customWidth="1"/>
    <col min="17" max="17" width="17.28515625" hidden="1" customWidth="1"/>
    <col min="18" max="18" width="4.7109375" customWidth="1"/>
    <col min="19" max="25" width="6.5703125" bestFit="1" customWidth="1"/>
    <col min="26" max="28" width="9.140625" customWidth="1"/>
    <col min="29" max="29" width="6.5703125" customWidth="1"/>
    <col min="30" max="30" width="9.140625" style="82" customWidth="1"/>
    <col min="31" max="158" width="9.140625" style="82"/>
  </cols>
  <sheetData>
    <row r="1" spans="1:158" x14ac:dyDescent="0.25">
      <c r="A1" s="38"/>
      <c r="B1" s="38"/>
      <c r="C1" s="38"/>
      <c r="D1" s="38"/>
      <c r="E1" s="38"/>
      <c r="F1" s="38"/>
      <c r="G1" s="38"/>
      <c r="H1" s="38"/>
      <c r="I1" s="38"/>
      <c r="J1" s="38"/>
      <c r="K1" s="38"/>
      <c r="L1" s="38"/>
      <c r="M1" s="295" t="s">
        <v>76</v>
      </c>
      <c r="N1" s="315" t="s">
        <v>658</v>
      </c>
      <c r="O1" s="27"/>
      <c r="P1" s="27"/>
      <c r="Q1" s="27"/>
      <c r="R1" s="38"/>
    </row>
    <row r="2" spans="1:158" ht="21" x14ac:dyDescent="0.25">
      <c r="A2" s="38"/>
      <c r="B2" s="569"/>
      <c r="C2" s="570"/>
      <c r="D2" s="570"/>
      <c r="E2" s="570"/>
      <c r="F2" s="570"/>
      <c r="G2" s="570"/>
      <c r="H2" s="570"/>
      <c r="I2" s="570"/>
      <c r="J2" s="570"/>
      <c r="K2" s="570"/>
      <c r="L2" s="571"/>
      <c r="M2" s="27"/>
      <c r="N2" s="27"/>
      <c r="O2" s="27"/>
      <c r="P2" s="27"/>
      <c r="Q2" s="27"/>
      <c r="R2" s="38"/>
    </row>
    <row r="3" spans="1:158" ht="14.45" customHeight="1" x14ac:dyDescent="0.25">
      <c r="A3" s="38"/>
      <c r="B3" s="505" t="s">
        <v>79</v>
      </c>
      <c r="C3" s="506"/>
      <c r="D3" s="565" t="s">
        <v>657</v>
      </c>
      <c r="E3" s="565"/>
      <c r="F3" s="565"/>
      <c r="G3" s="565"/>
      <c r="H3" s="565"/>
      <c r="I3" s="565"/>
      <c r="J3" s="565"/>
      <c r="K3" s="565"/>
      <c r="L3" s="565"/>
      <c r="M3" s="27"/>
      <c r="N3" s="27"/>
      <c r="O3" s="27"/>
      <c r="P3" s="27"/>
      <c r="Q3" s="27"/>
      <c r="R3" s="38"/>
    </row>
    <row r="4" spans="1:158" x14ac:dyDescent="0.25">
      <c r="A4" s="38"/>
      <c r="B4" s="38"/>
      <c r="C4" s="38"/>
      <c r="D4" s="565"/>
      <c r="E4" s="565"/>
      <c r="F4" s="565"/>
      <c r="G4" s="565"/>
      <c r="H4" s="565"/>
      <c r="I4" s="565"/>
      <c r="J4" s="565"/>
      <c r="K4" s="565"/>
      <c r="L4" s="565"/>
      <c r="M4" s="27"/>
      <c r="N4" s="27"/>
      <c r="O4" s="27"/>
      <c r="P4" s="27"/>
      <c r="Q4" s="27"/>
      <c r="R4" s="38"/>
    </row>
    <row r="5" spans="1:158" x14ac:dyDescent="0.25">
      <c r="A5" s="38"/>
      <c r="B5" s="38"/>
      <c r="C5" s="38"/>
      <c r="D5" s="38"/>
      <c r="E5" s="38"/>
      <c r="F5" s="38"/>
      <c r="G5" s="38"/>
      <c r="H5" s="38"/>
      <c r="I5" s="38"/>
      <c r="J5" s="38"/>
      <c r="K5" s="38"/>
      <c r="L5" s="38"/>
      <c r="M5" s="27"/>
      <c r="N5" s="27"/>
      <c r="O5" s="27"/>
      <c r="P5" s="27"/>
      <c r="Q5" s="27"/>
      <c r="R5" s="38"/>
    </row>
    <row r="6" spans="1:158" ht="60" x14ac:dyDescent="0.25">
      <c r="A6" s="38"/>
      <c r="B6" s="153" t="s">
        <v>81</v>
      </c>
      <c r="C6" s="153" t="s">
        <v>82</v>
      </c>
      <c r="D6" s="153" t="s">
        <v>361</v>
      </c>
      <c r="E6" s="302" t="s">
        <v>651</v>
      </c>
      <c r="F6" s="302" t="s">
        <v>650</v>
      </c>
      <c r="G6" s="153" t="s">
        <v>638</v>
      </c>
      <c r="H6" s="153" t="s">
        <v>86</v>
      </c>
      <c r="I6" s="153" t="s">
        <v>87</v>
      </c>
      <c r="J6" s="153" t="s">
        <v>85</v>
      </c>
      <c r="K6" s="153" t="s">
        <v>649</v>
      </c>
      <c r="L6" s="153" t="s">
        <v>53</v>
      </c>
      <c r="M6" s="153" t="s">
        <v>95</v>
      </c>
      <c r="N6" s="153" t="s">
        <v>633</v>
      </c>
      <c r="O6" s="153" t="s">
        <v>70</v>
      </c>
      <c r="P6" s="153" t="s">
        <v>98</v>
      </c>
      <c r="Q6" s="153" t="s">
        <v>99</v>
      </c>
      <c r="R6" s="38"/>
    </row>
    <row r="7" spans="1:158" hidden="1" x14ac:dyDescent="0.25">
      <c r="A7" s="38"/>
      <c r="B7" s="245"/>
      <c r="C7" s="245"/>
      <c r="D7" s="245"/>
      <c r="E7" s="245"/>
      <c r="F7" s="245"/>
      <c r="G7" s="245"/>
      <c r="H7" s="245"/>
      <c r="I7" s="245"/>
      <c r="J7" s="245"/>
      <c r="K7" s="245"/>
      <c r="L7" s="245"/>
      <c r="M7" s="245"/>
      <c r="N7" s="245"/>
      <c r="O7" s="293"/>
      <c r="P7" s="293"/>
      <c r="Q7" s="250"/>
      <c r="R7" s="38"/>
    </row>
    <row r="8" spans="1:158" x14ac:dyDescent="0.25">
      <c r="A8" s="38"/>
      <c r="B8" s="220">
        <v>1</v>
      </c>
      <c r="C8" s="105" t="s">
        <v>656</v>
      </c>
      <c r="D8" s="11"/>
      <c r="E8" s="306" t="str">
        <f t="shared" ref="E8:E15" si="0">IFERROR(_xlfn.XLOOKUP($D8,$C$28:$C$30,$D$28:$D$30),"")</f>
        <v/>
      </c>
      <c r="F8" s="305" t="str">
        <f t="shared" ref="F8:F15" si="1">IFERROR(_xlfn.XLOOKUP(D8,$C$28:$C$30,$E$28:$E$30),"")</f>
        <v/>
      </c>
      <c r="G8" s="11"/>
      <c r="H8" s="12"/>
      <c r="I8" s="12"/>
      <c r="J8" s="11"/>
      <c r="K8" s="11"/>
      <c r="L8" s="406" t="str">
        <f t="shared" ref="L8:L15" si="2">IFERROR(E8*K8,"")</f>
        <v/>
      </c>
      <c r="M8" s="407" t="str">
        <f t="shared" ref="M8:M15" si="3">IFERROR(F8*K8,"")</f>
        <v/>
      </c>
      <c r="N8" s="407" t="str">
        <f t="shared" ref="N8:N15" si="4">IFERROR(M8*$D$20,"")</f>
        <v/>
      </c>
      <c r="O8" s="39">
        <f>IFERROR(K8*50*'Project Summary'!$M$12, 0)</f>
        <v>0</v>
      </c>
      <c r="P8" s="10"/>
      <c r="Q8" s="5"/>
      <c r="R8" s="38"/>
    </row>
    <row r="9" spans="1:158" x14ac:dyDescent="0.25">
      <c r="A9" s="38"/>
      <c r="B9" s="220">
        <v>2</v>
      </c>
      <c r="C9" s="105" t="s">
        <v>656</v>
      </c>
      <c r="D9" s="11"/>
      <c r="E9" s="306" t="str">
        <f t="shared" si="0"/>
        <v/>
      </c>
      <c r="F9" s="305" t="str">
        <f t="shared" si="1"/>
        <v/>
      </c>
      <c r="G9" s="11"/>
      <c r="H9" s="12"/>
      <c r="I9" s="12"/>
      <c r="J9" s="11"/>
      <c r="K9" s="11"/>
      <c r="L9" s="406" t="str">
        <f t="shared" si="2"/>
        <v/>
      </c>
      <c r="M9" s="407" t="str">
        <f t="shared" si="3"/>
        <v/>
      </c>
      <c r="N9" s="407" t="str">
        <f t="shared" si="4"/>
        <v/>
      </c>
      <c r="O9" s="39">
        <f>IFERROR(K9*50*'Project Summary'!$M$12, 0)</f>
        <v>0</v>
      </c>
      <c r="P9" s="10"/>
      <c r="Q9" s="5"/>
      <c r="R9" s="38"/>
    </row>
    <row r="10" spans="1:158" x14ac:dyDescent="0.25">
      <c r="A10" s="38"/>
      <c r="B10" s="220">
        <v>3</v>
      </c>
      <c r="C10" s="105" t="s">
        <v>656</v>
      </c>
      <c r="D10" s="11"/>
      <c r="E10" s="306" t="str">
        <f t="shared" si="0"/>
        <v/>
      </c>
      <c r="F10" s="305" t="str">
        <f t="shared" si="1"/>
        <v/>
      </c>
      <c r="G10" s="11"/>
      <c r="H10" s="12"/>
      <c r="I10" s="12"/>
      <c r="J10" s="11"/>
      <c r="K10" s="11"/>
      <c r="L10" s="406" t="str">
        <f t="shared" si="2"/>
        <v/>
      </c>
      <c r="M10" s="407" t="str">
        <f t="shared" si="3"/>
        <v/>
      </c>
      <c r="N10" s="407" t="str">
        <f t="shared" si="4"/>
        <v/>
      </c>
      <c r="O10" s="39">
        <f>IFERROR(K10*50*'Project Summary'!$M$12, 0)</f>
        <v>0</v>
      </c>
      <c r="P10" s="10"/>
      <c r="Q10" s="5"/>
      <c r="R10" s="38"/>
    </row>
    <row r="11" spans="1:158" x14ac:dyDescent="0.25">
      <c r="A11" s="38"/>
      <c r="B11" s="220">
        <v>4</v>
      </c>
      <c r="C11" s="105" t="s">
        <v>656</v>
      </c>
      <c r="D11" s="11"/>
      <c r="E11" s="306" t="str">
        <f t="shared" si="0"/>
        <v/>
      </c>
      <c r="F11" s="305" t="str">
        <f t="shared" si="1"/>
        <v/>
      </c>
      <c r="G11" s="11"/>
      <c r="H11" s="12"/>
      <c r="I11" s="12"/>
      <c r="J11" s="11"/>
      <c r="K11" s="11"/>
      <c r="L11" s="406" t="str">
        <f t="shared" si="2"/>
        <v/>
      </c>
      <c r="M11" s="407" t="str">
        <f t="shared" si="3"/>
        <v/>
      </c>
      <c r="N11" s="407" t="str">
        <f t="shared" si="4"/>
        <v/>
      </c>
      <c r="O11" s="39">
        <f>IFERROR(K11*50*'Project Summary'!$M$12, 0)</f>
        <v>0</v>
      </c>
      <c r="P11" s="10"/>
      <c r="Q11" s="5"/>
      <c r="R11" s="38"/>
    </row>
    <row r="12" spans="1:158" x14ac:dyDescent="0.25">
      <c r="A12" s="38"/>
      <c r="B12" s="220">
        <v>5</v>
      </c>
      <c r="C12" s="105" t="s">
        <v>656</v>
      </c>
      <c r="D12" s="11"/>
      <c r="E12" s="306" t="str">
        <f t="shared" si="0"/>
        <v/>
      </c>
      <c r="F12" s="305" t="str">
        <f t="shared" si="1"/>
        <v/>
      </c>
      <c r="G12" s="11"/>
      <c r="H12" s="12"/>
      <c r="I12" s="12"/>
      <c r="J12" s="11"/>
      <c r="K12" s="11"/>
      <c r="L12" s="406" t="str">
        <f t="shared" si="2"/>
        <v/>
      </c>
      <c r="M12" s="407" t="str">
        <f t="shared" si="3"/>
        <v/>
      </c>
      <c r="N12" s="407" t="str">
        <f t="shared" si="4"/>
        <v/>
      </c>
      <c r="O12" s="39">
        <f>IFERROR(K12*50*'Project Summary'!$M$12, 0)</f>
        <v>0</v>
      </c>
      <c r="P12" s="10"/>
      <c r="Q12" s="5"/>
      <c r="R12" s="38"/>
    </row>
    <row r="13" spans="1:158" x14ac:dyDescent="0.25">
      <c r="A13" s="38"/>
      <c r="B13" s="220">
        <v>6</v>
      </c>
      <c r="C13" s="105" t="s">
        <v>656</v>
      </c>
      <c r="D13" s="11"/>
      <c r="E13" s="306" t="str">
        <f t="shared" si="0"/>
        <v/>
      </c>
      <c r="F13" s="305" t="str">
        <f t="shared" si="1"/>
        <v/>
      </c>
      <c r="G13" s="11"/>
      <c r="H13" s="12"/>
      <c r="I13" s="12"/>
      <c r="J13" s="11"/>
      <c r="K13" s="11"/>
      <c r="L13" s="406" t="str">
        <f t="shared" si="2"/>
        <v/>
      </c>
      <c r="M13" s="407" t="str">
        <f t="shared" si="3"/>
        <v/>
      </c>
      <c r="N13" s="407" t="str">
        <f t="shared" si="4"/>
        <v/>
      </c>
      <c r="O13" s="39">
        <f>IFERROR(K13*50*'Project Summary'!$M$12, 0)</f>
        <v>0</v>
      </c>
      <c r="P13" s="10"/>
      <c r="Q13" s="5"/>
      <c r="R13" s="38"/>
    </row>
    <row r="14" spans="1:158" x14ac:dyDescent="0.25">
      <c r="A14" s="38"/>
      <c r="B14" s="220">
        <v>7</v>
      </c>
      <c r="C14" s="105" t="s">
        <v>656</v>
      </c>
      <c r="D14" s="11"/>
      <c r="E14" s="306" t="str">
        <f t="shared" si="0"/>
        <v/>
      </c>
      <c r="F14" s="305" t="str">
        <f t="shared" si="1"/>
        <v/>
      </c>
      <c r="G14" s="11"/>
      <c r="H14" s="12"/>
      <c r="I14" s="12"/>
      <c r="J14" s="11"/>
      <c r="K14" s="11"/>
      <c r="L14" s="406" t="str">
        <f t="shared" si="2"/>
        <v/>
      </c>
      <c r="M14" s="407" t="str">
        <f t="shared" si="3"/>
        <v/>
      </c>
      <c r="N14" s="407" t="str">
        <f t="shared" si="4"/>
        <v/>
      </c>
      <c r="O14" s="39">
        <f>IFERROR(K14*50*'Project Summary'!$M$12, 0)</f>
        <v>0</v>
      </c>
      <c r="P14" s="10"/>
      <c r="Q14" s="5"/>
      <c r="R14" s="38"/>
      <c r="U14" s="139"/>
      <c r="V14" s="139"/>
      <c r="W14" s="139"/>
      <c r="X14" s="139"/>
      <c r="Y14" s="139"/>
      <c r="Z14" s="139"/>
      <c r="AA14" s="139"/>
      <c r="AB14" s="139"/>
      <c r="AC14" s="139"/>
    </row>
    <row r="15" spans="1:158" x14ac:dyDescent="0.25">
      <c r="A15" s="38"/>
      <c r="B15" s="220">
        <v>8</v>
      </c>
      <c r="C15" s="105" t="s">
        <v>656</v>
      </c>
      <c r="D15" s="11"/>
      <c r="E15" s="306" t="str">
        <f t="shared" si="0"/>
        <v/>
      </c>
      <c r="F15" s="305" t="str">
        <f t="shared" si="1"/>
        <v/>
      </c>
      <c r="G15" s="11"/>
      <c r="H15" s="12"/>
      <c r="I15" s="12"/>
      <c r="J15" s="11"/>
      <c r="K15" s="11"/>
      <c r="L15" s="406" t="str">
        <f t="shared" si="2"/>
        <v/>
      </c>
      <c r="M15" s="407" t="str">
        <f t="shared" si="3"/>
        <v/>
      </c>
      <c r="N15" s="407" t="str">
        <f t="shared" si="4"/>
        <v/>
      </c>
      <c r="O15" s="39">
        <f>IFERROR(K15*50*'Project Summary'!$M$12, 0)</f>
        <v>0</v>
      </c>
      <c r="P15" s="10"/>
      <c r="Q15" s="5"/>
      <c r="R15" s="38"/>
    </row>
    <row r="16" spans="1:158" hidden="1" x14ac:dyDescent="0.25">
      <c r="A16" s="27"/>
      <c r="B16" s="33"/>
      <c r="C16" s="121"/>
      <c r="D16" s="121"/>
      <c r="E16" s="121"/>
      <c r="F16" s="121"/>
      <c r="G16" s="121"/>
      <c r="H16" s="121"/>
      <c r="I16" s="161"/>
      <c r="J16" s="161"/>
      <c r="K16" s="161">
        <f>SUM(K8:K15)</f>
        <v>0</v>
      </c>
      <c r="L16" s="161">
        <f>SUM(L8:L15)</f>
        <v>0</v>
      </c>
      <c r="M16" s="161">
        <f>SUM(M8:M15)</f>
        <v>0</v>
      </c>
      <c r="N16" s="161">
        <f>SUM(N8:N15)</f>
        <v>0</v>
      </c>
      <c r="O16" s="161">
        <f>SUM(O8:O15)</f>
        <v>0</v>
      </c>
      <c r="P16" s="288"/>
      <c r="Q16" s="288"/>
      <c r="R16" s="287"/>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row>
    <row r="17" spans="1:158" hidden="1" x14ac:dyDescent="0.25">
      <c r="A17" s="27"/>
      <c r="C17" s="566" t="s">
        <v>117</v>
      </c>
      <c r="D17" s="567"/>
      <c r="E17" s="567"/>
      <c r="F17" s="567"/>
      <c r="G17" s="567"/>
      <c r="H17" s="567"/>
      <c r="I17" s="567"/>
      <c r="J17" s="567"/>
      <c r="K17" s="567"/>
      <c r="L17" s="567"/>
      <c r="M17" s="567"/>
      <c r="N17" s="567"/>
      <c r="O17" s="567"/>
      <c r="P17" s="567"/>
      <c r="Q17" s="568"/>
      <c r="R17" s="38"/>
    </row>
    <row r="18" spans="1:158" hidden="1" x14ac:dyDescent="0.25">
      <c r="A18" s="27"/>
      <c r="L18" s="139"/>
      <c r="M18" s="139"/>
      <c r="N18" s="139"/>
      <c r="O18" s="139"/>
      <c r="P18" s="139"/>
      <c r="Q18" s="139"/>
      <c r="R18" s="283"/>
      <c r="S18" s="139"/>
      <c r="T18" s="139"/>
      <c r="U18" s="139"/>
      <c r="V18" s="139"/>
      <c r="W18" s="139"/>
      <c r="X18" s="139"/>
      <c r="Y18" s="139"/>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row>
    <row r="19" spans="1:158" hidden="1" x14ac:dyDescent="0.25">
      <c r="A19" s="27"/>
      <c r="C19" s="223" t="s">
        <v>631</v>
      </c>
      <c r="D19" s="223" t="s">
        <v>388</v>
      </c>
      <c r="E19" s="281"/>
      <c r="F19" s="281"/>
      <c r="G19" s="281"/>
      <c r="L19" s="124"/>
      <c r="M19" s="229"/>
      <c r="N19" s="229"/>
      <c r="O19" s="124"/>
      <c r="P19" s="229"/>
      <c r="Q19" s="124"/>
      <c r="R19" s="282"/>
      <c r="S19" s="229"/>
      <c r="T19" s="229"/>
      <c r="U19" s="229"/>
      <c r="V19" s="229"/>
      <c r="W19" s="229"/>
      <c r="X19" s="229"/>
      <c r="Y19" s="22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idden="1" x14ac:dyDescent="0.25">
      <c r="A20" s="27"/>
      <c r="C20" s="4" t="s">
        <v>93</v>
      </c>
      <c r="D20" s="4">
        <v>1</v>
      </c>
      <c r="L20" s="33"/>
      <c r="M20" s="35"/>
      <c r="N20" s="35"/>
      <c r="O20" s="219"/>
      <c r="P20" s="33"/>
      <c r="Q20" s="33"/>
      <c r="R20" s="280"/>
      <c r="S20" s="126"/>
      <c r="T20" s="126"/>
      <c r="U20" s="126"/>
      <c r="V20" s="126"/>
      <c r="W20" s="126"/>
      <c r="X20" s="126"/>
      <c r="Y20" s="126"/>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row>
    <row r="21" spans="1:158" hidden="1" x14ac:dyDescent="0.25">
      <c r="A21" s="27"/>
      <c r="C21" s="4" t="s">
        <v>346</v>
      </c>
      <c r="D21" s="4">
        <v>24</v>
      </c>
      <c r="L21" s="33"/>
      <c r="M21" s="35"/>
      <c r="N21" s="35"/>
      <c r="O21" s="219"/>
      <c r="P21" s="33"/>
      <c r="Q21" s="33"/>
      <c r="R21" s="280"/>
      <c r="S21" s="126"/>
      <c r="T21" s="126"/>
      <c r="U21" s="126"/>
      <c r="V21" s="126"/>
      <c r="W21" s="126"/>
      <c r="X21" s="126"/>
      <c r="Y21" s="126"/>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row>
    <row r="22" spans="1:158" hidden="1" x14ac:dyDescent="0.25">
      <c r="A22" s="27"/>
      <c r="C22" s="4" t="s">
        <v>630</v>
      </c>
      <c r="D22" s="4">
        <v>365.25</v>
      </c>
      <c r="L22" s="33"/>
      <c r="M22" s="35"/>
      <c r="N22" s="35"/>
      <c r="O22" s="219"/>
      <c r="P22" s="33"/>
      <c r="Q22" s="33"/>
      <c r="R22" s="280"/>
      <c r="S22" s="126"/>
      <c r="T22" s="126"/>
      <c r="U22" s="126"/>
      <c r="V22" s="126"/>
      <c r="W22" s="126"/>
      <c r="X22" s="126"/>
      <c r="Y22" s="126"/>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row>
    <row r="23" spans="1:158" hidden="1" x14ac:dyDescent="0.25">
      <c r="A23" s="27"/>
      <c r="C23" s="4" t="s">
        <v>629</v>
      </c>
      <c r="D23" s="4">
        <v>8</v>
      </c>
      <c r="N23" s="35"/>
      <c r="O23" s="219"/>
      <c r="P23" s="33"/>
      <c r="Q23" s="33"/>
      <c r="R23" s="280"/>
      <c r="S23" s="126"/>
      <c r="T23" s="126"/>
      <c r="U23" s="126"/>
      <c r="V23" s="126"/>
      <c r="W23" s="126"/>
      <c r="X23" s="126"/>
      <c r="Y23" s="126"/>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row>
    <row r="24" spans="1:158" hidden="1" x14ac:dyDescent="0.25">
      <c r="A24" s="27"/>
      <c r="C24" s="4" t="s">
        <v>628</v>
      </c>
      <c r="D24" s="285">
        <f>0.05*'Project Summary'!M12</f>
        <v>2.5000000000000001E-2</v>
      </c>
      <c r="E24" s="300"/>
      <c r="F24" s="300"/>
      <c r="N24" s="35"/>
      <c r="O24" s="219"/>
      <c r="P24" s="33"/>
      <c r="Q24" s="33"/>
      <c r="R24" s="280"/>
      <c r="S24" s="126"/>
      <c r="T24" s="126"/>
      <c r="U24" s="126"/>
      <c r="V24" s="126"/>
      <c r="W24" s="126"/>
      <c r="X24" s="126"/>
      <c r="Y24" s="126"/>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row>
    <row r="25" spans="1:158" hidden="1" x14ac:dyDescent="0.25">
      <c r="A25" s="27"/>
      <c r="C25" s="4" t="s">
        <v>627</v>
      </c>
      <c r="D25" s="285">
        <f>150*'Project Summary'!M12</f>
        <v>75</v>
      </c>
      <c r="E25" s="300"/>
      <c r="F25" s="300"/>
      <c r="N25" s="35"/>
      <c r="O25" s="219"/>
      <c r="P25" s="33"/>
      <c r="Q25" s="33"/>
      <c r="R25" s="280"/>
      <c r="S25" s="126"/>
      <c r="T25" s="126"/>
      <c r="U25" s="126"/>
      <c r="V25" s="126"/>
      <c r="W25" s="126"/>
      <c r="X25" s="126"/>
      <c r="Y25" s="126"/>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row>
    <row r="26" spans="1:158" hidden="1" x14ac:dyDescent="0.25">
      <c r="A26" s="27"/>
      <c r="L26" s="33"/>
      <c r="M26" s="35"/>
      <c r="N26" s="35"/>
      <c r="O26" s="219"/>
      <c r="P26" s="33"/>
      <c r="Q26" s="33"/>
      <c r="R26" s="280"/>
      <c r="S26" s="126"/>
      <c r="T26" s="126"/>
      <c r="U26" s="126"/>
      <c r="V26" s="126"/>
      <c r="W26" s="126"/>
      <c r="X26" s="126"/>
      <c r="Y26" s="1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row>
    <row r="27" spans="1:158" hidden="1" x14ac:dyDescent="0.25">
      <c r="A27" s="27"/>
      <c r="C27" s="221" t="s">
        <v>361</v>
      </c>
      <c r="D27" s="223" t="s">
        <v>655</v>
      </c>
      <c r="E27" s="223" t="s">
        <v>654</v>
      </c>
      <c r="L27" s="33"/>
      <c r="M27" s="35"/>
      <c r="N27" s="35"/>
      <c r="O27" s="219"/>
      <c r="P27" s="33"/>
      <c r="Q27" s="33"/>
      <c r="R27" s="280"/>
      <c r="S27" s="126"/>
      <c r="T27" s="126"/>
      <c r="U27" s="126"/>
      <c r="V27" s="126"/>
      <c r="W27" s="126"/>
      <c r="X27" s="126"/>
      <c r="Y27" s="126"/>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row>
    <row r="28" spans="1:158" hidden="1" x14ac:dyDescent="0.25">
      <c r="A28" s="27"/>
      <c r="C28" s="77" t="s">
        <v>390</v>
      </c>
      <c r="D28" s="5">
        <v>737</v>
      </c>
      <c r="E28" s="5">
        <v>0.46300000000000002</v>
      </c>
      <c r="F28" s="572"/>
      <c r="G28" s="572"/>
      <c r="H28" s="573"/>
      <c r="I28" s="573"/>
      <c r="L28" s="33"/>
      <c r="M28" s="35"/>
      <c r="N28" s="35"/>
      <c r="O28" s="219"/>
      <c r="P28" s="33"/>
      <c r="Q28" s="33"/>
      <c r="R28" s="280"/>
      <c r="S28" s="126"/>
      <c r="T28" s="126"/>
      <c r="U28" s="126"/>
      <c r="V28" s="126"/>
      <c r="W28" s="126"/>
      <c r="X28" s="126"/>
      <c r="Y28" s="126"/>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row>
    <row r="29" spans="1:158" hidden="1" x14ac:dyDescent="0.25">
      <c r="A29" s="27"/>
      <c r="C29" s="296" t="s">
        <v>395</v>
      </c>
      <c r="D29" s="304">
        <v>1997</v>
      </c>
      <c r="E29" s="23">
        <v>0.48799999999999999</v>
      </c>
      <c r="F29" s="124"/>
      <c r="G29" s="303"/>
      <c r="H29" s="281"/>
      <c r="I29" s="281"/>
      <c r="L29" s="33"/>
      <c r="M29" s="35"/>
      <c r="N29" s="35"/>
      <c r="O29" s="219"/>
      <c r="P29" s="33"/>
      <c r="Q29" s="33"/>
      <c r="R29" s="280"/>
      <c r="S29" s="126"/>
      <c r="T29" s="126"/>
      <c r="U29" s="126"/>
      <c r="V29" s="126"/>
      <c r="W29" s="126"/>
      <c r="X29" s="126"/>
      <c r="Y29" s="126"/>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row>
    <row r="30" spans="1:158" hidden="1" x14ac:dyDescent="0.25">
      <c r="A30" s="27"/>
      <c r="C30" s="77" t="s">
        <v>355</v>
      </c>
      <c r="D30" s="5">
        <v>737</v>
      </c>
      <c r="E30" s="5">
        <v>0.46300000000000002</v>
      </c>
      <c r="L30" s="33"/>
      <c r="M30" s="35"/>
      <c r="N30" s="35"/>
      <c r="O30" s="219"/>
      <c r="P30" s="33"/>
      <c r="Q30" s="33"/>
      <c r="R30" s="280"/>
      <c r="S30" s="126"/>
      <c r="T30" s="126"/>
      <c r="U30" s="126"/>
      <c r="V30" s="126"/>
      <c r="W30" s="126"/>
      <c r="X30" s="126"/>
      <c r="Y30" s="126"/>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row>
    <row r="31" spans="1:158" hidden="1" x14ac:dyDescent="0.25">
      <c r="A31" s="27"/>
      <c r="F31" s="219"/>
      <c r="G31" s="219"/>
      <c r="L31" s="33"/>
      <c r="M31" s="35"/>
      <c r="N31" s="35"/>
      <c r="O31" s="219"/>
      <c r="P31" s="33"/>
      <c r="Q31" s="33"/>
      <c r="R31" s="280"/>
      <c r="S31" s="126"/>
      <c r="T31" s="126"/>
      <c r="U31" s="126"/>
      <c r="V31" s="126"/>
      <c r="W31" s="126"/>
      <c r="X31" s="126"/>
      <c r="Y31" s="126"/>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row>
    <row r="32" spans="1:158" hidden="1" x14ac:dyDescent="0.25">
      <c r="A32" s="27"/>
      <c r="L32" s="139"/>
      <c r="M32" s="139"/>
      <c r="N32" s="139"/>
      <c r="O32" s="139"/>
      <c r="P32" s="139"/>
      <c r="Q32" s="139"/>
      <c r="R32" s="283"/>
      <c r="S32" s="139"/>
      <c r="T32" s="139"/>
      <c r="U32" s="139"/>
      <c r="V32" s="139"/>
      <c r="W32" s="139"/>
      <c r="X32" s="139"/>
      <c r="Y32" s="139"/>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row>
    <row r="33" spans="1:158" hidden="1" x14ac:dyDescent="0.25">
      <c r="A33" s="27"/>
      <c r="L33" s="124"/>
      <c r="M33" s="229"/>
      <c r="N33" s="229"/>
      <c r="O33" s="124"/>
      <c r="P33" s="229"/>
      <c r="Q33" s="124"/>
      <c r="R33" s="282"/>
      <c r="S33" s="229"/>
      <c r="T33" s="229"/>
      <c r="U33" s="229"/>
      <c r="V33" s="229"/>
      <c r="W33" s="229"/>
      <c r="X33" s="229"/>
      <c r="Y33" s="229"/>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row>
    <row r="34" spans="1:158" hidden="1" x14ac:dyDescent="0.25">
      <c r="A34" s="27"/>
      <c r="C34" s="34"/>
      <c r="D34" s="34"/>
      <c r="E34" s="34"/>
      <c r="F34" s="34"/>
      <c r="G34" s="34"/>
      <c r="H34" s="34"/>
      <c r="L34" s="33"/>
      <c r="M34" s="35"/>
      <c r="N34" s="35"/>
      <c r="O34" s="219"/>
      <c r="P34" s="33"/>
      <c r="Q34" s="33"/>
      <c r="R34" s="280"/>
      <c r="S34" s="126"/>
      <c r="T34" s="126"/>
      <c r="U34" s="126"/>
      <c r="V34" s="126"/>
      <c r="W34" s="126"/>
      <c r="X34" s="126"/>
      <c r="Y34" s="126"/>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row>
    <row r="35" spans="1:158" s="82" customFormat="1" x14ac:dyDescent="0.25">
      <c r="A35" s="83"/>
      <c r="B35" s="83"/>
      <c r="C35" s="83"/>
      <c r="D35" s="83"/>
      <c r="E35" s="83"/>
      <c r="F35" s="83"/>
      <c r="G35" s="83"/>
      <c r="H35" s="83"/>
      <c r="I35" s="83"/>
      <c r="J35" s="83"/>
      <c r="K35" s="83"/>
      <c r="L35" s="83"/>
      <c r="M35" s="83"/>
      <c r="N35" s="83"/>
      <c r="O35" s="83"/>
      <c r="P35" s="83"/>
      <c r="Q35" s="83"/>
      <c r="R35" s="38"/>
      <c r="S35"/>
      <c r="T35"/>
      <c r="U35"/>
      <c r="V35"/>
      <c r="W35"/>
      <c r="X35"/>
      <c r="Y35"/>
      <c r="Z35"/>
      <c r="AA35"/>
      <c r="AB35"/>
      <c r="AC35"/>
    </row>
    <row r="36" spans="1:158" s="82" customFormat="1" x14ac:dyDescent="0.25">
      <c r="A36" s="83"/>
      <c r="B36" s="83"/>
      <c r="C36" s="83"/>
      <c r="D36" s="83"/>
      <c r="E36" s="83"/>
      <c r="F36" s="83"/>
      <c r="G36" s="83"/>
      <c r="H36" s="83"/>
      <c r="I36" s="83"/>
      <c r="J36" s="83"/>
      <c r="K36" s="83"/>
      <c r="L36" s="83"/>
      <c r="M36" s="83"/>
      <c r="N36" s="83"/>
      <c r="O36" s="83"/>
      <c r="P36" s="83"/>
      <c r="Q36" s="83"/>
      <c r="R36" s="38"/>
      <c r="S36"/>
      <c r="T36"/>
      <c r="U36"/>
      <c r="V36"/>
      <c r="W36"/>
      <c r="X36"/>
      <c r="Y36"/>
      <c r="Z36"/>
      <c r="AA36"/>
      <c r="AB36"/>
      <c r="AC36"/>
    </row>
    <row r="37" spans="1:158" s="82" customFormat="1" x14ac:dyDescent="0.25">
      <c r="A37"/>
      <c r="B37"/>
      <c r="C37"/>
      <c r="D37"/>
      <c r="E37"/>
      <c r="F37"/>
      <c r="G37"/>
      <c r="H37"/>
      <c r="I37"/>
      <c r="J37"/>
      <c r="K37"/>
      <c r="L37"/>
      <c r="M37"/>
      <c r="N37"/>
      <c r="O37"/>
      <c r="P37"/>
      <c r="Q37"/>
      <c r="R37"/>
      <c r="S37"/>
      <c r="T37"/>
      <c r="U37"/>
      <c r="V37"/>
      <c r="W37"/>
      <c r="X37"/>
      <c r="Y37"/>
      <c r="Z37"/>
      <c r="AA37"/>
      <c r="AB37"/>
      <c r="AC37"/>
    </row>
    <row r="38" spans="1:158" s="82" customFormat="1" x14ac:dyDescent="0.25">
      <c r="A38"/>
      <c r="B38"/>
      <c r="C38"/>
      <c r="D38"/>
      <c r="E38"/>
      <c r="F38"/>
      <c r="G38"/>
      <c r="H38"/>
      <c r="I38"/>
      <c r="J38"/>
      <c r="K38"/>
      <c r="L38"/>
      <c r="M38"/>
      <c r="N38"/>
      <c r="O38"/>
      <c r="P38"/>
      <c r="Q38"/>
      <c r="R38"/>
      <c r="S38"/>
      <c r="T38"/>
      <c r="U38"/>
      <c r="V38"/>
      <c r="W38"/>
      <c r="X38"/>
      <c r="Y38"/>
      <c r="Z38"/>
      <c r="AA38"/>
      <c r="AB38"/>
      <c r="AC38"/>
    </row>
    <row r="39" spans="1:158" s="82" customFormat="1" x14ac:dyDescent="0.25">
      <c r="A39"/>
      <c r="B39"/>
      <c r="C39"/>
      <c r="D39"/>
      <c r="E39"/>
      <c r="F39"/>
      <c r="G39"/>
      <c r="H39"/>
      <c r="I39"/>
      <c r="J39"/>
      <c r="K39"/>
      <c r="L39"/>
      <c r="M39"/>
      <c r="N39"/>
      <c r="O39"/>
      <c r="P39"/>
      <c r="Q39"/>
      <c r="R39"/>
      <c r="S39"/>
      <c r="T39"/>
      <c r="U39"/>
      <c r="V39"/>
      <c r="W39"/>
      <c r="X39"/>
      <c r="Y39"/>
      <c r="Z39"/>
      <c r="AA39"/>
      <c r="AB39"/>
      <c r="AC39"/>
    </row>
    <row r="40" spans="1:158" s="82" customFormat="1" x14ac:dyDescent="0.25">
      <c r="A40"/>
      <c r="B40"/>
      <c r="C40"/>
      <c r="D40"/>
      <c r="E40"/>
      <c r="F40"/>
      <c r="G40"/>
      <c r="H40"/>
      <c r="I40"/>
      <c r="J40"/>
      <c r="K40"/>
      <c r="L40"/>
      <c r="M40"/>
      <c r="N40"/>
      <c r="O40"/>
      <c r="P40"/>
      <c r="Q40"/>
      <c r="R40"/>
      <c r="S40"/>
      <c r="T40"/>
      <c r="U40"/>
      <c r="V40"/>
      <c r="W40"/>
      <c r="X40"/>
      <c r="Y40"/>
      <c r="Z40"/>
      <c r="AA40"/>
      <c r="AB40"/>
      <c r="AC40"/>
    </row>
    <row r="41" spans="1:158" s="82" customFormat="1" x14ac:dyDescent="0.25">
      <c r="A41"/>
      <c r="B41"/>
      <c r="C41"/>
      <c r="D41"/>
      <c r="E41"/>
      <c r="F41"/>
      <c r="G41"/>
      <c r="H41"/>
      <c r="I41"/>
      <c r="J41"/>
      <c r="K41"/>
      <c r="L41"/>
      <c r="M41"/>
      <c r="N41"/>
      <c r="O41"/>
      <c r="P41"/>
      <c r="Q41"/>
      <c r="R41"/>
      <c r="S41"/>
      <c r="T41"/>
      <c r="U41"/>
      <c r="V41"/>
      <c r="W41"/>
      <c r="X41"/>
      <c r="Y41"/>
      <c r="Z41"/>
      <c r="AA41"/>
      <c r="AB41"/>
      <c r="AC41"/>
    </row>
    <row r="42" spans="1:158" s="82" customFormat="1" x14ac:dyDescent="0.25">
      <c r="A42"/>
      <c r="B42"/>
      <c r="C42"/>
      <c r="D42"/>
      <c r="E42"/>
      <c r="F42"/>
      <c r="G42"/>
      <c r="H42"/>
      <c r="I42"/>
      <c r="J42"/>
      <c r="K42"/>
      <c r="L42"/>
      <c r="M42"/>
      <c r="N42"/>
      <c r="O42"/>
      <c r="P42"/>
      <c r="Q42"/>
      <c r="R42"/>
      <c r="S42"/>
      <c r="T42"/>
      <c r="U42"/>
      <c r="V42"/>
      <c r="W42"/>
      <c r="X42"/>
      <c r="Y42"/>
      <c r="Z42"/>
      <c r="AA42"/>
      <c r="AB42"/>
      <c r="AC42"/>
    </row>
    <row r="43" spans="1:158" s="82" customFormat="1" x14ac:dyDescent="0.25">
      <c r="A43"/>
      <c r="B43"/>
      <c r="C43"/>
      <c r="D43"/>
      <c r="E43"/>
      <c r="F43"/>
      <c r="G43"/>
      <c r="H43"/>
      <c r="I43"/>
      <c r="J43"/>
      <c r="K43"/>
      <c r="L43"/>
      <c r="M43"/>
      <c r="N43"/>
      <c r="O43"/>
      <c r="P43"/>
      <c r="Q43"/>
      <c r="R43"/>
      <c r="S43"/>
      <c r="T43"/>
      <c r="U43"/>
      <c r="V43"/>
      <c r="W43"/>
      <c r="X43"/>
      <c r="Y43"/>
      <c r="Z43"/>
      <c r="AA43"/>
      <c r="AB43"/>
      <c r="AC43"/>
    </row>
    <row r="44" spans="1:158" s="82" customFormat="1" x14ac:dyDescent="0.25">
      <c r="A44"/>
      <c r="B44"/>
      <c r="C44"/>
      <c r="D44"/>
      <c r="E44"/>
      <c r="F44"/>
      <c r="G44"/>
      <c r="H44"/>
      <c r="I44"/>
      <c r="J44"/>
      <c r="K44"/>
      <c r="L44"/>
      <c r="M44"/>
      <c r="N44"/>
      <c r="O44"/>
      <c r="P44"/>
      <c r="Q44"/>
      <c r="R44"/>
      <c r="S44"/>
      <c r="T44"/>
      <c r="U44"/>
      <c r="V44"/>
      <c r="W44"/>
      <c r="X44"/>
      <c r="Y44"/>
      <c r="Z44"/>
      <c r="AA44"/>
      <c r="AB44"/>
      <c r="AC44"/>
    </row>
    <row r="45" spans="1:158" s="82" customFormat="1" x14ac:dyDescent="0.25">
      <c r="A45"/>
      <c r="B45"/>
      <c r="C45"/>
      <c r="D45"/>
      <c r="E45"/>
      <c r="F45"/>
      <c r="G45"/>
      <c r="H45"/>
      <c r="I45"/>
      <c r="J45"/>
      <c r="K45"/>
      <c r="L45"/>
      <c r="M45"/>
      <c r="N45"/>
      <c r="O45"/>
      <c r="P45"/>
      <c r="Q45"/>
      <c r="R45"/>
      <c r="S45"/>
      <c r="T45"/>
      <c r="U45"/>
      <c r="V45"/>
      <c r="W45"/>
      <c r="X45"/>
      <c r="Y45"/>
      <c r="Z45"/>
      <c r="AA45"/>
      <c r="AB45"/>
      <c r="AC45"/>
    </row>
    <row r="46" spans="1:158" s="82" customFormat="1" x14ac:dyDescent="0.25">
      <c r="A46"/>
      <c r="B46"/>
      <c r="C46"/>
      <c r="D46"/>
      <c r="E46"/>
      <c r="F46"/>
      <c r="G46"/>
      <c r="H46"/>
      <c r="I46"/>
      <c r="J46"/>
      <c r="K46"/>
      <c r="L46"/>
      <c r="M46"/>
      <c r="N46"/>
      <c r="O46"/>
      <c r="P46"/>
      <c r="Q46"/>
      <c r="R46"/>
      <c r="S46"/>
      <c r="T46"/>
      <c r="U46"/>
      <c r="V46"/>
      <c r="W46"/>
      <c r="X46"/>
      <c r="Y46"/>
      <c r="Z46"/>
      <c r="AA46"/>
      <c r="AB46"/>
      <c r="AC46"/>
    </row>
    <row r="47" spans="1:158" s="82" customFormat="1" x14ac:dyDescent="0.25">
      <c r="A47"/>
      <c r="B47"/>
      <c r="C47"/>
      <c r="D47"/>
      <c r="E47"/>
      <c r="F47"/>
      <c r="G47"/>
      <c r="H47"/>
      <c r="I47"/>
      <c r="J47"/>
      <c r="K47"/>
      <c r="L47"/>
      <c r="M47"/>
      <c r="N47"/>
      <c r="O47"/>
      <c r="P47"/>
      <c r="Q47"/>
      <c r="R47"/>
      <c r="S47"/>
      <c r="T47"/>
      <c r="U47"/>
      <c r="V47"/>
      <c r="W47"/>
      <c r="X47"/>
      <c r="Y47"/>
      <c r="Z47"/>
      <c r="AA47"/>
      <c r="AB47"/>
      <c r="AC47"/>
    </row>
    <row r="48" spans="1:158" s="82" customFormat="1" x14ac:dyDescent="0.25">
      <c r="A48"/>
      <c r="B48"/>
      <c r="C48"/>
      <c r="D48"/>
      <c r="E48"/>
      <c r="F48"/>
      <c r="G48"/>
      <c r="H48"/>
      <c r="I48"/>
      <c r="J48"/>
      <c r="K48"/>
      <c r="L48"/>
      <c r="M48"/>
      <c r="N48"/>
      <c r="O48"/>
      <c r="P48"/>
      <c r="Q48"/>
      <c r="R48"/>
      <c r="S48"/>
      <c r="T48"/>
      <c r="U48"/>
      <c r="V48"/>
      <c r="W48"/>
      <c r="X48"/>
      <c r="Y48"/>
      <c r="Z48"/>
      <c r="AA48"/>
      <c r="AB48"/>
      <c r="AC48"/>
    </row>
    <row r="49" spans="1:29" s="82" customFormat="1" x14ac:dyDescent="0.25">
      <c r="A49"/>
      <c r="B49"/>
      <c r="C49"/>
      <c r="D49"/>
      <c r="E49"/>
      <c r="F49"/>
      <c r="G49"/>
      <c r="H49"/>
      <c r="I49"/>
      <c r="J49"/>
      <c r="K49"/>
      <c r="L49"/>
      <c r="M49"/>
      <c r="N49"/>
      <c r="O49"/>
      <c r="P49"/>
      <c r="Q49"/>
      <c r="R49"/>
      <c r="S49"/>
      <c r="T49"/>
      <c r="U49"/>
      <c r="V49"/>
      <c r="W49"/>
      <c r="X49"/>
      <c r="Y49"/>
      <c r="Z49"/>
      <c r="AA49"/>
      <c r="AB49"/>
      <c r="AC49"/>
    </row>
    <row r="50" spans="1:29" s="82" customFormat="1" x14ac:dyDescent="0.25">
      <c r="A50"/>
      <c r="B50"/>
      <c r="C50"/>
      <c r="D50"/>
      <c r="E50"/>
      <c r="F50"/>
      <c r="G50"/>
      <c r="H50"/>
      <c r="I50"/>
      <c r="J50"/>
      <c r="K50"/>
      <c r="L50"/>
      <c r="M50"/>
      <c r="N50"/>
      <c r="O50"/>
      <c r="P50"/>
      <c r="Q50"/>
      <c r="R50"/>
      <c r="S50"/>
      <c r="T50"/>
      <c r="U50"/>
      <c r="V50"/>
      <c r="W50"/>
      <c r="X50"/>
      <c r="Y50"/>
      <c r="Z50"/>
      <c r="AA50"/>
      <c r="AB50"/>
      <c r="AC50"/>
    </row>
    <row r="51" spans="1:29" s="82" customFormat="1" x14ac:dyDescent="0.25">
      <c r="A51"/>
      <c r="B51"/>
      <c r="C51"/>
      <c r="D51"/>
      <c r="E51"/>
      <c r="F51"/>
      <c r="G51"/>
      <c r="H51"/>
      <c r="I51"/>
      <c r="J51"/>
      <c r="K51"/>
      <c r="L51"/>
      <c r="M51"/>
      <c r="N51"/>
      <c r="O51"/>
      <c r="P51"/>
      <c r="Q51"/>
      <c r="R51"/>
      <c r="S51"/>
      <c r="T51"/>
      <c r="U51"/>
      <c r="V51"/>
      <c r="W51"/>
      <c r="X51"/>
      <c r="Y51"/>
      <c r="Z51"/>
      <c r="AA51"/>
      <c r="AB51"/>
      <c r="AC51"/>
    </row>
    <row r="52" spans="1:29" s="82" customFormat="1" x14ac:dyDescent="0.25">
      <c r="A52"/>
      <c r="B52"/>
      <c r="C52"/>
      <c r="D52"/>
      <c r="E52"/>
      <c r="F52"/>
      <c r="G52"/>
      <c r="H52"/>
      <c r="I52"/>
      <c r="J52"/>
      <c r="K52"/>
      <c r="L52"/>
      <c r="M52"/>
      <c r="N52"/>
      <c r="O52"/>
      <c r="P52"/>
      <c r="Q52"/>
      <c r="R52"/>
      <c r="S52"/>
      <c r="T52"/>
      <c r="U52"/>
      <c r="V52"/>
      <c r="W52"/>
      <c r="X52"/>
      <c r="Y52"/>
      <c r="Z52"/>
      <c r="AA52"/>
      <c r="AB52"/>
      <c r="AC52"/>
    </row>
    <row r="53" spans="1:29" s="82" customFormat="1" x14ac:dyDescent="0.25">
      <c r="A53"/>
      <c r="B53"/>
      <c r="C53"/>
      <c r="D53"/>
      <c r="E53"/>
      <c r="F53"/>
      <c r="G53"/>
      <c r="H53"/>
      <c r="I53"/>
      <c r="J53"/>
      <c r="K53"/>
      <c r="L53"/>
      <c r="M53"/>
      <c r="N53"/>
      <c r="O53"/>
      <c r="P53"/>
      <c r="Q53"/>
      <c r="R53"/>
      <c r="S53"/>
      <c r="T53"/>
      <c r="U53"/>
      <c r="V53"/>
      <c r="W53"/>
      <c r="X53"/>
      <c r="Y53"/>
      <c r="Z53"/>
      <c r="AA53"/>
      <c r="AB53"/>
      <c r="AC53"/>
    </row>
    <row r="54" spans="1:29" s="82" customFormat="1" x14ac:dyDescent="0.25">
      <c r="A54"/>
      <c r="B54"/>
      <c r="C54"/>
      <c r="D54"/>
      <c r="E54"/>
      <c r="F54"/>
      <c r="G54"/>
      <c r="H54"/>
      <c r="I54"/>
      <c r="J54"/>
      <c r="K54"/>
      <c r="L54"/>
      <c r="M54"/>
      <c r="N54"/>
      <c r="O54"/>
      <c r="P54"/>
      <c r="Q54"/>
      <c r="R54"/>
      <c r="S54"/>
      <c r="T54"/>
      <c r="U54"/>
      <c r="V54"/>
      <c r="W54"/>
      <c r="X54"/>
      <c r="Y54"/>
      <c r="Z54"/>
      <c r="AA54"/>
      <c r="AB54"/>
      <c r="AC54"/>
    </row>
    <row r="55" spans="1:29" s="82" customFormat="1" x14ac:dyDescent="0.25">
      <c r="A55"/>
      <c r="B55"/>
      <c r="C55"/>
      <c r="D55"/>
      <c r="E55"/>
      <c r="F55"/>
      <c r="G55"/>
      <c r="H55"/>
      <c r="I55"/>
      <c r="J55"/>
      <c r="K55"/>
      <c r="L55"/>
      <c r="M55"/>
      <c r="N55"/>
      <c r="O55"/>
      <c r="P55"/>
      <c r="Q55"/>
      <c r="R55"/>
      <c r="S55"/>
      <c r="T55"/>
      <c r="U55"/>
      <c r="V55"/>
      <c r="W55"/>
      <c r="X55"/>
      <c r="Y55"/>
      <c r="Z55"/>
      <c r="AA55"/>
      <c r="AB55"/>
      <c r="AC55"/>
    </row>
    <row r="56" spans="1:29" s="82" customFormat="1" x14ac:dyDescent="0.25">
      <c r="A56"/>
      <c r="B56"/>
      <c r="C56"/>
      <c r="D56"/>
      <c r="E56"/>
      <c r="F56"/>
      <c r="G56"/>
      <c r="H56"/>
      <c r="I56"/>
      <c r="J56"/>
      <c r="K56"/>
      <c r="L56"/>
      <c r="M56"/>
      <c r="N56"/>
      <c r="O56"/>
      <c r="P56"/>
      <c r="Q56"/>
      <c r="R56"/>
      <c r="S56"/>
      <c r="T56"/>
      <c r="U56"/>
      <c r="V56"/>
      <c r="W56"/>
      <c r="X56"/>
      <c r="Y56"/>
      <c r="Z56"/>
      <c r="AA56"/>
      <c r="AB56"/>
      <c r="AC56"/>
    </row>
    <row r="57" spans="1:29" s="82" customFormat="1" x14ac:dyDescent="0.25">
      <c r="A57"/>
      <c r="B57"/>
      <c r="C57"/>
      <c r="D57"/>
      <c r="E57"/>
      <c r="F57"/>
      <c r="G57"/>
      <c r="H57"/>
      <c r="I57"/>
      <c r="J57"/>
      <c r="K57"/>
      <c r="L57"/>
      <c r="M57"/>
      <c r="N57"/>
      <c r="O57"/>
      <c r="P57"/>
      <c r="Q57"/>
      <c r="R57"/>
      <c r="S57"/>
      <c r="T57"/>
      <c r="U57"/>
      <c r="V57"/>
      <c r="W57"/>
      <c r="X57"/>
      <c r="Y57"/>
      <c r="Z57"/>
      <c r="AA57"/>
      <c r="AB57"/>
      <c r="AC57"/>
    </row>
    <row r="58" spans="1:29" s="82" customFormat="1" x14ac:dyDescent="0.25">
      <c r="A58"/>
      <c r="B58"/>
      <c r="C58"/>
      <c r="D58"/>
      <c r="E58"/>
      <c r="F58"/>
      <c r="G58"/>
      <c r="H58"/>
      <c r="I58"/>
      <c r="J58"/>
      <c r="K58"/>
      <c r="L58"/>
      <c r="M58"/>
      <c r="N58"/>
      <c r="O58"/>
      <c r="P58"/>
      <c r="Q58"/>
      <c r="R58"/>
      <c r="S58"/>
      <c r="T58"/>
      <c r="U58"/>
      <c r="V58"/>
      <c r="W58"/>
      <c r="X58"/>
      <c r="Y58"/>
      <c r="Z58"/>
      <c r="AA58"/>
      <c r="AB58"/>
      <c r="AC58"/>
    </row>
    <row r="59" spans="1:29" s="82" customFormat="1" x14ac:dyDescent="0.25">
      <c r="A59"/>
      <c r="B59"/>
      <c r="C59"/>
      <c r="D59"/>
      <c r="E59"/>
      <c r="F59"/>
      <c r="G59"/>
      <c r="H59"/>
      <c r="I59"/>
      <c r="J59"/>
      <c r="K59"/>
      <c r="L59"/>
      <c r="M59"/>
      <c r="N59"/>
      <c r="O59"/>
      <c r="P59"/>
      <c r="Q59"/>
      <c r="R59"/>
      <c r="S59"/>
      <c r="T59"/>
      <c r="U59"/>
      <c r="V59"/>
      <c r="W59"/>
      <c r="X59"/>
      <c r="Y59"/>
      <c r="Z59"/>
      <c r="AA59"/>
      <c r="AB59"/>
      <c r="AC59"/>
    </row>
    <row r="60" spans="1:29" s="82" customFormat="1" x14ac:dyDescent="0.25">
      <c r="A60"/>
      <c r="B60"/>
      <c r="C60"/>
      <c r="D60"/>
      <c r="E60"/>
      <c r="F60"/>
      <c r="G60"/>
      <c r="H60"/>
      <c r="I60"/>
      <c r="J60"/>
      <c r="K60"/>
      <c r="L60"/>
      <c r="M60"/>
      <c r="N60"/>
      <c r="O60"/>
      <c r="P60"/>
      <c r="Q60"/>
      <c r="R60"/>
      <c r="S60"/>
      <c r="T60"/>
      <c r="U60"/>
      <c r="V60"/>
      <c r="W60"/>
      <c r="X60"/>
      <c r="Y60"/>
      <c r="Z60"/>
      <c r="AA60"/>
      <c r="AB60"/>
      <c r="AC60"/>
    </row>
    <row r="61" spans="1:29" s="82" customFormat="1" x14ac:dyDescent="0.25">
      <c r="A61"/>
      <c r="B61"/>
      <c r="C61"/>
      <c r="D61"/>
      <c r="E61"/>
      <c r="F61"/>
      <c r="G61"/>
      <c r="H61"/>
      <c r="I61"/>
      <c r="J61"/>
      <c r="K61"/>
      <c r="L61"/>
      <c r="M61"/>
      <c r="N61"/>
      <c r="O61"/>
      <c r="P61"/>
      <c r="Q61"/>
      <c r="R61"/>
      <c r="S61"/>
      <c r="T61"/>
      <c r="U61"/>
      <c r="V61"/>
      <c r="W61"/>
      <c r="X61"/>
      <c r="Y61"/>
      <c r="Z61"/>
      <c r="AA61"/>
      <c r="AB61"/>
      <c r="AC61"/>
    </row>
    <row r="62" spans="1:29" s="82" customFormat="1" x14ac:dyDescent="0.25">
      <c r="A62"/>
      <c r="B62"/>
      <c r="C62"/>
      <c r="D62"/>
      <c r="E62"/>
      <c r="F62"/>
      <c r="G62"/>
      <c r="H62"/>
      <c r="I62"/>
      <c r="J62"/>
      <c r="K62"/>
      <c r="L62"/>
      <c r="M62"/>
      <c r="N62"/>
      <c r="O62"/>
      <c r="P62"/>
      <c r="Q62"/>
      <c r="R62"/>
      <c r="S62"/>
      <c r="T62"/>
      <c r="U62"/>
      <c r="V62"/>
      <c r="W62"/>
      <c r="X62"/>
      <c r="Y62"/>
      <c r="Z62"/>
      <c r="AA62"/>
      <c r="AB62"/>
      <c r="AC62"/>
    </row>
    <row r="63" spans="1:29" s="82" customFormat="1" x14ac:dyDescent="0.25">
      <c r="A63"/>
      <c r="B63"/>
      <c r="C63"/>
      <c r="D63"/>
      <c r="E63"/>
      <c r="F63"/>
      <c r="G63"/>
      <c r="H63"/>
      <c r="I63"/>
      <c r="J63"/>
      <c r="K63"/>
      <c r="L63"/>
      <c r="M63"/>
      <c r="N63"/>
      <c r="O63"/>
      <c r="P63"/>
      <c r="Q63"/>
      <c r="R63"/>
      <c r="S63"/>
      <c r="T63"/>
      <c r="U63"/>
      <c r="V63"/>
      <c r="W63"/>
      <c r="X63"/>
      <c r="Y63"/>
      <c r="Z63"/>
      <c r="AA63"/>
      <c r="AB63"/>
      <c r="AC63"/>
    </row>
    <row r="64" spans="1:29" s="82" customFormat="1" x14ac:dyDescent="0.25">
      <c r="A64"/>
      <c r="B64"/>
      <c r="C64"/>
      <c r="D64"/>
      <c r="E64"/>
      <c r="F64"/>
      <c r="G64"/>
      <c r="H64"/>
      <c r="I64"/>
      <c r="J64"/>
      <c r="K64"/>
      <c r="L64"/>
      <c r="M64"/>
      <c r="N64"/>
      <c r="O64"/>
      <c r="P64"/>
      <c r="Q64"/>
      <c r="R64"/>
      <c r="S64"/>
      <c r="T64"/>
      <c r="U64"/>
      <c r="V64"/>
      <c r="W64"/>
      <c r="X64"/>
      <c r="Y64"/>
      <c r="Z64"/>
      <c r="AA64"/>
      <c r="AB64"/>
      <c r="AC64"/>
    </row>
    <row r="65" spans="1:29" s="82" customFormat="1" x14ac:dyDescent="0.25">
      <c r="A65"/>
      <c r="B65"/>
      <c r="C65"/>
      <c r="D65"/>
      <c r="E65"/>
      <c r="F65"/>
      <c r="G65"/>
      <c r="H65"/>
      <c r="I65"/>
      <c r="J65"/>
      <c r="K65"/>
      <c r="L65"/>
      <c r="M65"/>
      <c r="N65"/>
      <c r="O65"/>
      <c r="P65"/>
      <c r="Q65"/>
      <c r="R65"/>
      <c r="S65"/>
      <c r="T65"/>
      <c r="U65"/>
      <c r="V65"/>
      <c r="W65"/>
      <c r="X65"/>
      <c r="Y65"/>
      <c r="Z65"/>
      <c r="AA65"/>
      <c r="AB65"/>
      <c r="AC65"/>
    </row>
    <row r="66" spans="1:29" s="82" customFormat="1" x14ac:dyDescent="0.25">
      <c r="A66"/>
      <c r="B66"/>
      <c r="C66"/>
      <c r="D66"/>
      <c r="E66"/>
      <c r="F66"/>
      <c r="G66"/>
      <c r="H66"/>
      <c r="I66"/>
      <c r="J66"/>
      <c r="K66"/>
      <c r="L66"/>
      <c r="M66"/>
      <c r="N66"/>
      <c r="O66"/>
      <c r="P66"/>
      <c r="Q66"/>
      <c r="R66"/>
      <c r="S66"/>
      <c r="T66"/>
      <c r="U66"/>
      <c r="V66"/>
      <c r="W66"/>
      <c r="X66"/>
      <c r="Y66"/>
      <c r="Z66"/>
      <c r="AA66"/>
      <c r="AB66"/>
      <c r="AC66"/>
    </row>
    <row r="67" spans="1:29" s="82" customFormat="1" x14ac:dyDescent="0.25">
      <c r="A67"/>
      <c r="B67"/>
      <c r="C67"/>
      <c r="D67"/>
      <c r="E67"/>
      <c r="F67"/>
      <c r="G67"/>
      <c r="H67"/>
      <c r="I67"/>
      <c r="J67"/>
      <c r="K67"/>
      <c r="L67"/>
      <c r="M67"/>
      <c r="N67"/>
      <c r="O67"/>
      <c r="P67"/>
      <c r="Q67"/>
      <c r="R67"/>
      <c r="S67"/>
      <c r="T67"/>
      <c r="U67"/>
      <c r="V67"/>
      <c r="W67"/>
      <c r="X67"/>
      <c r="Y67"/>
      <c r="Z67"/>
      <c r="AA67"/>
      <c r="AB67"/>
      <c r="AC67"/>
    </row>
    <row r="68" spans="1:29" s="82" customFormat="1" x14ac:dyDescent="0.25">
      <c r="A68"/>
      <c r="B68"/>
      <c r="C68"/>
      <c r="D68"/>
      <c r="E68"/>
      <c r="F68"/>
      <c r="G68"/>
      <c r="H68"/>
      <c r="I68"/>
      <c r="J68"/>
      <c r="K68"/>
      <c r="L68"/>
      <c r="M68"/>
      <c r="N68"/>
      <c r="O68"/>
      <c r="P68"/>
      <c r="Q68"/>
      <c r="R68"/>
      <c r="S68"/>
      <c r="T68"/>
      <c r="U68"/>
      <c r="V68"/>
      <c r="W68"/>
      <c r="X68"/>
      <c r="Y68"/>
      <c r="Z68"/>
      <c r="AA68"/>
      <c r="AB68"/>
      <c r="AC68"/>
    </row>
    <row r="69" spans="1:29" s="82" customFormat="1" x14ac:dyDescent="0.25">
      <c r="A69"/>
      <c r="B69"/>
      <c r="C69"/>
      <c r="D69"/>
      <c r="E69"/>
      <c r="F69"/>
      <c r="G69"/>
      <c r="H69"/>
      <c r="I69"/>
      <c r="J69"/>
      <c r="K69"/>
      <c r="L69"/>
      <c r="M69"/>
      <c r="N69"/>
      <c r="O69"/>
      <c r="P69"/>
      <c r="Q69"/>
      <c r="R69"/>
      <c r="S69"/>
      <c r="T69"/>
      <c r="U69"/>
      <c r="V69"/>
      <c r="W69"/>
      <c r="X69"/>
      <c r="Y69"/>
      <c r="Z69"/>
      <c r="AA69"/>
      <c r="AB69"/>
      <c r="AC69"/>
    </row>
    <row r="70" spans="1:29" s="82" customFormat="1" x14ac:dyDescent="0.25">
      <c r="A70"/>
      <c r="B70"/>
      <c r="C70"/>
      <c r="D70"/>
      <c r="E70"/>
      <c r="F70"/>
      <c r="G70"/>
      <c r="H70"/>
      <c r="I70"/>
      <c r="J70"/>
      <c r="K70"/>
      <c r="L70"/>
      <c r="M70"/>
      <c r="N70"/>
      <c r="O70"/>
      <c r="P70"/>
      <c r="Q70"/>
      <c r="R70"/>
      <c r="S70"/>
      <c r="T70"/>
      <c r="U70"/>
      <c r="V70"/>
      <c r="W70"/>
      <c r="X70"/>
      <c r="Y70"/>
      <c r="Z70"/>
      <c r="AA70"/>
      <c r="AB70"/>
      <c r="AC70"/>
    </row>
    <row r="71" spans="1:29" s="82" customFormat="1" x14ac:dyDescent="0.25">
      <c r="A71"/>
      <c r="B71"/>
      <c r="C71"/>
      <c r="D71"/>
      <c r="E71"/>
      <c r="F71"/>
      <c r="G71"/>
      <c r="H71"/>
      <c r="I71"/>
      <c r="J71"/>
      <c r="K71"/>
      <c r="L71"/>
      <c r="M71"/>
      <c r="N71"/>
      <c r="O71"/>
      <c r="P71"/>
      <c r="Q71"/>
      <c r="R71"/>
      <c r="S71"/>
      <c r="T71"/>
      <c r="U71"/>
      <c r="V71"/>
      <c r="W71"/>
      <c r="X71"/>
      <c r="Y71"/>
      <c r="Z71"/>
      <c r="AA71"/>
      <c r="AB71"/>
      <c r="AC71"/>
    </row>
    <row r="72" spans="1:29" s="82" customFormat="1" x14ac:dyDescent="0.25">
      <c r="A72"/>
      <c r="B72"/>
      <c r="C72"/>
      <c r="D72"/>
      <c r="E72"/>
      <c r="F72"/>
      <c r="G72"/>
      <c r="H72"/>
      <c r="I72"/>
      <c r="J72"/>
      <c r="K72"/>
      <c r="L72"/>
      <c r="M72"/>
      <c r="N72"/>
      <c r="O72"/>
      <c r="P72"/>
      <c r="Q72"/>
      <c r="R72"/>
      <c r="S72"/>
      <c r="T72"/>
      <c r="U72"/>
      <c r="V72"/>
      <c r="W72"/>
      <c r="X72"/>
      <c r="Y72"/>
      <c r="Z72"/>
      <c r="AA72"/>
      <c r="AB72"/>
      <c r="AC72"/>
    </row>
    <row r="73" spans="1:29" s="82" customFormat="1" x14ac:dyDescent="0.25">
      <c r="A73"/>
      <c r="B73"/>
      <c r="C73"/>
      <c r="D73"/>
      <c r="E73"/>
      <c r="F73"/>
      <c r="G73"/>
      <c r="H73"/>
      <c r="I73"/>
      <c r="J73"/>
      <c r="K73"/>
      <c r="L73"/>
      <c r="M73"/>
      <c r="N73"/>
      <c r="O73"/>
      <c r="P73"/>
      <c r="Q73"/>
      <c r="R73"/>
      <c r="S73"/>
      <c r="T73"/>
      <c r="U73"/>
      <c r="V73"/>
      <c r="W73"/>
      <c r="X73"/>
      <c r="Y73"/>
      <c r="Z73"/>
      <c r="AA73"/>
      <c r="AB73"/>
      <c r="AC73"/>
    </row>
    <row r="74" spans="1:29" s="82" customFormat="1" x14ac:dyDescent="0.25">
      <c r="A74"/>
      <c r="B74"/>
      <c r="C74"/>
      <c r="D74"/>
      <c r="E74"/>
      <c r="F74"/>
      <c r="G74"/>
      <c r="H74"/>
      <c r="I74"/>
      <c r="J74"/>
      <c r="K74"/>
      <c r="L74"/>
      <c r="M74"/>
      <c r="N74"/>
      <c r="O74"/>
      <c r="P74"/>
      <c r="Q74"/>
      <c r="R74"/>
      <c r="S74"/>
      <c r="T74"/>
      <c r="U74"/>
      <c r="V74"/>
      <c r="W74"/>
      <c r="X74"/>
      <c r="Y74"/>
      <c r="Z74"/>
      <c r="AA74"/>
      <c r="AB74"/>
      <c r="AC74"/>
    </row>
    <row r="75" spans="1:29" s="82" customFormat="1" x14ac:dyDescent="0.25">
      <c r="A75"/>
      <c r="B75"/>
      <c r="C75"/>
      <c r="D75"/>
      <c r="E75"/>
      <c r="F75"/>
      <c r="G75"/>
      <c r="H75"/>
      <c r="I75"/>
      <c r="J75"/>
      <c r="K75"/>
      <c r="L75"/>
      <c r="M75"/>
      <c r="N75"/>
      <c r="O75"/>
      <c r="P75"/>
      <c r="Q75"/>
      <c r="R75"/>
      <c r="S75"/>
      <c r="T75"/>
      <c r="U75"/>
      <c r="V75"/>
      <c r="W75"/>
      <c r="X75"/>
      <c r="Y75"/>
      <c r="Z75"/>
      <c r="AA75"/>
      <c r="AB75"/>
      <c r="AC75"/>
    </row>
    <row r="76" spans="1:29" s="82" customFormat="1" x14ac:dyDescent="0.25">
      <c r="A76"/>
      <c r="B76"/>
      <c r="C76"/>
      <c r="D76"/>
      <c r="E76"/>
      <c r="F76"/>
      <c r="G76"/>
      <c r="H76"/>
      <c r="I76"/>
      <c r="J76"/>
      <c r="K76"/>
      <c r="L76"/>
      <c r="M76"/>
      <c r="N76"/>
      <c r="O76"/>
      <c r="P76"/>
      <c r="Q76"/>
      <c r="R76"/>
      <c r="S76"/>
      <c r="T76"/>
      <c r="U76"/>
      <c r="V76"/>
      <c r="W76"/>
      <c r="X76"/>
      <c r="Y76"/>
      <c r="Z76"/>
      <c r="AA76"/>
      <c r="AB76"/>
      <c r="AC76"/>
    </row>
    <row r="77" spans="1:29" s="82" customFormat="1" x14ac:dyDescent="0.25">
      <c r="A77"/>
      <c r="B77"/>
      <c r="C77"/>
      <c r="D77"/>
      <c r="E77"/>
      <c r="F77"/>
      <c r="G77"/>
      <c r="H77"/>
      <c r="I77"/>
      <c r="J77"/>
      <c r="K77"/>
      <c r="L77"/>
      <c r="M77"/>
      <c r="N77"/>
      <c r="O77"/>
      <c r="P77"/>
      <c r="Q77"/>
      <c r="R77"/>
      <c r="S77"/>
      <c r="T77"/>
      <c r="U77"/>
      <c r="V77"/>
      <c r="W77"/>
      <c r="X77"/>
      <c r="Y77"/>
      <c r="Z77"/>
      <c r="AA77"/>
      <c r="AB77"/>
      <c r="AC77"/>
    </row>
    <row r="78" spans="1:29" s="82" customFormat="1" x14ac:dyDescent="0.25">
      <c r="A78"/>
      <c r="B78"/>
      <c r="C78"/>
      <c r="D78"/>
      <c r="E78"/>
      <c r="F78"/>
      <c r="G78"/>
      <c r="H78"/>
      <c r="I78"/>
      <c r="J78"/>
      <c r="K78"/>
      <c r="L78"/>
      <c r="M78"/>
      <c r="N78"/>
      <c r="O78"/>
      <c r="P78"/>
      <c r="Q78"/>
      <c r="R78"/>
      <c r="S78"/>
      <c r="T78"/>
      <c r="U78"/>
      <c r="V78"/>
      <c r="W78"/>
      <c r="X78"/>
      <c r="Y78"/>
      <c r="Z78"/>
      <c r="AA78"/>
      <c r="AB78"/>
      <c r="AC78"/>
    </row>
    <row r="79" spans="1:29" s="82" customFormat="1" x14ac:dyDescent="0.25">
      <c r="A79"/>
      <c r="B79"/>
      <c r="C79"/>
      <c r="D79"/>
      <c r="E79"/>
      <c r="F79"/>
      <c r="G79"/>
      <c r="H79"/>
      <c r="I79"/>
      <c r="J79"/>
      <c r="K79"/>
      <c r="L79"/>
      <c r="M79"/>
      <c r="N79"/>
      <c r="O79"/>
      <c r="P79"/>
      <c r="Q79"/>
      <c r="R79"/>
      <c r="S79"/>
      <c r="T79"/>
      <c r="U79"/>
      <c r="V79"/>
      <c r="W79"/>
      <c r="X79"/>
      <c r="Y79"/>
      <c r="Z79"/>
      <c r="AA79"/>
      <c r="AB79"/>
      <c r="AC79"/>
    </row>
    <row r="80" spans="1:29" s="82" customFormat="1" x14ac:dyDescent="0.25">
      <c r="A80"/>
      <c r="B80"/>
      <c r="C80"/>
      <c r="D80"/>
      <c r="E80"/>
      <c r="F80"/>
      <c r="G80"/>
      <c r="H80"/>
      <c r="I80"/>
      <c r="J80"/>
      <c r="K80"/>
      <c r="L80"/>
      <c r="M80"/>
      <c r="N80"/>
      <c r="O80"/>
      <c r="P80"/>
      <c r="Q80"/>
      <c r="R80"/>
      <c r="S80"/>
      <c r="T80"/>
      <c r="U80"/>
      <c r="V80"/>
      <c r="W80"/>
      <c r="X80"/>
      <c r="Y80"/>
      <c r="Z80"/>
      <c r="AA80"/>
      <c r="AB80"/>
      <c r="AC80"/>
    </row>
    <row r="81" spans="1:29" s="82" customFormat="1" x14ac:dyDescent="0.25">
      <c r="A81"/>
      <c r="B81"/>
      <c r="C81"/>
      <c r="D81"/>
      <c r="E81"/>
      <c r="F81"/>
      <c r="G81"/>
      <c r="H81"/>
      <c r="I81"/>
      <c r="J81"/>
      <c r="K81"/>
      <c r="L81"/>
      <c r="M81"/>
      <c r="N81"/>
      <c r="O81"/>
      <c r="P81"/>
      <c r="Q81"/>
      <c r="R81"/>
      <c r="S81"/>
      <c r="T81"/>
      <c r="U81"/>
      <c r="V81"/>
      <c r="W81"/>
      <c r="X81"/>
      <c r="Y81"/>
      <c r="Z81"/>
      <c r="AA81"/>
      <c r="AB81"/>
      <c r="AC81"/>
    </row>
    <row r="82" spans="1:29" s="82" customFormat="1" x14ac:dyDescent="0.25">
      <c r="A82"/>
      <c r="B82"/>
      <c r="C82"/>
      <c r="D82"/>
      <c r="E82"/>
      <c r="F82"/>
      <c r="G82"/>
      <c r="H82"/>
      <c r="I82"/>
      <c r="J82"/>
      <c r="K82"/>
      <c r="L82"/>
      <c r="M82"/>
      <c r="N82"/>
      <c r="O82"/>
      <c r="P82"/>
      <c r="Q82"/>
      <c r="R82"/>
      <c r="S82"/>
      <c r="T82"/>
      <c r="U82"/>
      <c r="V82"/>
      <c r="W82"/>
      <c r="X82"/>
      <c r="Y82"/>
      <c r="Z82"/>
      <c r="AA82"/>
      <c r="AB82"/>
      <c r="AC82"/>
    </row>
    <row r="83" spans="1:29" s="82" customFormat="1" x14ac:dyDescent="0.25">
      <c r="A83"/>
      <c r="B83"/>
      <c r="C83"/>
      <c r="D83"/>
      <c r="E83"/>
      <c r="F83"/>
      <c r="G83"/>
      <c r="H83"/>
      <c r="I83"/>
      <c r="J83"/>
      <c r="K83"/>
      <c r="L83"/>
      <c r="M83"/>
      <c r="N83"/>
      <c r="O83"/>
      <c r="P83"/>
      <c r="Q83"/>
      <c r="R83"/>
      <c r="S83"/>
      <c r="T83"/>
      <c r="U83"/>
      <c r="V83"/>
      <c r="W83"/>
      <c r="X83"/>
      <c r="Y83"/>
      <c r="Z83"/>
      <c r="AA83"/>
      <c r="AB83"/>
      <c r="AC83"/>
    </row>
    <row r="84" spans="1:29" s="82" customFormat="1" x14ac:dyDescent="0.25">
      <c r="A84"/>
      <c r="B84"/>
      <c r="C84"/>
      <c r="D84"/>
      <c r="E84"/>
      <c r="F84"/>
      <c r="G84"/>
      <c r="H84"/>
      <c r="I84"/>
      <c r="J84"/>
      <c r="K84"/>
      <c r="L84"/>
      <c r="M84"/>
      <c r="N84"/>
      <c r="O84"/>
      <c r="P84"/>
      <c r="Q84"/>
      <c r="R84"/>
      <c r="S84"/>
      <c r="T84"/>
      <c r="U84"/>
      <c r="V84"/>
      <c r="W84"/>
      <c r="X84"/>
      <c r="Y84"/>
      <c r="Z84"/>
      <c r="AA84"/>
      <c r="AB84"/>
      <c r="AC84"/>
    </row>
    <row r="85" spans="1:29" s="82" customFormat="1" x14ac:dyDescent="0.25">
      <c r="A85"/>
      <c r="B85"/>
      <c r="C85"/>
      <c r="D85"/>
      <c r="E85"/>
      <c r="F85"/>
      <c r="G85"/>
      <c r="H85"/>
      <c r="I85"/>
      <c r="J85"/>
      <c r="K85"/>
      <c r="L85"/>
      <c r="M85"/>
      <c r="N85"/>
      <c r="O85"/>
      <c r="P85"/>
      <c r="Q85"/>
      <c r="R85"/>
      <c r="S85"/>
      <c r="T85"/>
      <c r="U85"/>
      <c r="V85"/>
      <c r="W85"/>
      <c r="X85"/>
      <c r="Y85"/>
      <c r="Z85"/>
      <c r="AA85"/>
      <c r="AB85"/>
      <c r="AC85"/>
    </row>
    <row r="86" spans="1:29" s="82" customFormat="1" x14ac:dyDescent="0.25">
      <c r="A86"/>
      <c r="B86"/>
      <c r="C86"/>
      <c r="D86"/>
      <c r="E86"/>
      <c r="F86"/>
      <c r="G86"/>
      <c r="H86"/>
      <c r="I86"/>
      <c r="J86"/>
      <c r="K86"/>
      <c r="L86"/>
      <c r="M86"/>
      <c r="N86"/>
      <c r="O86"/>
      <c r="P86"/>
      <c r="Q86"/>
      <c r="R86"/>
      <c r="S86"/>
      <c r="T86"/>
      <c r="U86"/>
      <c r="V86"/>
      <c r="W86"/>
      <c r="X86"/>
      <c r="Y86"/>
      <c r="Z86"/>
      <c r="AA86"/>
      <c r="AB86"/>
      <c r="AC86"/>
    </row>
    <row r="87" spans="1:29" s="82" customFormat="1" x14ac:dyDescent="0.25">
      <c r="A87"/>
      <c r="B87"/>
      <c r="C87"/>
      <c r="D87"/>
      <c r="E87"/>
      <c r="F87"/>
      <c r="G87"/>
      <c r="H87"/>
      <c r="I87"/>
      <c r="J87"/>
      <c r="K87"/>
      <c r="L87"/>
      <c r="M87"/>
      <c r="N87"/>
      <c r="O87"/>
      <c r="P87"/>
      <c r="Q87"/>
      <c r="R87"/>
      <c r="S87"/>
      <c r="T87"/>
      <c r="U87"/>
      <c r="V87"/>
      <c r="W87"/>
      <c r="X87"/>
      <c r="Y87"/>
      <c r="Z87"/>
      <c r="AA87"/>
      <c r="AB87"/>
      <c r="AC87"/>
    </row>
    <row r="88" spans="1:29" s="82" customFormat="1" x14ac:dyDescent="0.25">
      <c r="A88"/>
      <c r="B88"/>
      <c r="C88"/>
      <c r="D88"/>
      <c r="E88"/>
      <c r="F88"/>
      <c r="G88"/>
      <c r="H88"/>
      <c r="I88"/>
      <c r="J88"/>
      <c r="K88"/>
      <c r="L88"/>
      <c r="M88"/>
      <c r="N88"/>
      <c r="O88"/>
      <c r="P88"/>
      <c r="Q88"/>
      <c r="R88"/>
      <c r="S88"/>
      <c r="T88"/>
      <c r="U88"/>
      <c r="V88"/>
      <c r="W88"/>
      <c r="X88"/>
      <c r="Y88"/>
      <c r="Z88"/>
      <c r="AA88"/>
      <c r="AB88"/>
      <c r="AC88"/>
    </row>
    <row r="89" spans="1:29" s="82" customFormat="1" x14ac:dyDescent="0.25">
      <c r="A89"/>
      <c r="B89"/>
      <c r="C89"/>
      <c r="D89"/>
      <c r="E89"/>
      <c r="F89"/>
      <c r="G89"/>
      <c r="H89"/>
      <c r="I89"/>
      <c r="J89"/>
      <c r="K89"/>
      <c r="L89"/>
      <c r="M89"/>
      <c r="N89"/>
      <c r="O89"/>
      <c r="P89"/>
      <c r="Q89"/>
      <c r="R89"/>
      <c r="S89"/>
      <c r="T89"/>
      <c r="U89"/>
      <c r="V89"/>
      <c r="W89"/>
      <c r="X89"/>
      <c r="Y89"/>
      <c r="Z89"/>
      <c r="AA89"/>
      <c r="AB89"/>
      <c r="AC89"/>
    </row>
    <row r="90" spans="1:29" s="82" customFormat="1" x14ac:dyDescent="0.25">
      <c r="A90"/>
      <c r="B90"/>
      <c r="C90"/>
      <c r="D90"/>
      <c r="E90"/>
      <c r="F90"/>
      <c r="G90"/>
      <c r="H90"/>
      <c r="I90"/>
      <c r="J90"/>
      <c r="K90"/>
      <c r="L90"/>
      <c r="M90"/>
      <c r="N90"/>
      <c r="O90"/>
      <c r="P90"/>
      <c r="Q90"/>
      <c r="R90"/>
      <c r="S90"/>
      <c r="T90"/>
      <c r="U90"/>
      <c r="V90"/>
      <c r="W90"/>
      <c r="X90"/>
      <c r="Y90"/>
      <c r="Z90"/>
      <c r="AA90"/>
      <c r="AB90"/>
      <c r="AC90"/>
    </row>
    <row r="91" spans="1:29" s="82" customFormat="1" x14ac:dyDescent="0.25">
      <c r="A91"/>
      <c r="B91"/>
      <c r="C91"/>
      <c r="D91"/>
      <c r="E91"/>
      <c r="F91"/>
      <c r="G91"/>
      <c r="H91"/>
      <c r="I91"/>
      <c r="J91"/>
      <c r="K91"/>
      <c r="L91"/>
      <c r="M91"/>
      <c r="N91"/>
      <c r="O91"/>
      <c r="P91"/>
      <c r="Q91"/>
      <c r="R91"/>
      <c r="S91"/>
      <c r="T91"/>
      <c r="U91"/>
      <c r="V91"/>
      <c r="W91"/>
      <c r="X91"/>
      <c r="Y91"/>
      <c r="Z91"/>
      <c r="AA91"/>
      <c r="AB91"/>
      <c r="AC91"/>
    </row>
    <row r="92" spans="1:29" s="82" customFormat="1" x14ac:dyDescent="0.25">
      <c r="A92"/>
      <c r="B92"/>
      <c r="C92"/>
      <c r="D92"/>
      <c r="E92"/>
      <c r="F92"/>
      <c r="G92"/>
      <c r="H92"/>
      <c r="I92"/>
      <c r="J92"/>
      <c r="K92"/>
      <c r="L92"/>
      <c r="M92"/>
      <c r="N92"/>
      <c r="O92"/>
      <c r="P92"/>
      <c r="Q92"/>
      <c r="R92"/>
      <c r="S92"/>
      <c r="T92"/>
      <c r="U92"/>
      <c r="V92"/>
      <c r="W92"/>
      <c r="X92"/>
      <c r="Y92"/>
      <c r="Z92"/>
      <c r="AA92"/>
      <c r="AB92"/>
      <c r="AC92"/>
    </row>
    <row r="93" spans="1:29" s="82" customFormat="1" x14ac:dyDescent="0.25">
      <c r="A93"/>
      <c r="B93"/>
      <c r="C93"/>
      <c r="D93"/>
      <c r="E93"/>
      <c r="F93"/>
      <c r="G93"/>
      <c r="H93"/>
      <c r="I93"/>
      <c r="J93"/>
      <c r="K93"/>
      <c r="L93"/>
      <c r="M93"/>
      <c r="N93"/>
      <c r="O93"/>
      <c r="P93"/>
      <c r="Q93"/>
      <c r="R93"/>
      <c r="S93"/>
      <c r="T93"/>
      <c r="U93"/>
      <c r="V93"/>
      <c r="W93"/>
      <c r="X93"/>
      <c r="Y93"/>
      <c r="Z93"/>
      <c r="AA93"/>
      <c r="AB93"/>
      <c r="AC93"/>
    </row>
    <row r="94" spans="1:29" s="82" customFormat="1" x14ac:dyDescent="0.25">
      <c r="A94"/>
      <c r="B94"/>
      <c r="C94"/>
      <c r="D94"/>
      <c r="E94"/>
      <c r="F94"/>
      <c r="G94"/>
      <c r="H94"/>
      <c r="I94"/>
      <c r="J94"/>
      <c r="K94"/>
      <c r="L94"/>
      <c r="M94"/>
      <c r="N94"/>
      <c r="O94"/>
      <c r="P94"/>
      <c r="Q94"/>
      <c r="R94"/>
      <c r="S94"/>
      <c r="T94"/>
      <c r="U94"/>
      <c r="V94"/>
      <c r="W94"/>
      <c r="X94"/>
      <c r="Y94"/>
      <c r="Z94"/>
      <c r="AA94"/>
      <c r="AB94"/>
      <c r="AC94"/>
    </row>
    <row r="95" spans="1:29" s="82" customFormat="1" x14ac:dyDescent="0.25">
      <c r="A95"/>
      <c r="B95"/>
      <c r="C95"/>
      <c r="D95"/>
      <c r="E95"/>
      <c r="F95"/>
      <c r="G95"/>
      <c r="H95"/>
      <c r="I95"/>
      <c r="J95"/>
      <c r="K95"/>
      <c r="L95"/>
      <c r="M95"/>
      <c r="N95"/>
      <c r="O95"/>
      <c r="P95"/>
      <c r="Q95"/>
      <c r="R95"/>
      <c r="S95"/>
      <c r="T95"/>
      <c r="U95"/>
      <c r="V95"/>
      <c r="W95"/>
      <c r="X95"/>
      <c r="Y95"/>
      <c r="Z95"/>
      <c r="AA95"/>
      <c r="AB95"/>
      <c r="AC95"/>
    </row>
    <row r="96" spans="1:29" s="82" customFormat="1" x14ac:dyDescent="0.25">
      <c r="A96"/>
      <c r="B96"/>
      <c r="C96"/>
      <c r="D96"/>
      <c r="E96"/>
      <c r="F96"/>
      <c r="G96"/>
      <c r="H96"/>
      <c r="I96"/>
      <c r="J96"/>
      <c r="K96"/>
      <c r="L96"/>
      <c r="M96"/>
      <c r="N96"/>
      <c r="O96"/>
      <c r="P96"/>
      <c r="Q96"/>
      <c r="R96"/>
      <c r="S96"/>
      <c r="T96"/>
      <c r="U96"/>
      <c r="V96"/>
      <c r="W96"/>
      <c r="X96"/>
      <c r="Y96"/>
      <c r="Z96"/>
      <c r="AA96"/>
      <c r="AB96"/>
      <c r="AC96"/>
    </row>
    <row r="97" spans="1:29" s="82" customFormat="1" x14ac:dyDescent="0.25">
      <c r="A97"/>
      <c r="B97"/>
      <c r="C97"/>
      <c r="D97"/>
      <c r="E97"/>
      <c r="F97"/>
      <c r="G97"/>
      <c r="H97"/>
      <c r="I97"/>
      <c r="J97"/>
      <c r="K97"/>
      <c r="L97"/>
      <c r="M97"/>
      <c r="N97"/>
      <c r="O97"/>
      <c r="P97"/>
      <c r="Q97"/>
      <c r="R97"/>
      <c r="S97"/>
      <c r="T97"/>
      <c r="U97"/>
      <c r="V97"/>
      <c r="W97"/>
      <c r="X97"/>
      <c r="Y97"/>
      <c r="Z97"/>
      <c r="AA97"/>
      <c r="AB97"/>
      <c r="AC97"/>
    </row>
    <row r="98" spans="1:29" s="82" customFormat="1" x14ac:dyDescent="0.25">
      <c r="A98"/>
      <c r="B98"/>
      <c r="C98"/>
      <c r="D98"/>
      <c r="E98"/>
      <c r="F98"/>
      <c r="G98"/>
      <c r="H98"/>
      <c r="I98"/>
      <c r="J98"/>
      <c r="K98"/>
      <c r="L98"/>
      <c r="M98"/>
      <c r="N98"/>
      <c r="O98"/>
      <c r="P98"/>
      <c r="Q98"/>
      <c r="R98"/>
      <c r="S98"/>
      <c r="T98"/>
      <c r="U98"/>
      <c r="V98"/>
      <c r="W98"/>
      <c r="X98"/>
      <c r="Y98"/>
      <c r="Z98"/>
      <c r="AA98"/>
      <c r="AB98"/>
      <c r="AC98"/>
    </row>
    <row r="99" spans="1:29" s="82" customFormat="1" x14ac:dyDescent="0.25">
      <c r="A99"/>
      <c r="B99"/>
      <c r="C99"/>
      <c r="D99"/>
      <c r="E99"/>
      <c r="F99"/>
      <c r="G99"/>
      <c r="H99"/>
      <c r="I99"/>
      <c r="J99"/>
      <c r="K99"/>
      <c r="L99"/>
      <c r="M99"/>
      <c r="N99"/>
      <c r="O99"/>
      <c r="P99"/>
      <c r="Q99"/>
      <c r="R99"/>
      <c r="S99"/>
      <c r="T99"/>
      <c r="U99"/>
      <c r="V99"/>
      <c r="W99"/>
      <c r="X99"/>
      <c r="Y99"/>
      <c r="Z99"/>
      <c r="AA99"/>
      <c r="AB99"/>
      <c r="AC99"/>
    </row>
    <row r="100" spans="1:29" s="82" customFormat="1" x14ac:dyDescent="0.25">
      <c r="A100"/>
      <c r="B100"/>
      <c r="C100"/>
      <c r="D100"/>
      <c r="E100"/>
      <c r="F100"/>
      <c r="G100"/>
      <c r="H100"/>
      <c r="I100"/>
      <c r="J100"/>
      <c r="K100"/>
      <c r="L100"/>
      <c r="M100"/>
      <c r="N100"/>
      <c r="O100"/>
      <c r="P100"/>
      <c r="Q100"/>
      <c r="R100"/>
      <c r="S100"/>
      <c r="T100"/>
      <c r="U100"/>
      <c r="V100"/>
      <c r="W100"/>
      <c r="X100"/>
      <c r="Y100"/>
      <c r="Z100"/>
      <c r="AA100"/>
      <c r="AB100"/>
      <c r="AC100"/>
    </row>
    <row r="101" spans="1:29" s="82" customFormat="1" x14ac:dyDescent="0.25">
      <c r="A101"/>
      <c r="B101"/>
      <c r="C101"/>
      <c r="D101"/>
      <c r="E101"/>
      <c r="F101"/>
      <c r="G101"/>
      <c r="H101"/>
      <c r="I101"/>
      <c r="J101"/>
      <c r="K101"/>
      <c r="L101"/>
      <c r="M101"/>
      <c r="N101"/>
      <c r="O101"/>
      <c r="P101"/>
      <c r="Q101"/>
      <c r="R101"/>
      <c r="S101"/>
      <c r="T101"/>
      <c r="U101"/>
      <c r="V101"/>
      <c r="W101"/>
      <c r="X101"/>
      <c r="Y101"/>
      <c r="Z101"/>
      <c r="AA101"/>
      <c r="AB101"/>
      <c r="AC101"/>
    </row>
    <row r="102" spans="1:29" s="82" customFormat="1" x14ac:dyDescent="0.25">
      <c r="A102"/>
      <c r="B102"/>
      <c r="C102"/>
      <c r="D102"/>
      <c r="E102"/>
      <c r="F102"/>
      <c r="G102"/>
      <c r="H102"/>
      <c r="I102"/>
      <c r="J102"/>
      <c r="K102"/>
      <c r="L102"/>
      <c r="M102"/>
      <c r="N102"/>
      <c r="O102"/>
      <c r="P102"/>
      <c r="Q102"/>
      <c r="R102"/>
      <c r="S102"/>
      <c r="T102"/>
      <c r="U102"/>
      <c r="V102"/>
      <c r="W102"/>
      <c r="X102"/>
      <c r="Y102"/>
      <c r="Z102"/>
      <c r="AA102"/>
      <c r="AB102"/>
      <c r="AC102"/>
    </row>
    <row r="103" spans="1:29" s="82" customFormat="1" x14ac:dyDescent="0.25">
      <c r="A103"/>
      <c r="B103"/>
      <c r="C103"/>
      <c r="D103"/>
      <c r="E103"/>
      <c r="F103"/>
      <c r="G103"/>
      <c r="H103"/>
      <c r="I103"/>
      <c r="J103"/>
      <c r="K103"/>
      <c r="L103"/>
      <c r="M103"/>
      <c r="N103"/>
      <c r="O103"/>
      <c r="P103"/>
      <c r="Q103"/>
      <c r="R103"/>
      <c r="S103"/>
      <c r="T103"/>
      <c r="U103"/>
      <c r="V103"/>
      <c r="W103"/>
      <c r="X103"/>
      <c r="Y103"/>
      <c r="Z103"/>
      <c r="AA103"/>
      <c r="AB103"/>
      <c r="AC103"/>
    </row>
    <row r="104" spans="1:29" s="82" customFormat="1" x14ac:dyDescent="0.25">
      <c r="A104"/>
      <c r="B104"/>
      <c r="C104"/>
      <c r="D104"/>
      <c r="E104"/>
      <c r="F104"/>
      <c r="G104"/>
      <c r="H104"/>
      <c r="I104"/>
      <c r="J104"/>
      <c r="K104"/>
      <c r="L104"/>
      <c r="M104"/>
      <c r="N104"/>
      <c r="O104"/>
      <c r="P104"/>
      <c r="Q104"/>
      <c r="R104"/>
      <c r="S104"/>
      <c r="T104"/>
      <c r="U104"/>
      <c r="V104"/>
      <c r="W104"/>
      <c r="X104"/>
      <c r="Y104"/>
      <c r="Z104"/>
      <c r="AA104"/>
      <c r="AB104"/>
      <c r="AC104"/>
    </row>
    <row r="105" spans="1:29" s="82" customFormat="1" x14ac:dyDescent="0.25">
      <c r="A105"/>
      <c r="B105"/>
      <c r="C105"/>
      <c r="D105"/>
      <c r="E105"/>
      <c r="F105"/>
      <c r="G105"/>
      <c r="H105"/>
      <c r="I105"/>
      <c r="J105"/>
      <c r="K105"/>
      <c r="L105"/>
      <c r="M105"/>
      <c r="N105"/>
      <c r="O105"/>
      <c r="P105"/>
      <c r="Q105"/>
      <c r="R105"/>
      <c r="S105"/>
      <c r="T105"/>
      <c r="U105"/>
      <c r="V105"/>
      <c r="W105"/>
      <c r="X105"/>
      <c r="Y105"/>
      <c r="Z105"/>
      <c r="AA105"/>
      <c r="AB105"/>
      <c r="AC105"/>
    </row>
    <row r="106" spans="1:29" s="82" customFormat="1" x14ac:dyDescent="0.25">
      <c r="A106"/>
      <c r="B106"/>
      <c r="C106"/>
      <c r="D106"/>
      <c r="E106"/>
      <c r="F106"/>
      <c r="G106"/>
      <c r="H106"/>
      <c r="I106"/>
      <c r="J106"/>
      <c r="K106"/>
      <c r="L106"/>
      <c r="M106"/>
      <c r="N106"/>
      <c r="O106"/>
      <c r="P106"/>
      <c r="Q106"/>
      <c r="R106"/>
      <c r="S106"/>
      <c r="T106"/>
      <c r="U106"/>
      <c r="V106"/>
      <c r="W106"/>
      <c r="X106"/>
      <c r="Y106"/>
      <c r="Z106"/>
      <c r="AA106"/>
      <c r="AB106"/>
      <c r="AC106"/>
    </row>
    <row r="107" spans="1:29" s="82" customFormat="1" x14ac:dyDescent="0.25">
      <c r="A107"/>
      <c r="B107"/>
      <c r="C107"/>
      <c r="D107"/>
      <c r="E107"/>
      <c r="F107"/>
      <c r="G107"/>
      <c r="H107"/>
      <c r="I107"/>
      <c r="J107"/>
      <c r="K107"/>
      <c r="L107"/>
      <c r="M107"/>
      <c r="N107"/>
      <c r="O107"/>
      <c r="P107"/>
      <c r="Q107"/>
      <c r="R107"/>
      <c r="S107"/>
      <c r="T107"/>
      <c r="U107"/>
      <c r="V107"/>
      <c r="W107"/>
      <c r="X107"/>
      <c r="Y107"/>
      <c r="Z107"/>
      <c r="AA107"/>
      <c r="AB107"/>
      <c r="AC107"/>
    </row>
    <row r="108" spans="1:29" s="82" customFormat="1" x14ac:dyDescent="0.25">
      <c r="A108"/>
      <c r="B108"/>
      <c r="C108"/>
      <c r="D108"/>
      <c r="E108"/>
      <c r="F108"/>
      <c r="G108"/>
      <c r="H108"/>
      <c r="I108"/>
      <c r="J108"/>
      <c r="K108"/>
      <c r="L108"/>
      <c r="M108"/>
      <c r="N108"/>
      <c r="O108"/>
      <c r="P108"/>
      <c r="Q108"/>
      <c r="R108"/>
      <c r="S108"/>
      <c r="T108"/>
      <c r="U108"/>
      <c r="V108"/>
      <c r="W108"/>
      <c r="X108"/>
      <c r="Y108"/>
      <c r="Z108"/>
      <c r="AA108"/>
      <c r="AB108"/>
      <c r="AC108"/>
    </row>
    <row r="109" spans="1:29" s="82" customFormat="1" x14ac:dyDescent="0.25">
      <c r="A109"/>
      <c r="B109"/>
      <c r="C109"/>
      <c r="D109"/>
      <c r="E109"/>
      <c r="F109"/>
      <c r="G109"/>
      <c r="H109"/>
      <c r="I109"/>
      <c r="J109"/>
      <c r="K109"/>
      <c r="L109"/>
      <c r="M109"/>
      <c r="N109"/>
      <c r="O109"/>
      <c r="P109"/>
      <c r="Q109"/>
      <c r="R109"/>
      <c r="S109"/>
      <c r="T109"/>
      <c r="U109"/>
      <c r="V109"/>
      <c r="W109"/>
      <c r="X109"/>
      <c r="Y109"/>
      <c r="Z109"/>
      <c r="AA109"/>
      <c r="AB109"/>
      <c r="AC109"/>
    </row>
    <row r="110" spans="1:29" s="82" customFormat="1" x14ac:dyDescent="0.25">
      <c r="A110"/>
      <c r="B110"/>
      <c r="C110"/>
      <c r="D110"/>
      <c r="E110"/>
      <c r="F110"/>
      <c r="G110"/>
      <c r="H110"/>
      <c r="I110"/>
      <c r="J110"/>
      <c r="K110"/>
      <c r="L110"/>
      <c r="M110"/>
      <c r="N110"/>
      <c r="O110"/>
      <c r="P110"/>
      <c r="Q110"/>
      <c r="R110"/>
      <c r="S110"/>
      <c r="T110"/>
      <c r="U110"/>
      <c r="V110"/>
      <c r="W110"/>
      <c r="X110"/>
      <c r="Y110"/>
      <c r="Z110"/>
      <c r="AA110"/>
      <c r="AB110"/>
      <c r="AC110"/>
    </row>
    <row r="111" spans="1:29" s="82" customFormat="1" x14ac:dyDescent="0.25">
      <c r="A111"/>
      <c r="B111"/>
      <c r="C111"/>
      <c r="D111"/>
      <c r="E111"/>
      <c r="F111"/>
      <c r="G111"/>
      <c r="H111"/>
      <c r="I111"/>
      <c r="J111"/>
      <c r="K111"/>
      <c r="L111"/>
      <c r="M111"/>
      <c r="N111"/>
      <c r="O111"/>
      <c r="P111"/>
      <c r="Q111"/>
      <c r="R111"/>
      <c r="S111"/>
      <c r="T111"/>
      <c r="U111"/>
      <c r="V111"/>
      <c r="W111"/>
      <c r="X111"/>
      <c r="Y111"/>
      <c r="Z111"/>
      <c r="AA111"/>
      <c r="AB111"/>
      <c r="AC111"/>
    </row>
    <row r="112" spans="1:29" s="82" customFormat="1" x14ac:dyDescent="0.25">
      <c r="A112"/>
      <c r="B112"/>
      <c r="C112"/>
      <c r="D112"/>
      <c r="E112"/>
      <c r="F112"/>
      <c r="G112"/>
      <c r="H112"/>
      <c r="I112"/>
      <c r="J112"/>
      <c r="K112"/>
      <c r="L112"/>
      <c r="M112"/>
      <c r="N112"/>
      <c r="O112"/>
      <c r="P112"/>
      <c r="Q112"/>
      <c r="R112"/>
      <c r="S112"/>
      <c r="T112"/>
      <c r="U112"/>
      <c r="V112"/>
      <c r="W112"/>
      <c r="X112"/>
      <c r="Y112"/>
      <c r="Z112"/>
      <c r="AA112"/>
      <c r="AB112"/>
      <c r="AC112"/>
    </row>
    <row r="113" spans="1:29" s="82" customFormat="1" x14ac:dyDescent="0.25">
      <c r="A113"/>
      <c r="B113"/>
      <c r="C113"/>
      <c r="D113"/>
      <c r="E113"/>
      <c r="F113"/>
      <c r="G113"/>
      <c r="H113"/>
      <c r="I113"/>
      <c r="J113"/>
      <c r="K113"/>
      <c r="L113"/>
      <c r="M113"/>
      <c r="N113"/>
      <c r="O113"/>
      <c r="P113"/>
      <c r="Q113"/>
      <c r="R113"/>
      <c r="S113"/>
      <c r="T113"/>
      <c r="U113"/>
      <c r="V113"/>
      <c r="W113"/>
      <c r="X113"/>
      <c r="Y113"/>
      <c r="Z113"/>
      <c r="AA113"/>
      <c r="AB113"/>
      <c r="AC113"/>
    </row>
    <row r="114" spans="1:29" s="82" customFormat="1" x14ac:dyDescent="0.25">
      <c r="A114"/>
      <c r="B114"/>
      <c r="C114"/>
      <c r="D114"/>
      <c r="E114"/>
      <c r="F114"/>
      <c r="G114"/>
      <c r="H114"/>
      <c r="I114"/>
      <c r="J114"/>
      <c r="K114"/>
      <c r="L114"/>
      <c r="M114"/>
      <c r="N114"/>
      <c r="O114"/>
      <c r="P114"/>
      <c r="Q114"/>
      <c r="R114"/>
      <c r="S114"/>
      <c r="T114"/>
      <c r="U114"/>
      <c r="V114"/>
      <c r="W114"/>
      <c r="X114"/>
      <c r="Y114"/>
      <c r="Z114"/>
      <c r="AA114"/>
      <c r="AB114"/>
      <c r="AC114"/>
    </row>
    <row r="115" spans="1:29" s="82" customFormat="1" x14ac:dyDescent="0.25">
      <c r="A115"/>
      <c r="B115"/>
      <c r="C115"/>
      <c r="D115"/>
      <c r="E115"/>
      <c r="F115"/>
      <c r="G115"/>
      <c r="H115"/>
      <c r="I115"/>
      <c r="J115"/>
      <c r="K115"/>
      <c r="L115"/>
      <c r="M115"/>
      <c r="N115"/>
      <c r="O115"/>
      <c r="P115"/>
      <c r="Q115"/>
      <c r="R115"/>
      <c r="S115"/>
      <c r="T115"/>
      <c r="U115"/>
      <c r="V115"/>
      <c r="W115"/>
      <c r="X115"/>
      <c r="Y115"/>
      <c r="Z115"/>
      <c r="AA115"/>
      <c r="AB115"/>
      <c r="AC115"/>
    </row>
    <row r="116" spans="1:29" s="82" customFormat="1" x14ac:dyDescent="0.25">
      <c r="A116"/>
      <c r="B116"/>
      <c r="C116"/>
      <c r="D116"/>
      <c r="E116"/>
      <c r="F116"/>
      <c r="G116"/>
      <c r="H116"/>
      <c r="I116"/>
      <c r="J116"/>
      <c r="K116"/>
      <c r="L116"/>
      <c r="M116"/>
      <c r="N116"/>
      <c r="O116"/>
      <c r="P116"/>
      <c r="Q116"/>
      <c r="R116"/>
      <c r="S116"/>
      <c r="T116"/>
      <c r="U116"/>
      <c r="V116"/>
      <c r="W116"/>
      <c r="X116"/>
      <c r="Y116"/>
      <c r="Z116"/>
      <c r="AA116"/>
      <c r="AB116"/>
      <c r="AC116"/>
    </row>
    <row r="117" spans="1:29" s="82" customFormat="1" x14ac:dyDescent="0.25">
      <c r="A117"/>
      <c r="B117"/>
      <c r="C117"/>
      <c r="D117"/>
      <c r="E117"/>
      <c r="F117"/>
      <c r="G117"/>
      <c r="H117"/>
      <c r="I117"/>
      <c r="J117"/>
      <c r="K117"/>
      <c r="L117"/>
      <c r="M117"/>
      <c r="N117"/>
      <c r="O117"/>
      <c r="P117"/>
      <c r="Q117"/>
      <c r="R117"/>
      <c r="S117"/>
      <c r="T117"/>
      <c r="U117"/>
      <c r="V117"/>
      <c r="W117"/>
      <c r="X117"/>
      <c r="Y117"/>
      <c r="Z117"/>
      <c r="AA117"/>
      <c r="AB117"/>
      <c r="AC117"/>
    </row>
    <row r="118" spans="1:29" s="82" customFormat="1" x14ac:dyDescent="0.25">
      <c r="A118"/>
      <c r="B118"/>
      <c r="C118"/>
      <c r="D118"/>
      <c r="E118"/>
      <c r="F118"/>
      <c r="G118"/>
      <c r="H118"/>
      <c r="I118"/>
      <c r="J118"/>
      <c r="K118"/>
      <c r="L118"/>
      <c r="M118"/>
      <c r="N118"/>
      <c r="O118"/>
      <c r="P118"/>
      <c r="Q118"/>
      <c r="R118"/>
      <c r="S118"/>
      <c r="T118"/>
      <c r="U118"/>
      <c r="V118"/>
      <c r="W118"/>
      <c r="X118"/>
      <c r="Y118"/>
      <c r="Z118"/>
      <c r="AA118"/>
      <c r="AB118"/>
      <c r="AC118"/>
    </row>
    <row r="119" spans="1:29" s="82" customFormat="1" x14ac:dyDescent="0.25">
      <c r="A119"/>
      <c r="B119"/>
      <c r="C119"/>
      <c r="D119"/>
      <c r="E119"/>
      <c r="F119"/>
      <c r="G119"/>
      <c r="H119"/>
      <c r="I119"/>
      <c r="J119"/>
      <c r="K119"/>
      <c r="L119"/>
      <c r="M119"/>
      <c r="N119"/>
      <c r="O119"/>
      <c r="P119"/>
      <c r="Q119"/>
      <c r="R119"/>
      <c r="S119"/>
      <c r="T119"/>
      <c r="U119"/>
      <c r="V119"/>
      <c r="W119"/>
      <c r="X119"/>
      <c r="Y119"/>
      <c r="Z119"/>
      <c r="AA119"/>
      <c r="AB119"/>
      <c r="AC119"/>
    </row>
    <row r="120" spans="1:29" s="82" customFormat="1" x14ac:dyDescent="0.25">
      <c r="A120"/>
      <c r="B120"/>
      <c r="C120"/>
      <c r="D120"/>
      <c r="E120"/>
      <c r="F120"/>
      <c r="G120"/>
      <c r="H120"/>
      <c r="I120"/>
      <c r="J120"/>
      <c r="K120"/>
      <c r="L120"/>
      <c r="M120"/>
      <c r="N120"/>
      <c r="O120"/>
      <c r="P120"/>
      <c r="Q120"/>
      <c r="R120"/>
      <c r="S120"/>
      <c r="T120"/>
      <c r="U120"/>
      <c r="V120"/>
      <c r="W120"/>
      <c r="X120"/>
      <c r="Y120"/>
      <c r="Z120"/>
      <c r="AA120"/>
      <c r="AB120"/>
      <c r="AC120"/>
    </row>
    <row r="121" spans="1:29" s="82" customFormat="1" x14ac:dyDescent="0.25">
      <c r="A121"/>
      <c r="B121"/>
      <c r="C121"/>
      <c r="D121"/>
      <c r="E121"/>
      <c r="F121"/>
      <c r="G121"/>
      <c r="H121"/>
      <c r="I121"/>
      <c r="J121"/>
      <c r="K121"/>
      <c r="L121"/>
      <c r="M121"/>
      <c r="N121"/>
      <c r="O121"/>
      <c r="P121"/>
      <c r="Q121"/>
      <c r="R121"/>
      <c r="S121"/>
      <c r="T121"/>
      <c r="U121"/>
      <c r="V121"/>
      <c r="W121"/>
      <c r="X121"/>
      <c r="Y121"/>
      <c r="Z121"/>
      <c r="AA121"/>
      <c r="AB121"/>
      <c r="AC121"/>
    </row>
    <row r="122" spans="1:29" s="82" customFormat="1" x14ac:dyDescent="0.25">
      <c r="A122"/>
      <c r="B122"/>
      <c r="C122"/>
      <c r="D122"/>
      <c r="E122"/>
      <c r="F122"/>
      <c r="G122"/>
      <c r="H122"/>
      <c r="I122"/>
      <c r="J122"/>
      <c r="K122"/>
      <c r="L122"/>
      <c r="M122"/>
      <c r="N122"/>
      <c r="O122"/>
      <c r="P122"/>
      <c r="Q122"/>
      <c r="R122"/>
      <c r="S122"/>
      <c r="T122"/>
      <c r="U122"/>
      <c r="V122"/>
      <c r="W122"/>
      <c r="X122"/>
      <c r="Y122"/>
      <c r="Z122"/>
      <c r="AA122"/>
      <c r="AB122"/>
      <c r="AC122"/>
    </row>
    <row r="123" spans="1:29" s="82" customFormat="1" x14ac:dyDescent="0.25">
      <c r="A123"/>
      <c r="B123"/>
      <c r="C123"/>
      <c r="D123"/>
      <c r="E123"/>
      <c r="F123"/>
      <c r="G123"/>
      <c r="H123"/>
      <c r="I123"/>
      <c r="J123"/>
      <c r="K123"/>
      <c r="L123"/>
      <c r="M123"/>
      <c r="N123"/>
      <c r="O123"/>
      <c r="P123"/>
      <c r="Q123"/>
      <c r="R123"/>
      <c r="S123"/>
      <c r="T123"/>
      <c r="U123"/>
      <c r="V123"/>
      <c r="W123"/>
      <c r="X123"/>
      <c r="Y123"/>
      <c r="Z123"/>
      <c r="AA123"/>
      <c r="AB123"/>
      <c r="AC123"/>
    </row>
    <row r="124" spans="1:29" s="82" customFormat="1" x14ac:dyDescent="0.25">
      <c r="A124"/>
      <c r="B124"/>
      <c r="C124"/>
      <c r="D124"/>
      <c r="E124"/>
      <c r="F124"/>
      <c r="G124"/>
      <c r="H124"/>
      <c r="I124"/>
      <c r="J124"/>
      <c r="K124"/>
      <c r="L124"/>
      <c r="M124"/>
      <c r="N124"/>
      <c r="O124"/>
      <c r="P124"/>
      <c r="Q124"/>
      <c r="R124"/>
      <c r="S124"/>
      <c r="T124"/>
      <c r="U124"/>
      <c r="V124"/>
      <c r="W124"/>
      <c r="X124"/>
      <c r="Y124"/>
      <c r="Z124"/>
      <c r="AA124"/>
      <c r="AB124"/>
      <c r="AC124"/>
    </row>
    <row r="125" spans="1:29" s="82" customFormat="1" x14ac:dyDescent="0.25">
      <c r="A125"/>
      <c r="B125"/>
      <c r="C125"/>
      <c r="D125"/>
      <c r="E125"/>
      <c r="F125"/>
      <c r="G125"/>
      <c r="H125"/>
      <c r="I125"/>
      <c r="J125"/>
      <c r="K125"/>
      <c r="L125"/>
      <c r="M125"/>
      <c r="N125"/>
      <c r="O125"/>
      <c r="P125"/>
      <c r="Q125"/>
      <c r="R125"/>
      <c r="S125"/>
      <c r="T125"/>
      <c r="U125"/>
      <c r="V125"/>
      <c r="W125"/>
      <c r="X125"/>
      <c r="Y125"/>
      <c r="Z125"/>
      <c r="AA125"/>
      <c r="AB125"/>
      <c r="AC125"/>
    </row>
    <row r="126" spans="1:29" s="82" customFormat="1" x14ac:dyDescent="0.25">
      <c r="A126"/>
      <c r="B126"/>
      <c r="C126"/>
      <c r="D126"/>
      <c r="E126"/>
      <c r="F126"/>
      <c r="G126"/>
      <c r="H126"/>
      <c r="I126"/>
      <c r="J126"/>
      <c r="K126"/>
      <c r="L126"/>
      <c r="M126"/>
      <c r="N126"/>
      <c r="O126"/>
      <c r="P126"/>
      <c r="Q126"/>
      <c r="R126"/>
      <c r="S126"/>
      <c r="T126"/>
      <c r="U126"/>
      <c r="V126"/>
      <c r="W126"/>
      <c r="X126"/>
      <c r="Y126"/>
      <c r="Z126"/>
      <c r="AA126"/>
      <c r="AB126"/>
      <c r="AC126"/>
    </row>
    <row r="127" spans="1:29" s="82" customFormat="1" x14ac:dyDescent="0.25">
      <c r="A127"/>
      <c r="B127"/>
      <c r="C127"/>
      <c r="D127"/>
      <c r="E127"/>
      <c r="F127"/>
      <c r="G127"/>
      <c r="H127"/>
      <c r="I127"/>
      <c r="J127"/>
      <c r="K127"/>
      <c r="L127"/>
      <c r="M127"/>
      <c r="N127"/>
      <c r="O127"/>
      <c r="P127"/>
      <c r="Q127"/>
      <c r="R127"/>
      <c r="S127"/>
      <c r="T127"/>
      <c r="U127"/>
      <c r="V127"/>
      <c r="W127"/>
      <c r="X127"/>
      <c r="Y127"/>
      <c r="Z127"/>
      <c r="AA127"/>
      <c r="AB127"/>
      <c r="AC127"/>
    </row>
    <row r="128" spans="1:29" s="82" customFormat="1" x14ac:dyDescent="0.25">
      <c r="A128"/>
      <c r="B128"/>
      <c r="C128"/>
      <c r="D128"/>
      <c r="E128"/>
      <c r="F128"/>
      <c r="G128"/>
      <c r="H128"/>
      <c r="I128"/>
      <c r="J128"/>
      <c r="K128"/>
      <c r="L128"/>
      <c r="M128"/>
      <c r="N128"/>
      <c r="O128"/>
      <c r="P128"/>
      <c r="Q128"/>
      <c r="R128"/>
      <c r="S128"/>
      <c r="T128"/>
      <c r="U128"/>
      <c r="V128"/>
      <c r="W128"/>
      <c r="X128"/>
      <c r="Y128"/>
      <c r="Z128"/>
      <c r="AA128"/>
      <c r="AB128"/>
      <c r="AC128"/>
    </row>
    <row r="129" spans="1:29" s="82" customFormat="1" x14ac:dyDescent="0.25">
      <c r="A129"/>
      <c r="B129"/>
      <c r="C129"/>
      <c r="D129"/>
      <c r="E129"/>
      <c r="F129"/>
      <c r="G129"/>
      <c r="H129"/>
      <c r="I129"/>
      <c r="J129"/>
      <c r="K129"/>
      <c r="L129"/>
      <c r="M129"/>
      <c r="N129"/>
      <c r="O129"/>
      <c r="P129"/>
      <c r="Q129"/>
      <c r="R129"/>
      <c r="S129"/>
      <c r="T129"/>
      <c r="U129"/>
      <c r="V129"/>
      <c r="W129"/>
      <c r="X129"/>
      <c r="Y129"/>
      <c r="Z129"/>
      <c r="AA129"/>
      <c r="AB129"/>
      <c r="AC129"/>
    </row>
    <row r="130" spans="1:29" s="82" customFormat="1" x14ac:dyDescent="0.25">
      <c r="A130"/>
      <c r="B130"/>
      <c r="C130"/>
      <c r="D130"/>
      <c r="E130"/>
      <c r="F130"/>
      <c r="G130"/>
      <c r="H130"/>
      <c r="I130"/>
      <c r="J130"/>
      <c r="K130"/>
      <c r="L130"/>
      <c r="M130"/>
      <c r="N130"/>
      <c r="O130"/>
      <c r="P130"/>
      <c r="Q130"/>
      <c r="R130"/>
      <c r="S130"/>
      <c r="T130"/>
      <c r="U130"/>
      <c r="V130"/>
      <c r="W130"/>
      <c r="X130"/>
      <c r="Y130"/>
      <c r="Z130"/>
      <c r="AA130"/>
      <c r="AB130"/>
      <c r="AC130"/>
    </row>
    <row r="131" spans="1:29" s="82" customFormat="1" x14ac:dyDescent="0.25">
      <c r="A131"/>
      <c r="B131"/>
      <c r="C131"/>
      <c r="D131"/>
      <c r="E131"/>
      <c r="F131"/>
      <c r="G131"/>
      <c r="H131"/>
      <c r="I131"/>
      <c r="J131"/>
      <c r="K131"/>
      <c r="L131"/>
      <c r="M131"/>
      <c r="N131"/>
      <c r="O131"/>
      <c r="P131"/>
      <c r="Q131"/>
      <c r="R131"/>
      <c r="S131"/>
      <c r="T131"/>
      <c r="U131"/>
      <c r="V131"/>
      <c r="W131"/>
      <c r="X131"/>
      <c r="Y131"/>
      <c r="Z131"/>
      <c r="AA131"/>
      <c r="AB131"/>
      <c r="AC131"/>
    </row>
    <row r="132" spans="1:29" s="82" customFormat="1" x14ac:dyDescent="0.25">
      <c r="A132"/>
      <c r="B132"/>
      <c r="C132"/>
      <c r="D132"/>
      <c r="E132"/>
      <c r="F132"/>
      <c r="G132"/>
      <c r="H132"/>
      <c r="I132"/>
      <c r="J132"/>
      <c r="K132"/>
      <c r="L132"/>
      <c r="M132"/>
      <c r="N132"/>
      <c r="O132"/>
      <c r="P132"/>
      <c r="Q132"/>
      <c r="R132"/>
      <c r="S132"/>
      <c r="T132"/>
      <c r="U132"/>
      <c r="V132"/>
      <c r="W132"/>
      <c r="X132"/>
      <c r="Y132"/>
      <c r="Z132"/>
      <c r="AA132"/>
      <c r="AB132"/>
      <c r="AC132"/>
    </row>
    <row r="133" spans="1:29" s="82" customFormat="1" x14ac:dyDescent="0.25">
      <c r="A133"/>
      <c r="B133"/>
      <c r="C133"/>
      <c r="D133"/>
      <c r="E133"/>
      <c r="F133"/>
      <c r="G133"/>
      <c r="H133"/>
      <c r="I133"/>
      <c r="J133"/>
      <c r="K133"/>
      <c r="L133"/>
      <c r="M133"/>
      <c r="N133"/>
      <c r="O133"/>
      <c r="P133"/>
      <c r="Q133"/>
      <c r="R133"/>
      <c r="S133"/>
      <c r="T133"/>
      <c r="U133"/>
      <c r="V133"/>
      <c r="W133"/>
      <c r="X133"/>
      <c r="Y133"/>
      <c r="Z133"/>
      <c r="AA133"/>
      <c r="AB133"/>
      <c r="AC133"/>
    </row>
    <row r="134" spans="1:29" s="82" customFormat="1" x14ac:dyDescent="0.25">
      <c r="A134"/>
      <c r="B134"/>
      <c r="C134"/>
      <c r="D134"/>
      <c r="E134"/>
      <c r="F134"/>
      <c r="G134"/>
      <c r="H134"/>
      <c r="I134"/>
      <c r="J134"/>
      <c r="K134"/>
      <c r="L134"/>
      <c r="M134"/>
      <c r="N134"/>
      <c r="O134"/>
      <c r="P134"/>
      <c r="Q134"/>
      <c r="R134"/>
      <c r="S134"/>
      <c r="T134"/>
      <c r="U134"/>
      <c r="V134"/>
      <c r="W134"/>
      <c r="X134"/>
      <c r="Y134"/>
      <c r="Z134"/>
      <c r="AA134"/>
      <c r="AB134"/>
      <c r="AC134"/>
    </row>
    <row r="135" spans="1:29" s="82" customFormat="1" x14ac:dyDescent="0.25">
      <c r="A135"/>
      <c r="B135"/>
      <c r="C135"/>
      <c r="D135"/>
      <c r="E135"/>
      <c r="F135"/>
      <c r="G135"/>
      <c r="H135"/>
      <c r="I135"/>
      <c r="J135"/>
      <c r="K135"/>
      <c r="L135"/>
      <c r="M135"/>
      <c r="N135"/>
      <c r="O135"/>
      <c r="P135"/>
      <c r="Q135"/>
      <c r="R135"/>
      <c r="S135"/>
      <c r="T135"/>
      <c r="U135"/>
      <c r="V135"/>
      <c r="W135"/>
      <c r="X135"/>
      <c r="Y135"/>
      <c r="Z135"/>
      <c r="AA135"/>
      <c r="AB135"/>
      <c r="AC135"/>
    </row>
    <row r="136" spans="1:29" s="82" customFormat="1" x14ac:dyDescent="0.25">
      <c r="A136"/>
      <c r="B136"/>
      <c r="C136"/>
      <c r="D136"/>
      <c r="E136"/>
      <c r="F136"/>
      <c r="G136"/>
      <c r="H136"/>
      <c r="I136"/>
      <c r="J136"/>
      <c r="K136"/>
      <c r="L136"/>
      <c r="M136"/>
      <c r="N136"/>
      <c r="O136"/>
      <c r="P136"/>
      <c r="Q136"/>
      <c r="R136"/>
      <c r="S136"/>
      <c r="T136"/>
      <c r="U136"/>
      <c r="V136"/>
      <c r="W136"/>
      <c r="X136"/>
      <c r="Y136"/>
      <c r="Z136"/>
      <c r="AA136"/>
      <c r="AB136"/>
      <c r="AC136"/>
    </row>
    <row r="137" spans="1:29" s="82" customFormat="1" x14ac:dyDescent="0.25">
      <c r="A137"/>
      <c r="B137"/>
      <c r="C137"/>
      <c r="D137"/>
      <c r="E137"/>
      <c r="F137"/>
      <c r="G137"/>
      <c r="H137"/>
      <c r="I137"/>
      <c r="J137"/>
      <c r="K137"/>
      <c r="L137"/>
      <c r="M137"/>
      <c r="N137"/>
      <c r="O137"/>
      <c r="P137"/>
      <c r="Q137"/>
      <c r="R137"/>
      <c r="S137"/>
      <c r="T137"/>
      <c r="U137"/>
      <c r="V137"/>
      <c r="W137"/>
      <c r="X137"/>
      <c r="Y137"/>
      <c r="Z137"/>
      <c r="AA137"/>
      <c r="AB137"/>
      <c r="AC137"/>
    </row>
    <row r="138" spans="1:29" s="82" customFormat="1" x14ac:dyDescent="0.25">
      <c r="A138"/>
      <c r="B138"/>
      <c r="C138"/>
      <c r="D138"/>
      <c r="E138"/>
      <c r="F138"/>
      <c r="G138"/>
      <c r="H138"/>
      <c r="I138"/>
      <c r="J138"/>
      <c r="K138"/>
      <c r="L138"/>
      <c r="M138"/>
      <c r="N138"/>
      <c r="O138"/>
      <c r="P138"/>
      <c r="Q138"/>
      <c r="R138"/>
      <c r="S138"/>
      <c r="T138"/>
      <c r="U138"/>
      <c r="V138"/>
      <c r="W138"/>
      <c r="X138"/>
      <c r="Y138"/>
      <c r="Z138"/>
      <c r="AA138"/>
      <c r="AB138"/>
      <c r="AC138"/>
    </row>
    <row r="139" spans="1:29" s="82" customFormat="1" x14ac:dyDescent="0.25">
      <c r="A139"/>
      <c r="B139"/>
      <c r="C139"/>
      <c r="D139"/>
      <c r="E139"/>
      <c r="F139"/>
      <c r="G139"/>
      <c r="H139"/>
      <c r="I139"/>
      <c r="J139"/>
      <c r="K139"/>
      <c r="L139"/>
      <c r="M139"/>
      <c r="N139"/>
      <c r="O139"/>
      <c r="P139"/>
      <c r="Q139"/>
      <c r="R139"/>
      <c r="S139"/>
      <c r="T139"/>
      <c r="U139"/>
      <c r="V139"/>
      <c r="W139"/>
      <c r="X139"/>
      <c r="Y139"/>
      <c r="Z139"/>
      <c r="AA139"/>
      <c r="AB139"/>
      <c r="AC139"/>
    </row>
    <row r="140" spans="1:29" s="82" customFormat="1" x14ac:dyDescent="0.25">
      <c r="A140"/>
      <c r="B140"/>
      <c r="C140"/>
      <c r="D140"/>
      <c r="E140"/>
      <c r="F140"/>
      <c r="G140"/>
      <c r="H140"/>
      <c r="I140"/>
      <c r="J140"/>
      <c r="K140"/>
      <c r="L140"/>
      <c r="M140"/>
      <c r="N140"/>
      <c r="O140"/>
      <c r="P140"/>
      <c r="Q140"/>
      <c r="R140"/>
      <c r="S140"/>
      <c r="T140"/>
      <c r="U140"/>
      <c r="V140"/>
      <c r="W140"/>
      <c r="X140"/>
      <c r="Y140"/>
      <c r="Z140"/>
      <c r="AA140"/>
      <c r="AB140"/>
      <c r="AC140"/>
    </row>
    <row r="141" spans="1:29" s="82" customFormat="1" x14ac:dyDescent="0.25">
      <c r="A141"/>
      <c r="B141"/>
      <c r="C141"/>
      <c r="D141"/>
      <c r="E141"/>
      <c r="F141"/>
      <c r="G141"/>
      <c r="H141"/>
      <c r="I141"/>
      <c r="J141"/>
      <c r="K141"/>
      <c r="L141"/>
      <c r="M141"/>
      <c r="N141"/>
      <c r="O141"/>
      <c r="P141"/>
      <c r="Q141"/>
      <c r="R141"/>
      <c r="S141"/>
      <c r="T141"/>
      <c r="U141"/>
      <c r="V141"/>
      <c r="W141"/>
      <c r="X141"/>
      <c r="Y141"/>
      <c r="Z141"/>
      <c r="AA141"/>
      <c r="AB141"/>
      <c r="AC141"/>
    </row>
    <row r="142" spans="1:29" s="82" customFormat="1" x14ac:dyDescent="0.25">
      <c r="A142"/>
      <c r="B142"/>
      <c r="C142"/>
      <c r="D142"/>
      <c r="E142"/>
      <c r="F142"/>
      <c r="G142"/>
      <c r="H142"/>
      <c r="I142"/>
      <c r="J142"/>
      <c r="K142"/>
      <c r="L142"/>
      <c r="M142"/>
      <c r="N142"/>
      <c r="O142"/>
      <c r="P142"/>
      <c r="Q142"/>
      <c r="R142"/>
      <c r="S142"/>
      <c r="T142"/>
      <c r="U142"/>
      <c r="V142"/>
      <c r="W142"/>
      <c r="X142"/>
      <c r="Y142"/>
      <c r="Z142"/>
      <c r="AA142"/>
      <c r="AB142"/>
      <c r="AC142"/>
    </row>
    <row r="143" spans="1:29" s="82" customFormat="1" x14ac:dyDescent="0.25">
      <c r="A143"/>
      <c r="B143"/>
      <c r="C143"/>
      <c r="D143"/>
      <c r="E143"/>
      <c r="F143"/>
      <c r="G143"/>
      <c r="H143"/>
      <c r="I143"/>
      <c r="J143"/>
      <c r="K143"/>
      <c r="L143"/>
      <c r="M143"/>
      <c r="N143"/>
      <c r="O143"/>
      <c r="P143"/>
      <c r="Q143"/>
      <c r="R143"/>
      <c r="S143"/>
      <c r="T143"/>
      <c r="U143"/>
      <c r="V143"/>
      <c r="W143"/>
      <c r="X143"/>
      <c r="Y143"/>
      <c r="Z143"/>
      <c r="AA143"/>
      <c r="AB143"/>
      <c r="AC143"/>
    </row>
    <row r="144" spans="1:29" s="82" customFormat="1" x14ac:dyDescent="0.25">
      <c r="A144"/>
      <c r="B144"/>
      <c r="C144"/>
      <c r="D144"/>
      <c r="E144"/>
      <c r="F144"/>
      <c r="G144"/>
      <c r="H144"/>
      <c r="I144"/>
      <c r="J144"/>
      <c r="K144"/>
      <c r="L144"/>
      <c r="M144"/>
      <c r="N144"/>
      <c r="O144"/>
      <c r="P144"/>
      <c r="Q144"/>
      <c r="R144"/>
      <c r="S144"/>
      <c r="T144"/>
      <c r="U144"/>
      <c r="V144"/>
      <c r="W144"/>
      <c r="X144"/>
      <c r="Y144"/>
      <c r="Z144"/>
      <c r="AA144"/>
      <c r="AB144"/>
      <c r="AC144"/>
    </row>
    <row r="145" spans="1:29" s="82" customFormat="1" x14ac:dyDescent="0.25">
      <c r="A145"/>
      <c r="B145"/>
      <c r="C145"/>
      <c r="D145"/>
      <c r="E145"/>
      <c r="F145"/>
      <c r="G145"/>
      <c r="H145"/>
      <c r="I145"/>
      <c r="J145"/>
      <c r="K145"/>
      <c r="L145"/>
      <c r="M145"/>
      <c r="N145"/>
      <c r="O145"/>
      <c r="P145"/>
      <c r="Q145"/>
      <c r="R145"/>
      <c r="S145"/>
      <c r="T145"/>
      <c r="U145"/>
      <c r="V145"/>
      <c r="W145"/>
      <c r="X145"/>
      <c r="Y145"/>
      <c r="Z145"/>
      <c r="AA145"/>
      <c r="AB145"/>
      <c r="AC145"/>
    </row>
    <row r="146" spans="1:29" s="82" customFormat="1" x14ac:dyDescent="0.25">
      <c r="A146"/>
      <c r="B146"/>
      <c r="C146"/>
      <c r="D146"/>
      <c r="E146"/>
      <c r="F146"/>
      <c r="G146"/>
      <c r="H146"/>
      <c r="I146"/>
      <c r="J146"/>
      <c r="K146"/>
      <c r="L146"/>
      <c r="M146"/>
      <c r="N146"/>
      <c r="O146"/>
      <c r="P146"/>
      <c r="Q146"/>
      <c r="R146"/>
      <c r="S146"/>
      <c r="T146"/>
      <c r="U146"/>
      <c r="V146"/>
      <c r="W146"/>
      <c r="X146"/>
      <c r="Y146"/>
      <c r="Z146"/>
      <c r="AA146"/>
      <c r="AB146"/>
      <c r="AC146"/>
    </row>
    <row r="147" spans="1:29" s="82" customFormat="1" x14ac:dyDescent="0.25">
      <c r="A147"/>
      <c r="B147"/>
      <c r="C147"/>
      <c r="D147"/>
      <c r="E147"/>
      <c r="F147"/>
      <c r="G147"/>
      <c r="H147"/>
      <c r="I147"/>
      <c r="J147"/>
      <c r="K147"/>
      <c r="L147"/>
      <c r="M147"/>
      <c r="N147"/>
      <c r="O147"/>
      <c r="P147"/>
      <c r="Q147"/>
      <c r="R147"/>
      <c r="S147"/>
      <c r="T147"/>
      <c r="U147"/>
      <c r="V147"/>
      <c r="W147"/>
      <c r="X147"/>
      <c r="Y147"/>
      <c r="Z147"/>
      <c r="AA147"/>
      <c r="AB147"/>
      <c r="AC147"/>
    </row>
    <row r="148" spans="1:29" s="82" customFormat="1" x14ac:dyDescent="0.25">
      <c r="A148"/>
      <c r="B148"/>
      <c r="C148"/>
      <c r="D148"/>
      <c r="E148"/>
      <c r="F148"/>
      <c r="G148"/>
      <c r="H148"/>
      <c r="I148"/>
      <c r="J148"/>
      <c r="K148"/>
      <c r="L148"/>
      <c r="M148"/>
      <c r="N148"/>
      <c r="O148"/>
      <c r="P148"/>
      <c r="Q148"/>
      <c r="R148"/>
      <c r="S148"/>
      <c r="T148"/>
      <c r="U148"/>
      <c r="V148"/>
      <c r="W148"/>
      <c r="X148"/>
      <c r="Y148"/>
      <c r="Z148"/>
      <c r="AA148"/>
      <c r="AB148"/>
      <c r="AC148"/>
    </row>
    <row r="149" spans="1:29" s="82" customFormat="1" x14ac:dyDescent="0.25">
      <c r="A149"/>
      <c r="B149"/>
      <c r="C149"/>
      <c r="D149"/>
      <c r="E149"/>
      <c r="F149"/>
      <c r="G149"/>
      <c r="H149"/>
      <c r="I149"/>
      <c r="J149"/>
      <c r="K149"/>
      <c r="L149"/>
      <c r="M149"/>
      <c r="N149"/>
      <c r="O149"/>
      <c r="P149"/>
      <c r="Q149"/>
      <c r="R149"/>
      <c r="S149"/>
      <c r="T149"/>
      <c r="U149"/>
      <c r="V149"/>
      <c r="W149"/>
      <c r="X149"/>
      <c r="Y149"/>
      <c r="Z149"/>
      <c r="AA149"/>
      <c r="AB149"/>
      <c r="AC149"/>
    </row>
    <row r="150" spans="1:29" s="82" customFormat="1" x14ac:dyDescent="0.25">
      <c r="A150"/>
      <c r="B150"/>
      <c r="C150"/>
      <c r="D150"/>
      <c r="E150"/>
      <c r="F150"/>
      <c r="G150"/>
      <c r="H150"/>
      <c r="I150"/>
      <c r="J150"/>
      <c r="K150"/>
      <c r="L150"/>
      <c r="M150"/>
      <c r="N150"/>
      <c r="O150"/>
      <c r="P150"/>
      <c r="Q150"/>
      <c r="R150"/>
      <c r="S150"/>
      <c r="T150"/>
      <c r="U150"/>
      <c r="V150"/>
      <c r="W150"/>
      <c r="X150"/>
      <c r="Y150"/>
      <c r="Z150"/>
      <c r="AA150"/>
      <c r="AB150"/>
      <c r="AC150"/>
    </row>
    <row r="151" spans="1:29" s="82" customFormat="1" x14ac:dyDescent="0.25">
      <c r="A151"/>
      <c r="B151"/>
      <c r="C151"/>
      <c r="D151"/>
      <c r="E151"/>
      <c r="F151"/>
      <c r="G151"/>
      <c r="H151"/>
      <c r="I151"/>
      <c r="J151"/>
      <c r="K151"/>
      <c r="L151"/>
      <c r="M151"/>
      <c r="N151"/>
      <c r="O151"/>
      <c r="P151"/>
      <c r="Q151"/>
      <c r="R151"/>
      <c r="S151"/>
      <c r="T151"/>
      <c r="U151"/>
      <c r="V151"/>
      <c r="W151"/>
      <c r="X151"/>
      <c r="Y151"/>
      <c r="Z151"/>
      <c r="AA151"/>
      <c r="AB151"/>
      <c r="AC151"/>
    </row>
    <row r="152" spans="1:29" s="82" customFormat="1" x14ac:dyDescent="0.25">
      <c r="A152"/>
      <c r="B152"/>
      <c r="C152"/>
      <c r="D152"/>
      <c r="E152"/>
      <c r="F152"/>
      <c r="G152"/>
      <c r="H152"/>
      <c r="I152"/>
      <c r="J152"/>
      <c r="K152"/>
      <c r="L152"/>
      <c r="M152"/>
      <c r="N152"/>
      <c r="O152"/>
      <c r="P152"/>
      <c r="Q152"/>
      <c r="R152"/>
      <c r="S152"/>
      <c r="T152"/>
      <c r="U152"/>
      <c r="V152"/>
      <c r="W152"/>
      <c r="X152"/>
      <c r="Y152"/>
      <c r="Z152"/>
      <c r="AA152"/>
      <c r="AB152"/>
      <c r="AC152"/>
    </row>
    <row r="153" spans="1:29" s="82" customFormat="1" x14ac:dyDescent="0.25">
      <c r="A153"/>
      <c r="B153"/>
      <c r="C153"/>
      <c r="D153"/>
      <c r="E153"/>
      <c r="F153"/>
      <c r="G153"/>
      <c r="H153"/>
      <c r="I153"/>
      <c r="J153"/>
      <c r="K153"/>
      <c r="L153"/>
      <c r="M153"/>
      <c r="N153"/>
      <c r="O153"/>
      <c r="P153"/>
      <c r="Q153"/>
      <c r="R153"/>
      <c r="S153"/>
      <c r="T153"/>
      <c r="U153"/>
      <c r="V153"/>
      <c r="W153"/>
      <c r="X153"/>
      <c r="Y153"/>
      <c r="Z153"/>
      <c r="AA153"/>
      <c r="AB153"/>
      <c r="AC153"/>
    </row>
    <row r="154" spans="1:29" s="82" customFormat="1" x14ac:dyDescent="0.25">
      <c r="A154"/>
      <c r="B154"/>
      <c r="C154"/>
      <c r="D154"/>
      <c r="E154"/>
      <c r="F154"/>
      <c r="G154"/>
      <c r="H154"/>
      <c r="I154"/>
      <c r="J154"/>
      <c r="K154"/>
      <c r="L154"/>
      <c r="M154"/>
      <c r="N154"/>
      <c r="O154"/>
      <c r="P154"/>
      <c r="Q154"/>
      <c r="R154"/>
      <c r="S154"/>
      <c r="T154"/>
      <c r="U154"/>
      <c r="V154"/>
      <c r="W154"/>
      <c r="X154"/>
      <c r="Y154"/>
      <c r="Z154"/>
      <c r="AA154"/>
      <c r="AB154"/>
      <c r="AC154"/>
    </row>
    <row r="155" spans="1:29" s="82" customFormat="1" x14ac:dyDescent="0.25">
      <c r="A155"/>
      <c r="B155"/>
      <c r="C155"/>
      <c r="D155"/>
      <c r="E155"/>
      <c r="F155"/>
      <c r="G155"/>
      <c r="H155"/>
      <c r="I155"/>
      <c r="J155"/>
      <c r="K155"/>
      <c r="L155"/>
      <c r="M155"/>
      <c r="N155"/>
      <c r="O155"/>
      <c r="P155"/>
      <c r="Q155"/>
      <c r="R155"/>
      <c r="S155"/>
      <c r="T155"/>
      <c r="U155"/>
      <c r="V155"/>
      <c r="W155"/>
      <c r="X155"/>
      <c r="Y155"/>
      <c r="Z155"/>
      <c r="AA155"/>
      <c r="AB155"/>
      <c r="AC155"/>
    </row>
    <row r="156" spans="1:29" s="82" customFormat="1" x14ac:dyDescent="0.25">
      <c r="A156"/>
      <c r="B156"/>
      <c r="C156"/>
      <c r="D156"/>
      <c r="E156"/>
      <c r="F156"/>
      <c r="G156"/>
      <c r="H156"/>
      <c r="I156"/>
      <c r="J156"/>
      <c r="K156"/>
      <c r="L156"/>
      <c r="M156"/>
      <c r="N156"/>
      <c r="O156"/>
      <c r="P156"/>
      <c r="Q156"/>
      <c r="R156"/>
      <c r="S156"/>
      <c r="T156"/>
      <c r="U156"/>
      <c r="V156"/>
      <c r="W156"/>
      <c r="X156"/>
      <c r="Y156"/>
      <c r="Z156"/>
      <c r="AA156"/>
      <c r="AB156"/>
      <c r="AC156"/>
    </row>
    <row r="157" spans="1:29" s="82" customFormat="1" x14ac:dyDescent="0.25">
      <c r="A157"/>
      <c r="B157"/>
      <c r="C157"/>
      <c r="D157"/>
      <c r="E157"/>
      <c r="F157"/>
      <c r="G157"/>
      <c r="H157"/>
      <c r="I157"/>
      <c r="J157"/>
      <c r="K157"/>
      <c r="L157"/>
      <c r="M157"/>
      <c r="N157"/>
      <c r="O157"/>
      <c r="P157"/>
      <c r="Q157"/>
      <c r="R157"/>
      <c r="S157"/>
      <c r="T157"/>
      <c r="U157"/>
      <c r="V157"/>
      <c r="W157"/>
      <c r="X157"/>
      <c r="Y157"/>
      <c r="Z157"/>
      <c r="AA157"/>
      <c r="AB157"/>
      <c r="AC157"/>
    </row>
    <row r="158" spans="1:29" s="82" customFormat="1" x14ac:dyDescent="0.25">
      <c r="A158"/>
      <c r="B158"/>
      <c r="C158"/>
      <c r="D158"/>
      <c r="E158"/>
      <c r="F158"/>
      <c r="G158"/>
      <c r="H158"/>
      <c r="I158"/>
      <c r="J158"/>
      <c r="K158"/>
      <c r="L158"/>
      <c r="M158"/>
      <c r="N158"/>
      <c r="O158"/>
      <c r="P158"/>
      <c r="Q158"/>
      <c r="R158"/>
      <c r="S158"/>
      <c r="T158"/>
      <c r="U158"/>
      <c r="V158"/>
      <c r="W158"/>
      <c r="X158"/>
      <c r="Y158"/>
      <c r="Z158"/>
      <c r="AA158"/>
      <c r="AB158"/>
      <c r="AC158"/>
    </row>
    <row r="159" spans="1:29" s="82" customFormat="1" x14ac:dyDescent="0.25">
      <c r="A159"/>
      <c r="B159"/>
      <c r="C159"/>
      <c r="D159"/>
      <c r="E159"/>
      <c r="F159"/>
      <c r="G159"/>
      <c r="H159"/>
      <c r="I159"/>
      <c r="J159"/>
      <c r="K159"/>
      <c r="L159"/>
      <c r="M159"/>
      <c r="N159"/>
      <c r="O159"/>
      <c r="P159"/>
      <c r="Q159"/>
      <c r="R159"/>
      <c r="S159"/>
      <c r="T159"/>
      <c r="U159"/>
      <c r="V159"/>
      <c r="W159"/>
      <c r="X159"/>
      <c r="Y159"/>
      <c r="Z159"/>
      <c r="AA159"/>
      <c r="AB159"/>
      <c r="AC159"/>
    </row>
    <row r="160" spans="1:29" s="82" customFormat="1" x14ac:dyDescent="0.25">
      <c r="A160"/>
      <c r="B160"/>
      <c r="C160"/>
      <c r="D160"/>
      <c r="E160"/>
      <c r="F160"/>
      <c r="G160"/>
      <c r="H160"/>
      <c r="I160"/>
      <c r="J160"/>
      <c r="K160"/>
      <c r="L160"/>
      <c r="M160"/>
      <c r="N160"/>
      <c r="O160"/>
      <c r="P160"/>
      <c r="Q160"/>
      <c r="R160"/>
      <c r="S160"/>
      <c r="T160"/>
      <c r="U160"/>
      <c r="V160"/>
      <c r="W160"/>
      <c r="X160"/>
      <c r="Y160"/>
      <c r="Z160"/>
      <c r="AA160"/>
      <c r="AB160"/>
      <c r="AC160"/>
    </row>
    <row r="161" spans="1:29" s="82" customFormat="1" x14ac:dyDescent="0.25">
      <c r="A161"/>
      <c r="B161"/>
      <c r="C161"/>
      <c r="D161"/>
      <c r="E161"/>
      <c r="F161"/>
      <c r="G161"/>
      <c r="H161"/>
      <c r="I161"/>
      <c r="J161"/>
      <c r="K161"/>
      <c r="L161"/>
      <c r="M161"/>
      <c r="N161"/>
      <c r="O161"/>
      <c r="P161"/>
      <c r="Q161"/>
      <c r="R161"/>
      <c r="S161"/>
      <c r="T161"/>
      <c r="U161"/>
      <c r="V161"/>
      <c r="W161"/>
      <c r="X161"/>
      <c r="Y161"/>
      <c r="Z161"/>
      <c r="AA161"/>
      <c r="AB161"/>
      <c r="AC161"/>
    </row>
    <row r="162" spans="1:29" s="82" customFormat="1" x14ac:dyDescent="0.25">
      <c r="A162"/>
      <c r="B162"/>
      <c r="C162"/>
      <c r="D162"/>
      <c r="E162"/>
      <c r="F162"/>
      <c r="G162"/>
      <c r="H162"/>
      <c r="I162"/>
      <c r="J162"/>
      <c r="K162"/>
      <c r="L162"/>
      <c r="M162"/>
      <c r="N162"/>
      <c r="O162"/>
      <c r="P162"/>
      <c r="Q162"/>
      <c r="R162"/>
      <c r="S162"/>
      <c r="T162"/>
      <c r="U162"/>
      <c r="V162"/>
      <c r="W162"/>
      <c r="X162"/>
      <c r="Y162"/>
      <c r="Z162"/>
      <c r="AA162"/>
      <c r="AB162"/>
      <c r="AC162"/>
    </row>
    <row r="163" spans="1:29" s="82" customFormat="1" x14ac:dyDescent="0.25">
      <c r="A163"/>
      <c r="B163"/>
      <c r="C163"/>
      <c r="D163"/>
      <c r="E163"/>
      <c r="F163"/>
      <c r="G163"/>
      <c r="H163"/>
      <c r="I163"/>
      <c r="J163"/>
      <c r="K163"/>
      <c r="L163"/>
      <c r="M163"/>
      <c r="N163"/>
      <c r="O163"/>
      <c r="P163"/>
      <c r="Q163"/>
      <c r="R163"/>
      <c r="S163"/>
      <c r="T163"/>
      <c r="U163"/>
      <c r="V163"/>
      <c r="W163"/>
      <c r="X163"/>
      <c r="Y163"/>
      <c r="Z163"/>
      <c r="AA163"/>
      <c r="AB163"/>
      <c r="AC163"/>
    </row>
    <row r="164" spans="1:29" s="82" customFormat="1" x14ac:dyDescent="0.25">
      <c r="A164"/>
      <c r="B164"/>
      <c r="C164"/>
      <c r="D164"/>
      <c r="E164"/>
      <c r="F164"/>
      <c r="G164"/>
      <c r="H164"/>
      <c r="I164"/>
      <c r="J164"/>
      <c r="K164"/>
      <c r="L164"/>
      <c r="M164"/>
      <c r="N164"/>
      <c r="O164"/>
      <c r="P164"/>
      <c r="Q164"/>
      <c r="R164"/>
      <c r="S164"/>
      <c r="T164"/>
      <c r="U164"/>
      <c r="V164"/>
      <c r="W164"/>
      <c r="X164"/>
      <c r="Y164"/>
      <c r="Z164"/>
      <c r="AA164"/>
      <c r="AB164"/>
      <c r="AC164"/>
    </row>
    <row r="165" spans="1:29" s="82" customFormat="1" x14ac:dyDescent="0.25">
      <c r="A165"/>
      <c r="B165"/>
      <c r="C165"/>
      <c r="D165"/>
      <c r="E165"/>
      <c r="F165"/>
      <c r="G165"/>
      <c r="H165"/>
      <c r="I165"/>
      <c r="J165"/>
      <c r="K165"/>
      <c r="L165"/>
      <c r="M165"/>
      <c r="N165"/>
      <c r="O165"/>
      <c r="P165"/>
      <c r="Q165"/>
      <c r="R165"/>
      <c r="S165"/>
      <c r="T165"/>
      <c r="U165"/>
      <c r="V165"/>
      <c r="W165"/>
      <c r="X165"/>
      <c r="Y165"/>
      <c r="Z165"/>
      <c r="AA165"/>
      <c r="AB165"/>
      <c r="AC165"/>
    </row>
    <row r="166" spans="1:29" s="82" customFormat="1" x14ac:dyDescent="0.25">
      <c r="A166"/>
      <c r="B166"/>
      <c r="C166"/>
      <c r="D166"/>
      <c r="E166"/>
      <c r="F166"/>
      <c r="G166"/>
      <c r="H166"/>
      <c r="I166"/>
      <c r="J166"/>
      <c r="K166"/>
      <c r="L166"/>
      <c r="M166"/>
      <c r="N166"/>
      <c r="O166"/>
      <c r="P166"/>
      <c r="Q166"/>
      <c r="R166"/>
      <c r="S166"/>
      <c r="T166"/>
      <c r="U166"/>
      <c r="V166"/>
      <c r="W166"/>
      <c r="X166"/>
      <c r="Y166"/>
      <c r="Z166"/>
      <c r="AA166"/>
      <c r="AB166"/>
      <c r="AC166"/>
    </row>
    <row r="167" spans="1:29" s="82" customFormat="1" x14ac:dyDescent="0.25">
      <c r="A167"/>
      <c r="B167"/>
      <c r="C167"/>
      <c r="D167"/>
      <c r="E167"/>
      <c r="F167"/>
      <c r="G167"/>
      <c r="H167"/>
      <c r="I167"/>
      <c r="J167"/>
      <c r="K167"/>
      <c r="L167"/>
      <c r="M167"/>
      <c r="N167"/>
      <c r="O167"/>
      <c r="P167"/>
      <c r="Q167"/>
      <c r="R167"/>
      <c r="S167"/>
      <c r="T167"/>
      <c r="U167"/>
      <c r="V167"/>
      <c r="W167"/>
      <c r="X167"/>
      <c r="Y167"/>
      <c r="Z167"/>
      <c r="AA167"/>
      <c r="AB167"/>
      <c r="AC167"/>
    </row>
    <row r="168" spans="1:29" s="82" customFormat="1" x14ac:dyDescent="0.25">
      <c r="A168"/>
      <c r="B168"/>
      <c r="C168"/>
      <c r="D168"/>
      <c r="E168"/>
      <c r="F168"/>
      <c r="G168"/>
      <c r="H168"/>
      <c r="I168"/>
      <c r="J168"/>
      <c r="K168"/>
      <c r="L168"/>
      <c r="M168"/>
      <c r="N168"/>
      <c r="O168"/>
      <c r="P168"/>
      <c r="Q168"/>
      <c r="R168"/>
      <c r="S168"/>
      <c r="T168"/>
      <c r="U168"/>
      <c r="V168"/>
      <c r="W168"/>
      <c r="X168"/>
      <c r="Y168"/>
      <c r="Z168"/>
      <c r="AA168"/>
      <c r="AB168"/>
      <c r="AC168"/>
    </row>
    <row r="169" spans="1:29" s="82" customFormat="1" x14ac:dyDescent="0.25">
      <c r="A169"/>
      <c r="B169"/>
      <c r="C169"/>
      <c r="D169"/>
      <c r="E169"/>
      <c r="F169"/>
      <c r="G169"/>
      <c r="H169"/>
      <c r="I169"/>
      <c r="J169"/>
      <c r="K169"/>
      <c r="L169"/>
      <c r="M169"/>
      <c r="N169"/>
      <c r="O169"/>
      <c r="P169"/>
      <c r="Q169"/>
      <c r="R169"/>
      <c r="S169"/>
      <c r="T169"/>
      <c r="U169"/>
      <c r="V169"/>
      <c r="W169"/>
      <c r="X169"/>
      <c r="Y169"/>
      <c r="Z169"/>
      <c r="AA169"/>
      <c r="AB169"/>
      <c r="AC169"/>
    </row>
    <row r="170" spans="1:29" s="82" customFormat="1" x14ac:dyDescent="0.25">
      <c r="A170"/>
      <c r="B170"/>
      <c r="C170"/>
      <c r="D170"/>
      <c r="E170"/>
      <c r="F170"/>
      <c r="G170"/>
      <c r="H170"/>
      <c r="I170"/>
      <c r="J170"/>
      <c r="K170"/>
      <c r="L170"/>
      <c r="M170"/>
      <c r="N170"/>
      <c r="O170"/>
      <c r="P170"/>
      <c r="Q170"/>
      <c r="R170"/>
      <c r="S170"/>
      <c r="T170"/>
      <c r="U170"/>
      <c r="V170"/>
      <c r="W170"/>
      <c r="X170"/>
      <c r="Y170"/>
      <c r="Z170"/>
      <c r="AA170"/>
      <c r="AB170"/>
      <c r="AC170"/>
    </row>
    <row r="171" spans="1:29" s="82" customFormat="1" x14ac:dyDescent="0.25">
      <c r="A171"/>
      <c r="B171"/>
      <c r="C171"/>
      <c r="D171"/>
      <c r="E171"/>
      <c r="F171"/>
      <c r="G171"/>
      <c r="H171"/>
      <c r="I171"/>
      <c r="J171"/>
      <c r="K171"/>
      <c r="L171"/>
      <c r="M171"/>
      <c r="N171"/>
      <c r="O171"/>
      <c r="P171"/>
      <c r="Q171"/>
      <c r="R171"/>
      <c r="S171"/>
      <c r="T171"/>
      <c r="U171"/>
      <c r="V171"/>
      <c r="W171"/>
      <c r="X171"/>
      <c r="Y171"/>
      <c r="Z171"/>
      <c r="AA171"/>
      <c r="AB171"/>
      <c r="AC171"/>
    </row>
    <row r="172" spans="1:29" s="82" customFormat="1" x14ac:dyDescent="0.25">
      <c r="A172"/>
      <c r="B172"/>
      <c r="C172"/>
      <c r="D172"/>
      <c r="E172"/>
      <c r="F172"/>
      <c r="G172"/>
      <c r="H172"/>
      <c r="I172"/>
      <c r="J172"/>
      <c r="K172"/>
      <c r="L172"/>
      <c r="M172"/>
      <c r="N172"/>
      <c r="O172"/>
      <c r="P172"/>
      <c r="Q172"/>
      <c r="R172"/>
      <c r="S172"/>
      <c r="T172"/>
      <c r="U172"/>
      <c r="V172"/>
      <c r="W172"/>
      <c r="X172"/>
      <c r="Y172"/>
      <c r="Z172"/>
      <c r="AA172"/>
      <c r="AB172"/>
      <c r="AC172"/>
    </row>
    <row r="173" spans="1:29" s="82" customFormat="1" x14ac:dyDescent="0.25">
      <c r="A173"/>
      <c r="B173"/>
      <c r="C173"/>
      <c r="D173"/>
      <c r="E173"/>
      <c r="F173"/>
      <c r="G173"/>
      <c r="H173"/>
      <c r="I173"/>
      <c r="J173"/>
      <c r="K173"/>
      <c r="L173"/>
      <c r="M173"/>
      <c r="N173"/>
      <c r="O173"/>
      <c r="P173"/>
      <c r="Q173"/>
      <c r="R173"/>
      <c r="S173"/>
      <c r="T173"/>
      <c r="U173"/>
      <c r="V173"/>
      <c r="W173"/>
      <c r="X173"/>
      <c r="Y173"/>
      <c r="Z173"/>
      <c r="AA173"/>
      <c r="AB173"/>
      <c r="AC173"/>
    </row>
    <row r="174" spans="1:29" s="82" customFormat="1" x14ac:dyDescent="0.25">
      <c r="A174"/>
      <c r="B174"/>
      <c r="C174"/>
      <c r="D174"/>
      <c r="E174"/>
      <c r="F174"/>
      <c r="G174"/>
      <c r="H174"/>
      <c r="I174"/>
      <c r="J174"/>
      <c r="K174"/>
      <c r="L174"/>
      <c r="M174"/>
      <c r="N174"/>
      <c r="O174"/>
      <c r="P174"/>
      <c r="Q174"/>
      <c r="R174"/>
      <c r="S174"/>
      <c r="T174"/>
      <c r="U174"/>
      <c r="V174"/>
      <c r="W174"/>
      <c r="X174"/>
      <c r="Y174"/>
      <c r="Z174"/>
      <c r="AA174"/>
      <c r="AB174"/>
      <c r="AC174"/>
    </row>
    <row r="175" spans="1:29" s="82" customFormat="1" x14ac:dyDescent="0.25">
      <c r="A175"/>
      <c r="B175"/>
      <c r="C175"/>
      <c r="D175"/>
      <c r="E175"/>
      <c r="F175"/>
      <c r="G175"/>
      <c r="H175"/>
      <c r="I175"/>
      <c r="J175"/>
      <c r="K175"/>
      <c r="L175"/>
      <c r="M175"/>
      <c r="N175"/>
      <c r="O175"/>
      <c r="P175"/>
      <c r="Q175"/>
      <c r="R175"/>
      <c r="S175"/>
      <c r="T175"/>
      <c r="U175"/>
      <c r="V175"/>
      <c r="W175"/>
      <c r="X175"/>
      <c r="Y175"/>
      <c r="Z175"/>
      <c r="AA175"/>
      <c r="AB175"/>
      <c r="AC175"/>
    </row>
    <row r="176" spans="1:29" s="82" customFormat="1" x14ac:dyDescent="0.25">
      <c r="A176"/>
      <c r="B176"/>
      <c r="C176"/>
      <c r="D176"/>
      <c r="E176"/>
      <c r="F176"/>
      <c r="G176"/>
      <c r="H176"/>
      <c r="I176"/>
      <c r="J176"/>
      <c r="K176"/>
      <c r="L176"/>
      <c r="M176"/>
      <c r="N176"/>
      <c r="O176"/>
      <c r="P176"/>
      <c r="Q176"/>
      <c r="R176"/>
      <c r="S176"/>
      <c r="T176"/>
      <c r="U176"/>
      <c r="V176"/>
      <c r="W176"/>
      <c r="X176"/>
      <c r="Y176"/>
      <c r="Z176"/>
      <c r="AA176"/>
      <c r="AB176"/>
      <c r="AC176"/>
    </row>
    <row r="177" spans="1:29" s="82" customFormat="1" x14ac:dyDescent="0.25">
      <c r="A177"/>
      <c r="B177"/>
      <c r="C177"/>
      <c r="D177"/>
      <c r="E177"/>
      <c r="F177"/>
      <c r="G177"/>
      <c r="H177"/>
      <c r="I177"/>
      <c r="J177"/>
      <c r="K177"/>
      <c r="L177"/>
      <c r="M177"/>
      <c r="N177"/>
      <c r="O177"/>
      <c r="P177"/>
      <c r="Q177"/>
      <c r="R177"/>
      <c r="S177"/>
      <c r="T177"/>
      <c r="U177"/>
      <c r="V177"/>
      <c r="W177"/>
      <c r="X177"/>
      <c r="Y177"/>
      <c r="Z177"/>
      <c r="AA177"/>
      <c r="AB177"/>
      <c r="AC177"/>
    </row>
    <row r="178" spans="1:29" s="82" customFormat="1" x14ac:dyDescent="0.25">
      <c r="A178"/>
      <c r="B178"/>
      <c r="C178"/>
      <c r="D178"/>
      <c r="E178"/>
      <c r="F178"/>
      <c r="G178"/>
      <c r="H178"/>
      <c r="I178"/>
      <c r="J178"/>
      <c r="K178"/>
      <c r="L178"/>
      <c r="M178"/>
      <c r="N178"/>
      <c r="O178"/>
      <c r="P178"/>
      <c r="Q178"/>
      <c r="R178"/>
      <c r="S178"/>
      <c r="T178"/>
      <c r="U178"/>
      <c r="V178"/>
      <c r="W178"/>
      <c r="X178"/>
      <c r="Y178"/>
      <c r="Z178"/>
      <c r="AA178"/>
      <c r="AB178"/>
      <c r="AC178"/>
    </row>
    <row r="179" spans="1:29" s="82" customFormat="1" x14ac:dyDescent="0.25">
      <c r="A179"/>
      <c r="B179"/>
      <c r="C179"/>
      <c r="D179"/>
      <c r="E179"/>
      <c r="F179"/>
      <c r="G179"/>
      <c r="H179"/>
      <c r="I179"/>
      <c r="J179"/>
      <c r="K179"/>
      <c r="L179"/>
      <c r="M179"/>
      <c r="N179"/>
      <c r="O179"/>
      <c r="P179"/>
      <c r="Q179"/>
      <c r="R179"/>
      <c r="S179"/>
      <c r="T179"/>
      <c r="U179"/>
      <c r="V179"/>
      <c r="W179"/>
      <c r="X179"/>
      <c r="Y179"/>
      <c r="Z179"/>
      <c r="AA179"/>
      <c r="AB179"/>
      <c r="AC179"/>
    </row>
    <row r="180" spans="1:29" s="82" customFormat="1" x14ac:dyDescent="0.25">
      <c r="A180"/>
      <c r="B180"/>
      <c r="C180"/>
      <c r="D180"/>
      <c r="E180"/>
      <c r="F180"/>
      <c r="G180"/>
      <c r="H180"/>
      <c r="I180"/>
      <c r="J180"/>
      <c r="K180"/>
      <c r="L180"/>
      <c r="M180"/>
      <c r="N180"/>
      <c r="O180"/>
      <c r="P180"/>
      <c r="Q180"/>
      <c r="R180"/>
      <c r="S180"/>
      <c r="T180"/>
      <c r="U180"/>
      <c r="V180"/>
      <c r="W180"/>
      <c r="X180"/>
      <c r="Y180"/>
      <c r="Z180"/>
      <c r="AA180"/>
      <c r="AB180"/>
      <c r="AC180"/>
    </row>
    <row r="181" spans="1:29" s="82" customFormat="1" x14ac:dyDescent="0.25">
      <c r="A181"/>
      <c r="B181"/>
      <c r="C181"/>
      <c r="D181"/>
      <c r="E181"/>
      <c r="F181"/>
      <c r="G181"/>
      <c r="H181"/>
      <c r="I181"/>
      <c r="J181"/>
      <c r="K181"/>
      <c r="L181"/>
      <c r="M181"/>
      <c r="N181"/>
      <c r="O181"/>
      <c r="P181"/>
      <c r="Q181"/>
      <c r="R181"/>
      <c r="S181"/>
      <c r="T181"/>
      <c r="U181"/>
      <c r="V181"/>
      <c r="W181"/>
      <c r="X181"/>
      <c r="Y181"/>
      <c r="Z181"/>
      <c r="AA181"/>
      <c r="AB181"/>
      <c r="AC181"/>
    </row>
    <row r="182" spans="1:29" s="82" customFormat="1" x14ac:dyDescent="0.25">
      <c r="A182"/>
      <c r="B182"/>
      <c r="C182"/>
      <c r="D182"/>
      <c r="E182"/>
      <c r="F182"/>
      <c r="G182"/>
      <c r="H182"/>
      <c r="I182"/>
      <c r="J182"/>
      <c r="K182"/>
      <c r="L182"/>
      <c r="M182"/>
      <c r="N182"/>
      <c r="O182"/>
      <c r="P182"/>
      <c r="Q182"/>
      <c r="R182"/>
      <c r="S182"/>
      <c r="T182"/>
      <c r="U182"/>
      <c r="V182"/>
      <c r="W182"/>
      <c r="X182"/>
      <c r="Y182"/>
      <c r="Z182"/>
      <c r="AA182"/>
      <c r="AB182"/>
      <c r="AC182"/>
    </row>
    <row r="183" spans="1:29" s="82" customFormat="1" x14ac:dyDescent="0.25">
      <c r="A183"/>
      <c r="B183"/>
      <c r="C183"/>
      <c r="D183"/>
      <c r="E183"/>
      <c r="F183"/>
      <c r="G183"/>
      <c r="H183"/>
      <c r="I183"/>
      <c r="J183"/>
      <c r="K183"/>
      <c r="L183"/>
      <c r="M183"/>
      <c r="N183"/>
      <c r="O183"/>
      <c r="P183"/>
      <c r="Q183"/>
      <c r="R183"/>
      <c r="S183"/>
      <c r="T183"/>
      <c r="U183"/>
      <c r="V183"/>
      <c r="W183"/>
      <c r="X183"/>
      <c r="Y183"/>
      <c r="Z183"/>
      <c r="AA183"/>
      <c r="AB183"/>
      <c r="AC183"/>
    </row>
    <row r="184" spans="1:29" s="82" customFormat="1" x14ac:dyDescent="0.25">
      <c r="A184"/>
      <c r="B184"/>
      <c r="C184"/>
      <c r="D184"/>
      <c r="E184"/>
      <c r="F184"/>
      <c r="G184"/>
      <c r="H184"/>
      <c r="I184"/>
      <c r="J184"/>
      <c r="K184"/>
      <c r="L184"/>
      <c r="M184"/>
      <c r="N184"/>
      <c r="O184"/>
      <c r="P184"/>
      <c r="Q184"/>
      <c r="R184"/>
      <c r="S184"/>
      <c r="T184"/>
      <c r="U184"/>
      <c r="V184"/>
      <c r="W184"/>
      <c r="X184"/>
      <c r="Y184"/>
      <c r="Z184"/>
      <c r="AA184"/>
      <c r="AB184"/>
      <c r="AC184"/>
    </row>
    <row r="185" spans="1:29" s="82" customFormat="1" x14ac:dyDescent="0.25">
      <c r="A185"/>
      <c r="B185"/>
      <c r="C185"/>
      <c r="D185"/>
      <c r="E185"/>
      <c r="F185"/>
      <c r="G185"/>
      <c r="H185"/>
      <c r="I185"/>
      <c r="J185"/>
      <c r="K185"/>
      <c r="L185"/>
      <c r="M185"/>
      <c r="N185"/>
      <c r="O185"/>
      <c r="P185"/>
      <c r="Q185"/>
      <c r="R185"/>
      <c r="S185"/>
      <c r="T185"/>
      <c r="U185"/>
      <c r="V185"/>
      <c r="W185"/>
      <c r="X185"/>
      <c r="Y185"/>
      <c r="Z185"/>
      <c r="AA185"/>
      <c r="AB185"/>
      <c r="AC185"/>
    </row>
    <row r="186" spans="1:29" s="82" customFormat="1" x14ac:dyDescent="0.25">
      <c r="A186"/>
      <c r="B186"/>
      <c r="C186"/>
      <c r="D186"/>
      <c r="E186"/>
      <c r="F186"/>
      <c r="G186"/>
      <c r="H186"/>
      <c r="I186"/>
      <c r="J186"/>
      <c r="K186"/>
      <c r="L186"/>
      <c r="M186"/>
      <c r="N186"/>
      <c r="O186"/>
      <c r="P186"/>
      <c r="Q186"/>
      <c r="R186"/>
      <c r="S186"/>
      <c r="T186"/>
      <c r="U186"/>
      <c r="V186"/>
      <c r="W186"/>
      <c r="X186"/>
      <c r="Y186"/>
      <c r="Z186"/>
      <c r="AA186"/>
      <c r="AB186"/>
      <c r="AC186"/>
    </row>
    <row r="187" spans="1:29" s="82" customFormat="1" x14ac:dyDescent="0.25">
      <c r="A187"/>
      <c r="B187"/>
      <c r="C187"/>
      <c r="D187"/>
      <c r="E187"/>
      <c r="F187"/>
      <c r="G187"/>
      <c r="H187"/>
      <c r="I187"/>
      <c r="J187"/>
      <c r="K187"/>
      <c r="L187"/>
      <c r="M187"/>
      <c r="N187"/>
      <c r="O187"/>
      <c r="P187"/>
      <c r="Q187"/>
      <c r="R187"/>
      <c r="S187"/>
      <c r="T187"/>
      <c r="U187"/>
      <c r="V187"/>
      <c r="W187"/>
      <c r="X187"/>
      <c r="Y187"/>
      <c r="Z187"/>
      <c r="AA187"/>
      <c r="AB187"/>
      <c r="AC187"/>
    </row>
    <row r="188" spans="1:29" s="82" customFormat="1" x14ac:dyDescent="0.25">
      <c r="A188"/>
      <c r="B188"/>
      <c r="C188"/>
      <c r="D188"/>
      <c r="E188"/>
      <c r="F188"/>
      <c r="G188"/>
      <c r="H188"/>
      <c r="I188"/>
      <c r="J188"/>
      <c r="K188"/>
      <c r="L188"/>
      <c r="M188"/>
      <c r="N188"/>
      <c r="O188"/>
      <c r="P188"/>
      <c r="Q188"/>
      <c r="R188"/>
      <c r="S188"/>
      <c r="T188"/>
      <c r="U188"/>
      <c r="V188"/>
      <c r="W188"/>
      <c r="X188"/>
      <c r="Y188"/>
      <c r="Z188"/>
      <c r="AA188"/>
      <c r="AB188"/>
      <c r="AC188"/>
    </row>
    <row r="189" spans="1:29" s="82" customFormat="1" x14ac:dyDescent="0.25">
      <c r="A189"/>
      <c r="B189"/>
      <c r="C189"/>
      <c r="D189"/>
      <c r="E189"/>
      <c r="F189"/>
      <c r="G189"/>
      <c r="H189"/>
      <c r="I189"/>
      <c r="J189"/>
      <c r="K189"/>
      <c r="L189"/>
      <c r="M189"/>
      <c r="N189"/>
      <c r="O189"/>
      <c r="P189"/>
      <c r="Q189"/>
      <c r="R189"/>
      <c r="S189"/>
      <c r="T189"/>
      <c r="U189"/>
      <c r="V189"/>
      <c r="W189"/>
      <c r="X189"/>
      <c r="Y189"/>
      <c r="Z189"/>
      <c r="AA189"/>
      <c r="AB189"/>
      <c r="AC189"/>
    </row>
    <row r="190" spans="1:29" s="82" customFormat="1" x14ac:dyDescent="0.25">
      <c r="A190"/>
      <c r="B190"/>
      <c r="C190"/>
      <c r="D190"/>
      <c r="E190"/>
      <c r="F190"/>
      <c r="G190"/>
      <c r="H190"/>
      <c r="I190"/>
      <c r="J190"/>
      <c r="K190"/>
      <c r="L190"/>
      <c r="M190"/>
      <c r="N190"/>
      <c r="O190"/>
      <c r="P190"/>
      <c r="Q190"/>
      <c r="R190"/>
      <c r="S190"/>
      <c r="T190"/>
      <c r="U190"/>
      <c r="V190"/>
      <c r="W190"/>
      <c r="X190"/>
      <c r="Y190"/>
      <c r="Z190"/>
      <c r="AA190"/>
      <c r="AB190"/>
      <c r="AC190"/>
    </row>
    <row r="191" spans="1:29" s="82" customFormat="1" x14ac:dyDescent="0.25">
      <c r="A191"/>
      <c r="B191"/>
      <c r="C191"/>
      <c r="D191"/>
      <c r="E191"/>
      <c r="F191"/>
      <c r="G191"/>
      <c r="H191"/>
      <c r="I191"/>
      <c r="J191"/>
      <c r="K191"/>
      <c r="L191"/>
      <c r="M191"/>
      <c r="N191"/>
      <c r="O191"/>
      <c r="P191"/>
      <c r="Q191"/>
      <c r="R191"/>
      <c r="S191"/>
      <c r="T191"/>
      <c r="U191"/>
      <c r="V191"/>
      <c r="W191"/>
      <c r="X191"/>
      <c r="Y191"/>
      <c r="Z191"/>
      <c r="AA191"/>
      <c r="AB191"/>
      <c r="AC191"/>
    </row>
    <row r="192" spans="1:29" s="82" customFormat="1" x14ac:dyDescent="0.25">
      <c r="A192"/>
      <c r="B192"/>
      <c r="C192"/>
      <c r="D192"/>
      <c r="E192"/>
      <c r="F192"/>
      <c r="G192"/>
      <c r="H192"/>
      <c r="I192"/>
      <c r="J192"/>
      <c r="K192"/>
      <c r="L192"/>
      <c r="M192"/>
      <c r="N192"/>
      <c r="O192"/>
      <c r="P192"/>
      <c r="Q192"/>
      <c r="R192"/>
      <c r="S192"/>
      <c r="T192"/>
      <c r="U192"/>
      <c r="V192"/>
      <c r="W192"/>
      <c r="X192"/>
      <c r="Y192"/>
      <c r="Z192"/>
      <c r="AA192"/>
      <c r="AB192"/>
      <c r="AC192"/>
    </row>
    <row r="193" spans="1:29" s="82" customFormat="1" x14ac:dyDescent="0.25">
      <c r="A193"/>
      <c r="B193"/>
      <c r="C193"/>
      <c r="D193"/>
      <c r="E193"/>
      <c r="F193"/>
      <c r="G193"/>
      <c r="H193"/>
      <c r="I193"/>
      <c r="J193"/>
      <c r="K193"/>
      <c r="L193"/>
      <c r="M193"/>
      <c r="N193"/>
      <c r="O193"/>
      <c r="P193"/>
      <c r="Q193"/>
      <c r="R193"/>
      <c r="S193"/>
      <c r="T193"/>
      <c r="U193"/>
      <c r="V193"/>
      <c r="W193"/>
      <c r="X193"/>
      <c r="Y193"/>
      <c r="Z193"/>
      <c r="AA193"/>
      <c r="AB193"/>
      <c r="AC193"/>
    </row>
    <row r="194" spans="1:29" s="82" customFormat="1" x14ac:dyDescent="0.25">
      <c r="A194"/>
      <c r="B194"/>
      <c r="C194"/>
      <c r="D194"/>
      <c r="E194"/>
      <c r="F194"/>
      <c r="G194"/>
      <c r="H194"/>
      <c r="I194"/>
      <c r="J194"/>
      <c r="K194"/>
      <c r="L194"/>
      <c r="M194"/>
      <c r="N194"/>
      <c r="O194"/>
      <c r="P194"/>
      <c r="Q194"/>
      <c r="R194"/>
      <c r="S194"/>
      <c r="T194"/>
      <c r="U194"/>
      <c r="V194"/>
      <c r="W194"/>
      <c r="X194"/>
      <c r="Y194"/>
      <c r="Z194"/>
      <c r="AA194"/>
      <c r="AB194"/>
      <c r="AC194"/>
    </row>
    <row r="195" spans="1:29" s="82" customFormat="1" x14ac:dyDescent="0.25">
      <c r="A195"/>
      <c r="B195"/>
      <c r="C195"/>
      <c r="D195"/>
      <c r="E195"/>
      <c r="F195"/>
      <c r="G195"/>
      <c r="H195"/>
      <c r="I195"/>
      <c r="J195"/>
      <c r="K195"/>
      <c r="L195"/>
      <c r="M195"/>
      <c r="N195"/>
      <c r="O195"/>
      <c r="P195"/>
      <c r="Q195"/>
      <c r="R195"/>
      <c r="S195"/>
      <c r="T195"/>
      <c r="U195"/>
      <c r="V195"/>
      <c r="W195"/>
      <c r="X195"/>
      <c r="Y195"/>
      <c r="Z195"/>
      <c r="AA195"/>
      <c r="AB195"/>
      <c r="AC195"/>
    </row>
    <row r="196" spans="1:29" s="82" customFormat="1" x14ac:dyDescent="0.25">
      <c r="A196"/>
      <c r="B196"/>
      <c r="C196"/>
      <c r="D196"/>
      <c r="E196"/>
      <c r="F196"/>
      <c r="G196"/>
      <c r="H196"/>
      <c r="I196"/>
      <c r="J196"/>
      <c r="K196"/>
      <c r="L196"/>
      <c r="M196"/>
      <c r="N196"/>
      <c r="O196"/>
      <c r="P196"/>
      <c r="Q196"/>
      <c r="R196"/>
      <c r="S196"/>
      <c r="T196"/>
      <c r="U196"/>
      <c r="V196"/>
      <c r="W196"/>
      <c r="X196"/>
      <c r="Y196"/>
      <c r="Z196"/>
      <c r="AA196"/>
      <c r="AB196"/>
      <c r="AC196"/>
    </row>
    <row r="197" spans="1:29" s="82" customFormat="1" x14ac:dyDescent="0.25">
      <c r="A197"/>
      <c r="B197"/>
      <c r="C197"/>
      <c r="D197"/>
      <c r="E197"/>
      <c r="F197"/>
      <c r="G197"/>
      <c r="H197"/>
      <c r="I197"/>
      <c r="J197"/>
      <c r="K197"/>
      <c r="L197"/>
      <c r="M197"/>
      <c r="N197"/>
      <c r="O197"/>
      <c r="P197"/>
      <c r="Q197"/>
      <c r="R197"/>
      <c r="S197"/>
      <c r="T197"/>
      <c r="U197"/>
      <c r="V197"/>
      <c r="W197"/>
      <c r="X197"/>
      <c r="Y197"/>
      <c r="Z197"/>
      <c r="AA197"/>
      <c r="AB197"/>
      <c r="AC197"/>
    </row>
    <row r="198" spans="1:29" s="82" customFormat="1" x14ac:dyDescent="0.25">
      <c r="A198"/>
      <c r="B198"/>
      <c r="C198"/>
      <c r="D198"/>
      <c r="E198"/>
      <c r="F198"/>
      <c r="G198"/>
      <c r="H198"/>
      <c r="I198"/>
      <c r="J198"/>
      <c r="K198"/>
      <c r="L198"/>
      <c r="M198"/>
      <c r="N198"/>
      <c r="O198"/>
      <c r="P198"/>
      <c r="Q198"/>
      <c r="R198"/>
      <c r="S198"/>
      <c r="T198"/>
      <c r="U198"/>
      <c r="V198"/>
      <c r="W198"/>
      <c r="X198"/>
      <c r="Y198"/>
      <c r="Z198"/>
      <c r="AA198"/>
      <c r="AB198"/>
      <c r="AC198"/>
    </row>
    <row r="199" spans="1:29" s="82" customFormat="1" x14ac:dyDescent="0.25">
      <c r="A199"/>
      <c r="B199"/>
      <c r="C199"/>
      <c r="D199"/>
      <c r="E199"/>
      <c r="F199"/>
      <c r="G199"/>
      <c r="H199"/>
      <c r="I199"/>
      <c r="J199"/>
      <c r="K199"/>
      <c r="L199"/>
      <c r="M199"/>
      <c r="N199"/>
      <c r="O199"/>
      <c r="P199"/>
      <c r="Q199"/>
      <c r="R199"/>
      <c r="S199"/>
      <c r="T199"/>
      <c r="U199"/>
      <c r="V199"/>
      <c r="W199"/>
      <c r="X199"/>
      <c r="Y199"/>
      <c r="Z199"/>
      <c r="AA199"/>
      <c r="AB199"/>
      <c r="AC199"/>
    </row>
    <row r="200" spans="1:29" s="82" customFormat="1" x14ac:dyDescent="0.25">
      <c r="A200"/>
      <c r="B200"/>
      <c r="C200"/>
      <c r="D200"/>
      <c r="E200"/>
      <c r="F200"/>
      <c r="G200"/>
      <c r="H200"/>
      <c r="I200"/>
      <c r="J200"/>
      <c r="K200"/>
      <c r="L200"/>
      <c r="M200"/>
      <c r="N200"/>
      <c r="O200"/>
      <c r="P200"/>
      <c r="Q200"/>
      <c r="R200"/>
      <c r="S200"/>
      <c r="T200"/>
      <c r="U200"/>
      <c r="V200"/>
      <c r="W200"/>
      <c r="X200"/>
      <c r="Y200"/>
      <c r="Z200"/>
      <c r="AA200"/>
      <c r="AB200"/>
      <c r="AC200"/>
    </row>
    <row r="201" spans="1:29" s="82" customFormat="1" x14ac:dyDescent="0.25">
      <c r="A201"/>
      <c r="B201"/>
      <c r="C201"/>
      <c r="D201"/>
      <c r="E201"/>
      <c r="F201"/>
      <c r="G201"/>
      <c r="H201"/>
      <c r="I201"/>
      <c r="J201"/>
      <c r="K201"/>
      <c r="L201"/>
      <c r="M201"/>
      <c r="N201"/>
      <c r="O201"/>
      <c r="P201"/>
      <c r="Q201"/>
      <c r="R201"/>
      <c r="S201"/>
      <c r="T201"/>
      <c r="U201"/>
      <c r="V201"/>
      <c r="W201"/>
      <c r="X201"/>
      <c r="Y201"/>
      <c r="Z201"/>
      <c r="AA201"/>
      <c r="AB201"/>
      <c r="AC201"/>
    </row>
    <row r="202" spans="1:29" s="82" customFormat="1" x14ac:dyDescent="0.25">
      <c r="A202"/>
      <c r="B202"/>
      <c r="C202"/>
      <c r="D202"/>
      <c r="E202"/>
      <c r="F202"/>
      <c r="G202"/>
      <c r="H202"/>
      <c r="I202"/>
      <c r="J202"/>
      <c r="K202"/>
      <c r="L202"/>
      <c r="M202"/>
      <c r="N202"/>
      <c r="O202"/>
      <c r="P202"/>
      <c r="Q202"/>
      <c r="R202"/>
      <c r="S202"/>
      <c r="T202"/>
      <c r="U202"/>
      <c r="V202"/>
      <c r="W202"/>
      <c r="X202"/>
      <c r="Y202"/>
      <c r="Z202"/>
      <c r="AA202"/>
      <c r="AB202"/>
      <c r="AC202"/>
    </row>
    <row r="203" spans="1:29" s="82" customFormat="1" x14ac:dyDescent="0.25">
      <c r="A203"/>
      <c r="B203"/>
      <c r="C203"/>
      <c r="D203"/>
      <c r="E203"/>
      <c r="F203"/>
      <c r="G203"/>
      <c r="H203"/>
      <c r="I203"/>
      <c r="J203"/>
      <c r="K203"/>
      <c r="L203"/>
      <c r="M203"/>
      <c r="N203"/>
      <c r="O203"/>
      <c r="P203"/>
      <c r="Q203"/>
      <c r="R203"/>
      <c r="S203"/>
      <c r="T203"/>
      <c r="U203"/>
      <c r="V203"/>
      <c r="W203"/>
      <c r="X203"/>
      <c r="Y203"/>
      <c r="Z203"/>
      <c r="AA203"/>
      <c r="AB203"/>
      <c r="AC203"/>
    </row>
    <row r="204" spans="1:29" s="82" customFormat="1" x14ac:dyDescent="0.25">
      <c r="A204"/>
      <c r="B204"/>
      <c r="C204"/>
      <c r="D204"/>
      <c r="E204"/>
      <c r="F204"/>
      <c r="G204"/>
      <c r="H204"/>
      <c r="I204"/>
      <c r="J204"/>
      <c r="K204"/>
      <c r="L204"/>
      <c r="M204"/>
      <c r="N204"/>
      <c r="O204"/>
      <c r="P204"/>
      <c r="Q204"/>
      <c r="R204"/>
      <c r="S204"/>
      <c r="T204"/>
      <c r="U204"/>
      <c r="V204"/>
      <c r="W204"/>
      <c r="X204"/>
      <c r="Y204"/>
      <c r="Z204"/>
      <c r="AA204"/>
      <c r="AB204"/>
      <c r="AC204"/>
    </row>
    <row r="205" spans="1:29" s="82" customFormat="1" x14ac:dyDescent="0.25">
      <c r="A205"/>
      <c r="B205"/>
      <c r="C205"/>
      <c r="D205"/>
      <c r="E205"/>
      <c r="F205"/>
      <c r="G205"/>
      <c r="H205"/>
      <c r="I205"/>
      <c r="J205"/>
      <c r="K205"/>
      <c r="L205"/>
      <c r="M205"/>
      <c r="N205"/>
      <c r="O205"/>
      <c r="P205"/>
      <c r="Q205"/>
      <c r="R205"/>
      <c r="S205"/>
      <c r="T205"/>
      <c r="U205"/>
      <c r="V205"/>
      <c r="W205"/>
      <c r="X205"/>
      <c r="Y205"/>
      <c r="Z205"/>
      <c r="AA205"/>
      <c r="AB205"/>
      <c r="AC205"/>
    </row>
    <row r="206" spans="1:29" s="82" customFormat="1" x14ac:dyDescent="0.25">
      <c r="A206"/>
      <c r="B206"/>
      <c r="C206"/>
      <c r="D206"/>
      <c r="E206"/>
      <c r="F206"/>
      <c r="G206"/>
      <c r="H206"/>
      <c r="I206"/>
      <c r="J206"/>
      <c r="K206"/>
      <c r="L206"/>
      <c r="M206"/>
      <c r="N206"/>
      <c r="O206"/>
      <c r="P206"/>
      <c r="Q206"/>
      <c r="R206"/>
      <c r="S206"/>
      <c r="T206"/>
      <c r="U206"/>
      <c r="V206"/>
      <c r="W206"/>
      <c r="X206"/>
      <c r="Y206"/>
      <c r="Z206"/>
      <c r="AA206"/>
      <c r="AB206"/>
      <c r="AC206"/>
    </row>
    <row r="207" spans="1:29" s="82" customFormat="1" x14ac:dyDescent="0.25">
      <c r="A207"/>
      <c r="B207"/>
      <c r="C207"/>
      <c r="D207"/>
      <c r="E207"/>
      <c r="F207"/>
      <c r="G207"/>
      <c r="H207"/>
      <c r="I207"/>
      <c r="J207"/>
      <c r="K207"/>
      <c r="L207"/>
      <c r="M207"/>
      <c r="N207"/>
      <c r="O207"/>
      <c r="P207"/>
      <c r="Q207"/>
      <c r="R207"/>
      <c r="S207"/>
      <c r="T207"/>
      <c r="U207"/>
      <c r="V207"/>
      <c r="W207"/>
      <c r="X207"/>
      <c r="Y207"/>
      <c r="Z207"/>
      <c r="AA207"/>
      <c r="AB207"/>
      <c r="AC207"/>
    </row>
    <row r="208" spans="1:29" s="82" customFormat="1" x14ac:dyDescent="0.25">
      <c r="A208"/>
      <c r="B208"/>
      <c r="C208"/>
      <c r="D208"/>
      <c r="E208"/>
      <c r="F208"/>
      <c r="G208"/>
      <c r="H208"/>
      <c r="I208"/>
      <c r="J208"/>
      <c r="K208"/>
      <c r="L208"/>
      <c r="M208"/>
      <c r="N208"/>
      <c r="O208"/>
      <c r="P208"/>
      <c r="Q208"/>
      <c r="R208"/>
      <c r="S208"/>
      <c r="T208"/>
      <c r="U208"/>
      <c r="V208"/>
      <c r="W208"/>
      <c r="X208"/>
      <c r="Y208"/>
      <c r="Z208"/>
      <c r="AA208"/>
      <c r="AB208"/>
      <c r="AC208"/>
    </row>
    <row r="209" spans="1:29" s="82" customFormat="1" x14ac:dyDescent="0.25">
      <c r="A209"/>
      <c r="B209"/>
      <c r="C209"/>
      <c r="D209"/>
      <c r="E209"/>
      <c r="F209"/>
      <c r="G209"/>
      <c r="H209"/>
      <c r="I209"/>
      <c r="J209"/>
      <c r="K209"/>
      <c r="L209"/>
      <c r="M209"/>
      <c r="N209"/>
      <c r="O209"/>
      <c r="P209"/>
      <c r="Q209"/>
      <c r="R209"/>
      <c r="S209"/>
      <c r="T209"/>
      <c r="U209"/>
      <c r="V209"/>
      <c r="W209"/>
      <c r="X209"/>
      <c r="Y209"/>
      <c r="Z209"/>
      <c r="AA209"/>
      <c r="AB209"/>
      <c r="AC209"/>
    </row>
    <row r="210" spans="1:29" s="82" customFormat="1" x14ac:dyDescent="0.25">
      <c r="A210"/>
      <c r="B210"/>
      <c r="C210"/>
      <c r="D210"/>
      <c r="E210"/>
      <c r="F210"/>
      <c r="G210"/>
      <c r="H210"/>
      <c r="I210"/>
      <c r="J210"/>
      <c r="K210"/>
      <c r="L210"/>
      <c r="M210"/>
      <c r="N210"/>
      <c r="O210"/>
      <c r="P210"/>
      <c r="Q210"/>
      <c r="R210"/>
      <c r="S210"/>
      <c r="T210"/>
      <c r="U210"/>
      <c r="V210"/>
      <c r="W210"/>
      <c r="X210"/>
      <c r="Y210"/>
      <c r="Z210"/>
      <c r="AA210"/>
      <c r="AB210"/>
      <c r="AC210"/>
    </row>
    <row r="211" spans="1:29" s="82" customFormat="1" x14ac:dyDescent="0.25">
      <c r="A211"/>
      <c r="B211"/>
      <c r="C211"/>
      <c r="D211"/>
      <c r="E211"/>
      <c r="F211"/>
      <c r="G211"/>
      <c r="H211"/>
      <c r="I211"/>
      <c r="J211"/>
      <c r="K211"/>
      <c r="L211"/>
      <c r="M211"/>
      <c r="N211"/>
      <c r="O211"/>
      <c r="P211"/>
      <c r="Q211"/>
      <c r="R211"/>
      <c r="S211"/>
      <c r="T211"/>
      <c r="U211"/>
      <c r="V211"/>
      <c r="W211"/>
      <c r="X211"/>
      <c r="Y211"/>
      <c r="Z211"/>
      <c r="AA211"/>
      <c r="AB211"/>
      <c r="AC211"/>
    </row>
    <row r="212" spans="1:29" s="82" customFormat="1" x14ac:dyDescent="0.25">
      <c r="A212"/>
      <c r="B212"/>
      <c r="C212"/>
      <c r="D212"/>
      <c r="E212"/>
      <c r="F212"/>
      <c r="G212"/>
      <c r="H212"/>
      <c r="I212"/>
      <c r="J212"/>
      <c r="K212"/>
      <c r="L212"/>
      <c r="M212"/>
      <c r="N212"/>
      <c r="O212"/>
      <c r="P212"/>
      <c r="Q212"/>
      <c r="R212"/>
      <c r="S212"/>
      <c r="T212"/>
      <c r="U212"/>
      <c r="V212"/>
      <c r="W212"/>
      <c r="X212"/>
      <c r="Y212"/>
      <c r="Z212"/>
      <c r="AA212"/>
      <c r="AB212"/>
      <c r="AC212"/>
    </row>
    <row r="213" spans="1:29" s="82" customFormat="1" x14ac:dyDescent="0.25">
      <c r="A213"/>
      <c r="B213"/>
      <c r="C213"/>
      <c r="D213"/>
      <c r="E213"/>
      <c r="F213"/>
      <c r="G213"/>
      <c r="H213"/>
      <c r="I213"/>
      <c r="J213"/>
      <c r="K213"/>
      <c r="L213"/>
      <c r="M213"/>
      <c r="N213"/>
      <c r="O213"/>
      <c r="P213"/>
      <c r="Q213"/>
      <c r="R213"/>
      <c r="S213"/>
      <c r="T213"/>
      <c r="U213"/>
      <c r="V213"/>
      <c r="W213"/>
      <c r="X213"/>
      <c r="Y213"/>
      <c r="Z213"/>
      <c r="AA213"/>
      <c r="AB213"/>
      <c r="AC213"/>
    </row>
    <row r="214" spans="1:29" s="82" customFormat="1" x14ac:dyDescent="0.25">
      <c r="A214"/>
      <c r="B214"/>
      <c r="C214"/>
      <c r="D214"/>
      <c r="E214"/>
      <c r="F214"/>
      <c r="G214"/>
      <c r="H214"/>
      <c r="I214"/>
      <c r="J214"/>
      <c r="K214"/>
      <c r="L214"/>
      <c r="M214"/>
      <c r="N214"/>
      <c r="O214"/>
      <c r="P214"/>
      <c r="Q214"/>
      <c r="R214"/>
      <c r="S214"/>
      <c r="T214"/>
      <c r="U214"/>
      <c r="V214"/>
      <c r="W214"/>
      <c r="X214"/>
      <c r="Y214"/>
      <c r="Z214"/>
      <c r="AA214"/>
      <c r="AB214"/>
      <c r="AC214"/>
    </row>
    <row r="215" spans="1:29" s="82" customFormat="1" x14ac:dyDescent="0.25">
      <c r="A215"/>
      <c r="B215"/>
      <c r="C215"/>
      <c r="D215"/>
      <c r="E215"/>
      <c r="F215"/>
      <c r="G215"/>
      <c r="H215"/>
      <c r="I215"/>
      <c r="J215"/>
      <c r="K215"/>
      <c r="L215"/>
      <c r="M215"/>
      <c r="N215"/>
      <c r="O215"/>
      <c r="P215"/>
      <c r="Q215"/>
      <c r="R215"/>
      <c r="S215"/>
      <c r="T215"/>
      <c r="U215"/>
      <c r="V215"/>
      <c r="W215"/>
      <c r="X215"/>
      <c r="Y215"/>
      <c r="Z215"/>
      <c r="AA215"/>
      <c r="AB215"/>
      <c r="AC215"/>
    </row>
    <row r="216" spans="1:29" s="82" customFormat="1" x14ac:dyDescent="0.25">
      <c r="A216"/>
      <c r="B216"/>
      <c r="C216"/>
      <c r="D216"/>
      <c r="E216"/>
      <c r="F216"/>
      <c r="G216"/>
      <c r="H216"/>
      <c r="I216"/>
      <c r="J216"/>
      <c r="K216"/>
      <c r="L216"/>
      <c r="M216"/>
      <c r="N216"/>
      <c r="O216"/>
      <c r="P216"/>
      <c r="Q216"/>
      <c r="R216"/>
      <c r="S216"/>
      <c r="T216"/>
      <c r="U216"/>
      <c r="V216"/>
      <c r="W216"/>
      <c r="X216"/>
      <c r="Y216"/>
      <c r="Z216"/>
      <c r="AA216"/>
      <c r="AB216"/>
      <c r="AC216"/>
    </row>
    <row r="217" spans="1:29" s="82" customFormat="1" x14ac:dyDescent="0.25">
      <c r="A217"/>
      <c r="B217"/>
      <c r="C217"/>
      <c r="D217"/>
      <c r="E217"/>
      <c r="F217"/>
      <c r="G217"/>
      <c r="H217"/>
      <c r="I217"/>
      <c r="J217"/>
      <c r="K217"/>
      <c r="L217"/>
      <c r="M217"/>
      <c r="N217"/>
      <c r="O217"/>
      <c r="P217"/>
      <c r="Q217"/>
      <c r="R217"/>
      <c r="S217"/>
      <c r="T217"/>
      <c r="U217"/>
      <c r="V217"/>
      <c r="W217"/>
      <c r="X217"/>
      <c r="Y217"/>
      <c r="Z217"/>
      <c r="AA217"/>
      <c r="AB217"/>
      <c r="AC217"/>
    </row>
    <row r="218" spans="1:29" s="82" customFormat="1" x14ac:dyDescent="0.25">
      <c r="A218"/>
      <c r="B218"/>
      <c r="C218"/>
      <c r="D218"/>
      <c r="E218"/>
      <c r="F218"/>
      <c r="G218"/>
      <c r="H218"/>
      <c r="I218"/>
      <c r="J218"/>
      <c r="K218"/>
      <c r="L218"/>
      <c r="M218"/>
      <c r="N218"/>
      <c r="O218"/>
      <c r="P218"/>
      <c r="Q218"/>
      <c r="R218"/>
      <c r="S218"/>
      <c r="T218"/>
      <c r="U218"/>
      <c r="V218"/>
      <c r="W218"/>
      <c r="X218"/>
      <c r="Y218"/>
      <c r="Z218"/>
      <c r="AA218"/>
      <c r="AB218"/>
      <c r="AC218"/>
    </row>
    <row r="219" spans="1:29" s="82" customFormat="1" x14ac:dyDescent="0.25">
      <c r="A219"/>
      <c r="B219"/>
      <c r="C219"/>
      <c r="D219"/>
      <c r="E219"/>
      <c r="F219"/>
      <c r="G219"/>
      <c r="H219"/>
      <c r="I219"/>
      <c r="J219"/>
      <c r="K219"/>
      <c r="L219"/>
      <c r="M219"/>
      <c r="N219"/>
      <c r="O219"/>
      <c r="P219"/>
      <c r="Q219"/>
      <c r="R219"/>
      <c r="S219"/>
      <c r="T219"/>
      <c r="U219"/>
      <c r="V219"/>
      <c r="W219"/>
      <c r="X219"/>
      <c r="Y219"/>
      <c r="Z219"/>
      <c r="AA219"/>
      <c r="AB219"/>
      <c r="AC219"/>
    </row>
    <row r="220" spans="1:29" s="82" customFormat="1" x14ac:dyDescent="0.25">
      <c r="A220"/>
      <c r="B220"/>
      <c r="C220"/>
      <c r="D220"/>
      <c r="E220"/>
      <c r="F220"/>
      <c r="G220"/>
      <c r="H220"/>
      <c r="I220"/>
      <c r="J220"/>
      <c r="K220"/>
      <c r="L220"/>
      <c r="M220"/>
      <c r="N220"/>
      <c r="O220"/>
      <c r="P220"/>
      <c r="Q220"/>
      <c r="R220"/>
      <c r="S220"/>
      <c r="T220"/>
      <c r="U220"/>
      <c r="V220"/>
      <c r="W220"/>
      <c r="X220"/>
      <c r="Y220"/>
      <c r="Z220"/>
      <c r="AA220"/>
      <c r="AB220"/>
      <c r="AC220"/>
    </row>
    <row r="221" spans="1:29" s="82" customFormat="1" x14ac:dyDescent="0.25">
      <c r="A221"/>
      <c r="B221"/>
      <c r="C221"/>
      <c r="D221"/>
      <c r="E221"/>
      <c r="F221"/>
      <c r="G221"/>
      <c r="H221"/>
      <c r="I221"/>
      <c r="J221"/>
      <c r="K221"/>
      <c r="L221"/>
      <c r="M221"/>
      <c r="N221"/>
      <c r="O221"/>
      <c r="P221"/>
      <c r="Q221"/>
      <c r="R221"/>
      <c r="S221"/>
      <c r="T221"/>
      <c r="U221"/>
      <c r="V221"/>
      <c r="W221"/>
      <c r="X221"/>
      <c r="Y221"/>
      <c r="Z221"/>
      <c r="AA221"/>
      <c r="AB221"/>
      <c r="AC221"/>
    </row>
    <row r="222" spans="1:29" s="82" customFormat="1" x14ac:dyDescent="0.25">
      <c r="A222"/>
      <c r="B222"/>
      <c r="C222"/>
      <c r="D222"/>
      <c r="E222"/>
      <c r="F222"/>
      <c r="G222"/>
      <c r="H222"/>
      <c r="I222"/>
      <c r="J222"/>
      <c r="K222"/>
      <c r="L222"/>
      <c r="M222"/>
      <c r="N222"/>
      <c r="O222"/>
      <c r="P222"/>
      <c r="Q222"/>
      <c r="R222"/>
      <c r="S222"/>
      <c r="T222"/>
      <c r="U222"/>
      <c r="V222"/>
      <c r="W222"/>
      <c r="X222"/>
      <c r="Y222"/>
      <c r="Z222"/>
      <c r="AA222"/>
      <c r="AB222"/>
      <c r="AC222"/>
    </row>
    <row r="223" spans="1:29" s="82" customFormat="1" x14ac:dyDescent="0.25">
      <c r="A223"/>
      <c r="B223"/>
      <c r="C223"/>
      <c r="D223"/>
      <c r="E223"/>
      <c r="F223"/>
      <c r="G223"/>
      <c r="H223"/>
      <c r="I223"/>
      <c r="J223"/>
      <c r="K223"/>
      <c r="L223"/>
      <c r="M223"/>
      <c r="N223"/>
      <c r="O223"/>
      <c r="P223"/>
      <c r="Q223"/>
      <c r="R223"/>
      <c r="S223"/>
      <c r="T223"/>
      <c r="U223"/>
      <c r="V223"/>
      <c r="W223"/>
      <c r="X223"/>
      <c r="Y223"/>
      <c r="Z223"/>
      <c r="AA223"/>
      <c r="AB223"/>
      <c r="AC223"/>
    </row>
    <row r="224" spans="1:29" s="82" customFormat="1" x14ac:dyDescent="0.25">
      <c r="A224"/>
      <c r="B224"/>
      <c r="C224"/>
      <c r="D224"/>
      <c r="E224"/>
      <c r="F224"/>
      <c r="G224"/>
      <c r="H224"/>
      <c r="I224"/>
      <c r="J224"/>
      <c r="K224"/>
      <c r="L224"/>
      <c r="M224"/>
      <c r="N224"/>
      <c r="O224"/>
      <c r="P224"/>
      <c r="Q224"/>
      <c r="R224"/>
      <c r="S224"/>
      <c r="T224"/>
      <c r="U224"/>
      <c r="V224"/>
      <c r="W224"/>
      <c r="X224"/>
      <c r="Y224"/>
      <c r="Z224"/>
      <c r="AA224"/>
      <c r="AB224"/>
      <c r="AC224"/>
    </row>
    <row r="225" spans="1:29" s="82" customFormat="1" x14ac:dyDescent="0.25">
      <c r="A225"/>
      <c r="B225"/>
      <c r="C225"/>
      <c r="D225"/>
      <c r="E225"/>
      <c r="F225"/>
      <c r="G225"/>
      <c r="H225"/>
      <c r="I225"/>
      <c r="J225"/>
      <c r="K225"/>
      <c r="L225"/>
      <c r="M225"/>
      <c r="N225"/>
      <c r="O225"/>
      <c r="P225"/>
      <c r="Q225"/>
      <c r="R225"/>
      <c r="S225"/>
      <c r="T225"/>
      <c r="U225"/>
      <c r="V225"/>
      <c r="W225"/>
      <c r="X225"/>
      <c r="Y225"/>
      <c r="Z225"/>
      <c r="AA225"/>
      <c r="AB225"/>
      <c r="AC225"/>
    </row>
    <row r="226" spans="1:29" s="82" customFormat="1" x14ac:dyDescent="0.25">
      <c r="A226"/>
      <c r="B226"/>
      <c r="C226"/>
      <c r="D226"/>
      <c r="E226"/>
      <c r="F226"/>
      <c r="G226"/>
      <c r="H226"/>
      <c r="I226"/>
      <c r="J226"/>
      <c r="K226"/>
      <c r="L226"/>
      <c r="M226"/>
      <c r="N226"/>
      <c r="O226"/>
      <c r="P226"/>
      <c r="Q226"/>
      <c r="R226"/>
      <c r="S226"/>
      <c r="T226"/>
      <c r="U226"/>
      <c r="V226"/>
      <c r="W226"/>
      <c r="X226"/>
      <c r="Y226"/>
      <c r="Z226"/>
      <c r="AA226"/>
      <c r="AB226"/>
      <c r="AC226"/>
    </row>
    <row r="227" spans="1:29" s="82" customFormat="1" x14ac:dyDescent="0.25">
      <c r="A227"/>
      <c r="B227"/>
      <c r="C227"/>
      <c r="D227"/>
      <c r="E227"/>
      <c r="F227"/>
      <c r="G227"/>
      <c r="H227"/>
      <c r="I227"/>
      <c r="J227"/>
      <c r="K227"/>
      <c r="L227"/>
      <c r="M227"/>
      <c r="N227"/>
      <c r="O227"/>
      <c r="P227"/>
      <c r="Q227"/>
      <c r="R227"/>
      <c r="S227"/>
      <c r="T227"/>
      <c r="U227"/>
      <c r="V227"/>
      <c r="W227"/>
      <c r="X227"/>
      <c r="Y227"/>
      <c r="Z227"/>
      <c r="AA227"/>
      <c r="AB227"/>
      <c r="AC227"/>
    </row>
    <row r="228" spans="1:29" s="82" customFormat="1" x14ac:dyDescent="0.25">
      <c r="A228"/>
      <c r="B228"/>
      <c r="C228"/>
      <c r="D228"/>
      <c r="E228"/>
      <c r="F228"/>
      <c r="G228"/>
      <c r="H228"/>
      <c r="I228"/>
      <c r="J228"/>
      <c r="K228"/>
      <c r="L228"/>
      <c r="M228"/>
      <c r="N228"/>
      <c r="O228"/>
      <c r="P228"/>
      <c r="Q228"/>
      <c r="R228"/>
      <c r="S228"/>
      <c r="T228"/>
      <c r="U228"/>
      <c r="V228"/>
      <c r="W228"/>
      <c r="X228"/>
      <c r="Y228"/>
      <c r="Z228"/>
      <c r="AA228"/>
      <c r="AB228"/>
      <c r="AC228"/>
    </row>
    <row r="229" spans="1:29" s="82" customFormat="1" x14ac:dyDescent="0.25">
      <c r="A229"/>
      <c r="B229"/>
      <c r="C229"/>
      <c r="D229"/>
      <c r="E229"/>
      <c r="F229"/>
      <c r="G229"/>
      <c r="H229"/>
      <c r="I229"/>
      <c r="J229"/>
      <c r="K229"/>
      <c r="L229"/>
      <c r="M229"/>
      <c r="N229"/>
      <c r="O229"/>
      <c r="P229"/>
      <c r="Q229"/>
      <c r="R229"/>
      <c r="S229"/>
      <c r="T229"/>
      <c r="U229"/>
      <c r="V229"/>
      <c r="W229"/>
      <c r="X229"/>
      <c r="Y229"/>
      <c r="Z229"/>
      <c r="AA229"/>
      <c r="AB229"/>
      <c r="AC229"/>
    </row>
    <row r="230" spans="1:29" s="82" customFormat="1" x14ac:dyDescent="0.25">
      <c r="A230"/>
      <c r="B230"/>
      <c r="C230"/>
      <c r="D230"/>
      <c r="E230"/>
      <c r="F230"/>
      <c r="G230"/>
      <c r="H230"/>
      <c r="I230"/>
      <c r="J230"/>
      <c r="K230"/>
      <c r="L230"/>
      <c r="M230"/>
      <c r="N230"/>
      <c r="O230"/>
      <c r="P230"/>
      <c r="Q230"/>
      <c r="R230"/>
      <c r="S230"/>
      <c r="T230"/>
      <c r="U230"/>
      <c r="V230"/>
      <c r="W230"/>
      <c r="X230"/>
      <c r="Y230"/>
      <c r="Z230"/>
      <c r="AA230"/>
      <c r="AB230"/>
      <c r="AC230"/>
    </row>
    <row r="231" spans="1:29" s="82" customFormat="1" x14ac:dyDescent="0.25">
      <c r="A231"/>
      <c r="B231"/>
      <c r="C231"/>
      <c r="D231"/>
      <c r="E231"/>
      <c r="F231"/>
      <c r="G231"/>
      <c r="H231"/>
      <c r="I231"/>
      <c r="J231"/>
      <c r="K231"/>
      <c r="L231"/>
      <c r="M231"/>
      <c r="N231"/>
      <c r="O231"/>
      <c r="P231"/>
      <c r="Q231"/>
      <c r="R231"/>
      <c r="S231"/>
      <c r="T231"/>
      <c r="U231"/>
      <c r="V231"/>
      <c r="W231"/>
      <c r="X231"/>
      <c r="Y231"/>
      <c r="Z231"/>
      <c r="AA231"/>
      <c r="AB231"/>
      <c r="AC231"/>
    </row>
    <row r="232" spans="1:29" s="82" customFormat="1" x14ac:dyDescent="0.25">
      <c r="A232"/>
      <c r="B232"/>
      <c r="C232"/>
      <c r="D232"/>
      <c r="E232"/>
      <c r="F232"/>
      <c r="G232"/>
      <c r="H232"/>
      <c r="I232"/>
      <c r="J232"/>
      <c r="K232"/>
      <c r="L232"/>
      <c r="M232"/>
      <c r="N232"/>
      <c r="O232"/>
      <c r="P232"/>
      <c r="Q232"/>
      <c r="R232"/>
      <c r="S232"/>
      <c r="T232"/>
      <c r="U232"/>
      <c r="V232"/>
      <c r="W232"/>
      <c r="X232"/>
      <c r="Y232"/>
      <c r="Z232"/>
      <c r="AA232"/>
      <c r="AB232"/>
      <c r="AC232"/>
    </row>
    <row r="233" spans="1:29" s="82" customFormat="1" x14ac:dyDescent="0.25">
      <c r="A233"/>
      <c r="B233"/>
      <c r="C233"/>
      <c r="D233"/>
      <c r="E233"/>
      <c r="F233"/>
      <c r="G233"/>
      <c r="H233"/>
      <c r="I233"/>
      <c r="J233"/>
      <c r="K233"/>
      <c r="L233"/>
      <c r="M233"/>
      <c r="N233"/>
      <c r="O233"/>
      <c r="P233"/>
      <c r="Q233"/>
      <c r="R233"/>
      <c r="S233"/>
      <c r="T233"/>
      <c r="U233"/>
      <c r="V233"/>
      <c r="W233"/>
      <c r="X233"/>
      <c r="Y233"/>
      <c r="Z233"/>
      <c r="AA233"/>
      <c r="AB233"/>
      <c r="AC233"/>
    </row>
    <row r="234" spans="1:29" s="82" customFormat="1" x14ac:dyDescent="0.25">
      <c r="A234"/>
      <c r="B234"/>
      <c r="C234"/>
      <c r="D234"/>
      <c r="E234"/>
      <c r="F234"/>
      <c r="G234"/>
      <c r="H234"/>
      <c r="I234"/>
      <c r="J234"/>
      <c r="K234"/>
      <c r="L234"/>
      <c r="M234"/>
      <c r="N234"/>
      <c r="O234"/>
      <c r="P234"/>
      <c r="Q234"/>
      <c r="R234"/>
      <c r="S234"/>
      <c r="T234"/>
      <c r="U234"/>
      <c r="V234"/>
      <c r="W234"/>
      <c r="X234"/>
      <c r="Y234"/>
      <c r="Z234"/>
      <c r="AA234"/>
      <c r="AB234"/>
      <c r="AC234"/>
    </row>
    <row r="235" spans="1:29" s="82" customFormat="1" x14ac:dyDescent="0.25">
      <c r="A235"/>
      <c r="B235"/>
      <c r="C235"/>
      <c r="D235"/>
      <c r="E235"/>
      <c r="F235"/>
      <c r="G235"/>
      <c r="H235"/>
      <c r="I235"/>
      <c r="J235"/>
      <c r="K235"/>
      <c r="L235"/>
      <c r="M235"/>
      <c r="N235"/>
      <c r="O235"/>
      <c r="P235"/>
      <c r="Q235"/>
      <c r="R235"/>
      <c r="S235"/>
      <c r="T235"/>
      <c r="U235"/>
      <c r="V235"/>
      <c r="W235"/>
      <c r="X235"/>
      <c r="Y235"/>
      <c r="Z235"/>
      <c r="AA235"/>
      <c r="AB235"/>
      <c r="AC235"/>
    </row>
    <row r="236" spans="1:29" s="82" customFormat="1" x14ac:dyDescent="0.25">
      <c r="A236"/>
      <c r="B236"/>
      <c r="C236"/>
      <c r="D236"/>
      <c r="E236"/>
      <c r="F236"/>
      <c r="G236"/>
      <c r="H236"/>
      <c r="I236"/>
      <c r="J236"/>
      <c r="K236"/>
      <c r="L236"/>
      <c r="M236"/>
      <c r="N236"/>
      <c r="O236"/>
      <c r="P236"/>
      <c r="Q236"/>
      <c r="R236"/>
      <c r="S236"/>
      <c r="T236"/>
      <c r="U236"/>
      <c r="V236"/>
      <c r="W236"/>
      <c r="X236"/>
      <c r="Y236"/>
      <c r="Z236"/>
      <c r="AA236"/>
      <c r="AB236"/>
      <c r="AC236"/>
    </row>
    <row r="237" spans="1:29" s="82" customFormat="1" x14ac:dyDescent="0.25">
      <c r="A237"/>
      <c r="B237"/>
      <c r="C237"/>
      <c r="D237"/>
      <c r="E237"/>
      <c r="F237"/>
      <c r="G237"/>
      <c r="H237"/>
      <c r="I237"/>
      <c r="J237"/>
      <c r="K237"/>
      <c r="L237"/>
      <c r="M237"/>
      <c r="N237"/>
      <c r="O237"/>
      <c r="P237"/>
      <c r="Q237"/>
      <c r="R237"/>
      <c r="S237"/>
      <c r="T237"/>
      <c r="U237"/>
      <c r="V237"/>
      <c r="W237"/>
      <c r="X237"/>
      <c r="Y237"/>
      <c r="Z237"/>
      <c r="AA237"/>
      <c r="AB237"/>
      <c r="AC237"/>
    </row>
    <row r="238" spans="1:29" s="82" customFormat="1" x14ac:dyDescent="0.25">
      <c r="A238"/>
      <c r="B238"/>
      <c r="C238"/>
      <c r="D238"/>
      <c r="E238"/>
      <c r="F238"/>
      <c r="G238"/>
      <c r="H238"/>
      <c r="I238"/>
      <c r="J238"/>
      <c r="K238"/>
      <c r="L238"/>
      <c r="M238"/>
      <c r="N238"/>
      <c r="O238"/>
      <c r="P238"/>
      <c r="Q238"/>
      <c r="R238"/>
      <c r="S238"/>
      <c r="T238"/>
      <c r="U238"/>
      <c r="V238"/>
      <c r="W238"/>
      <c r="X238"/>
      <c r="Y238"/>
      <c r="Z238"/>
      <c r="AA238"/>
      <c r="AB238"/>
      <c r="AC238"/>
    </row>
    <row r="239" spans="1:29" s="82" customFormat="1" x14ac:dyDescent="0.25">
      <c r="A239"/>
      <c r="B239"/>
      <c r="C239"/>
      <c r="D239"/>
      <c r="E239"/>
      <c r="F239"/>
      <c r="G239"/>
      <c r="H239"/>
      <c r="I239"/>
      <c r="J239"/>
      <c r="K239"/>
      <c r="L239"/>
      <c r="M239"/>
      <c r="N239"/>
      <c r="O239"/>
      <c r="P239"/>
      <c r="Q239"/>
      <c r="R239"/>
      <c r="S239"/>
      <c r="T239"/>
      <c r="U239"/>
      <c r="V239"/>
      <c r="W239"/>
      <c r="X239"/>
      <c r="Y239"/>
      <c r="Z239"/>
      <c r="AA239"/>
      <c r="AB239"/>
      <c r="AC239"/>
    </row>
    <row r="240" spans="1:29" s="82" customFormat="1" x14ac:dyDescent="0.25">
      <c r="A240"/>
      <c r="B240"/>
      <c r="C240"/>
      <c r="D240"/>
      <c r="E240"/>
      <c r="F240"/>
      <c r="G240"/>
      <c r="H240"/>
      <c r="I240"/>
      <c r="J240"/>
      <c r="K240"/>
      <c r="L240"/>
      <c r="M240"/>
      <c r="N240"/>
      <c r="O240"/>
      <c r="P240"/>
      <c r="Q240"/>
      <c r="R240"/>
      <c r="S240"/>
      <c r="T240"/>
      <c r="U240"/>
      <c r="V240"/>
      <c r="W240"/>
      <c r="X240"/>
      <c r="Y240"/>
      <c r="Z240"/>
      <c r="AA240"/>
      <c r="AB240"/>
      <c r="AC240"/>
    </row>
    <row r="241" spans="1:29" s="82" customFormat="1" x14ac:dyDescent="0.25">
      <c r="A241"/>
      <c r="B241"/>
      <c r="C241"/>
      <c r="D241"/>
      <c r="E241"/>
      <c r="F241"/>
      <c r="G241"/>
      <c r="H241"/>
      <c r="I241"/>
      <c r="J241"/>
      <c r="K241"/>
      <c r="L241"/>
      <c r="M241"/>
      <c r="N241"/>
      <c r="O241"/>
      <c r="P241"/>
      <c r="Q241"/>
      <c r="R241"/>
      <c r="S241"/>
      <c r="T241"/>
      <c r="U241"/>
      <c r="V241"/>
      <c r="W241"/>
      <c r="X241"/>
      <c r="Y241"/>
      <c r="Z241"/>
      <c r="AA241"/>
      <c r="AB241"/>
      <c r="AC241"/>
    </row>
    <row r="242" spans="1:29" s="82" customFormat="1" x14ac:dyDescent="0.25">
      <c r="A242"/>
      <c r="B242"/>
      <c r="C242"/>
      <c r="D242"/>
      <c r="E242"/>
      <c r="F242"/>
      <c r="G242"/>
      <c r="H242"/>
      <c r="I242"/>
      <c r="J242"/>
      <c r="K242"/>
      <c r="L242"/>
      <c r="M242"/>
      <c r="N242"/>
      <c r="O242"/>
      <c r="P242"/>
      <c r="Q242"/>
      <c r="R242"/>
      <c r="S242"/>
      <c r="T242"/>
      <c r="U242"/>
      <c r="V242"/>
      <c r="W242"/>
      <c r="X242"/>
      <c r="Y242"/>
      <c r="Z242"/>
      <c r="AA242"/>
      <c r="AB242"/>
      <c r="AC242"/>
    </row>
    <row r="243" spans="1:29" s="82" customFormat="1" x14ac:dyDescent="0.25">
      <c r="A243"/>
      <c r="B243"/>
      <c r="C243"/>
      <c r="D243"/>
      <c r="E243"/>
      <c r="F243"/>
      <c r="G243"/>
      <c r="H243"/>
      <c r="I243"/>
      <c r="J243"/>
      <c r="K243"/>
      <c r="L243"/>
      <c r="M243"/>
      <c r="N243"/>
      <c r="O243"/>
      <c r="P243"/>
      <c r="Q243"/>
      <c r="R243"/>
      <c r="S243"/>
      <c r="T243"/>
      <c r="U243"/>
      <c r="V243"/>
      <c r="W243"/>
      <c r="X243"/>
      <c r="Y243"/>
      <c r="Z243"/>
      <c r="AA243"/>
      <c r="AB243"/>
      <c r="AC243"/>
    </row>
    <row r="244" spans="1:29" s="82" customFormat="1" x14ac:dyDescent="0.25">
      <c r="A244"/>
      <c r="B244"/>
      <c r="C244"/>
      <c r="D244"/>
      <c r="E244"/>
      <c r="F244"/>
      <c r="G244"/>
      <c r="H244"/>
      <c r="I244"/>
      <c r="J244"/>
      <c r="K244"/>
      <c r="L244"/>
      <c r="M244"/>
      <c r="N244"/>
      <c r="O244"/>
      <c r="P244"/>
      <c r="Q244"/>
      <c r="R244"/>
      <c r="S244"/>
      <c r="T244"/>
      <c r="U244"/>
      <c r="V244"/>
      <c r="W244"/>
      <c r="X244"/>
      <c r="Y244"/>
      <c r="Z244"/>
      <c r="AA244"/>
      <c r="AB244"/>
      <c r="AC244"/>
    </row>
    <row r="245" spans="1:29" s="82" customFormat="1" x14ac:dyDescent="0.25">
      <c r="A245"/>
      <c r="B245"/>
      <c r="C245"/>
      <c r="D245"/>
      <c r="E245"/>
      <c r="F245"/>
      <c r="G245"/>
      <c r="H245"/>
      <c r="I245"/>
      <c r="J245"/>
      <c r="K245"/>
      <c r="L245"/>
      <c r="M245"/>
      <c r="N245"/>
      <c r="O245"/>
      <c r="P245"/>
      <c r="Q245"/>
      <c r="R245"/>
      <c r="S245"/>
      <c r="T245"/>
      <c r="U245"/>
      <c r="V245"/>
      <c r="W245"/>
      <c r="X245"/>
      <c r="Y245"/>
      <c r="Z245"/>
      <c r="AA245"/>
      <c r="AB245"/>
      <c r="AC245"/>
    </row>
    <row r="246" spans="1:29" s="82" customFormat="1" x14ac:dyDescent="0.25">
      <c r="A246"/>
      <c r="B246"/>
      <c r="C246"/>
      <c r="D246"/>
      <c r="E246"/>
      <c r="F246"/>
      <c r="G246"/>
      <c r="H246"/>
      <c r="I246"/>
      <c r="J246"/>
      <c r="K246"/>
      <c r="L246"/>
      <c r="M246"/>
      <c r="N246"/>
      <c r="O246"/>
      <c r="P246"/>
      <c r="Q246"/>
      <c r="R246"/>
      <c r="S246"/>
      <c r="T246"/>
      <c r="U246"/>
      <c r="V246"/>
      <c r="W246"/>
      <c r="X246"/>
      <c r="Y246"/>
      <c r="Z246"/>
      <c r="AA246"/>
      <c r="AB246"/>
      <c r="AC246"/>
    </row>
    <row r="247" spans="1:29" s="82" customFormat="1" x14ac:dyDescent="0.25">
      <c r="A247"/>
      <c r="B247"/>
      <c r="C247"/>
      <c r="D247"/>
      <c r="E247"/>
      <c r="F247"/>
      <c r="G247"/>
      <c r="H247"/>
      <c r="I247"/>
      <c r="J247"/>
      <c r="K247"/>
      <c r="L247"/>
      <c r="M247"/>
      <c r="N247"/>
      <c r="O247"/>
      <c r="P247"/>
      <c r="Q247"/>
      <c r="R247"/>
      <c r="S247"/>
      <c r="T247"/>
      <c r="U247"/>
      <c r="V247"/>
      <c r="W247"/>
      <c r="X247"/>
      <c r="Y247"/>
      <c r="Z247"/>
      <c r="AA247"/>
      <c r="AB247"/>
      <c r="AC247"/>
    </row>
    <row r="248" spans="1:29" s="82" customFormat="1" x14ac:dyDescent="0.25">
      <c r="A248"/>
      <c r="B248"/>
      <c r="C248"/>
      <c r="D248"/>
      <c r="E248"/>
      <c r="F248"/>
      <c r="G248"/>
      <c r="H248"/>
      <c r="I248"/>
      <c r="J248"/>
      <c r="K248"/>
      <c r="L248"/>
      <c r="M248"/>
      <c r="N248"/>
      <c r="O248"/>
      <c r="P248"/>
      <c r="Q248"/>
      <c r="R248"/>
      <c r="S248"/>
      <c r="T248"/>
      <c r="U248"/>
      <c r="V248"/>
      <c r="W248"/>
      <c r="X248"/>
      <c r="Y248"/>
      <c r="Z248"/>
      <c r="AA248"/>
      <c r="AB248"/>
      <c r="AC248"/>
    </row>
    <row r="249" spans="1:29" s="82" customFormat="1" x14ac:dyDescent="0.25">
      <c r="A249"/>
      <c r="B249"/>
      <c r="C249"/>
      <c r="D249"/>
      <c r="E249"/>
      <c r="F249"/>
      <c r="G249"/>
      <c r="H249"/>
      <c r="I249"/>
      <c r="J249"/>
      <c r="K249"/>
      <c r="L249"/>
      <c r="M249"/>
      <c r="N249"/>
      <c r="O249"/>
      <c r="P249"/>
      <c r="Q249"/>
      <c r="R249"/>
      <c r="S249"/>
      <c r="T249"/>
      <c r="U249"/>
      <c r="V249"/>
      <c r="W249"/>
      <c r="X249"/>
      <c r="Y249"/>
      <c r="Z249"/>
      <c r="AA249"/>
      <c r="AB249"/>
      <c r="AC249"/>
    </row>
    <row r="250" spans="1:29" s="82" customFormat="1" x14ac:dyDescent="0.25">
      <c r="A250"/>
      <c r="B250"/>
      <c r="C250"/>
      <c r="D250"/>
      <c r="E250"/>
      <c r="F250"/>
      <c r="G250"/>
      <c r="H250"/>
      <c r="I250"/>
      <c r="J250"/>
      <c r="K250"/>
      <c r="L250"/>
      <c r="M250"/>
      <c r="N250"/>
      <c r="O250"/>
      <c r="P250"/>
      <c r="Q250"/>
      <c r="R250"/>
      <c r="S250"/>
      <c r="T250"/>
      <c r="U250"/>
      <c r="V250"/>
      <c r="W250"/>
      <c r="X250"/>
      <c r="Y250"/>
      <c r="Z250"/>
      <c r="AA250"/>
      <c r="AB250"/>
      <c r="AC250"/>
    </row>
    <row r="251" spans="1:29" s="82" customFormat="1" x14ac:dyDescent="0.25">
      <c r="A251"/>
      <c r="B251"/>
      <c r="C251"/>
      <c r="D251"/>
      <c r="E251"/>
      <c r="F251"/>
      <c r="G251"/>
      <c r="H251"/>
      <c r="I251"/>
      <c r="J251"/>
      <c r="K251"/>
      <c r="L251"/>
      <c r="M251"/>
      <c r="N251"/>
      <c r="O251"/>
      <c r="P251"/>
      <c r="Q251"/>
      <c r="R251"/>
      <c r="S251"/>
      <c r="T251"/>
      <c r="U251"/>
      <c r="V251"/>
      <c r="W251"/>
      <c r="X251"/>
      <c r="Y251"/>
      <c r="Z251"/>
      <c r="AA251"/>
      <c r="AB251"/>
      <c r="AC251"/>
    </row>
    <row r="252" spans="1:29" s="82" customFormat="1" x14ac:dyDescent="0.25">
      <c r="A252"/>
      <c r="B252"/>
      <c r="C252"/>
      <c r="D252"/>
      <c r="E252"/>
      <c r="F252"/>
      <c r="G252"/>
      <c r="H252"/>
      <c r="I252"/>
      <c r="J252"/>
      <c r="K252"/>
      <c r="L252"/>
      <c r="M252"/>
      <c r="N252"/>
      <c r="O252"/>
      <c r="P252"/>
      <c r="Q252"/>
      <c r="R252"/>
      <c r="S252"/>
      <c r="T252"/>
      <c r="U252"/>
      <c r="V252"/>
      <c r="W252"/>
      <c r="X252"/>
      <c r="Y252"/>
      <c r="Z252"/>
      <c r="AA252"/>
      <c r="AB252"/>
      <c r="AC252"/>
    </row>
    <row r="253" spans="1:29" s="82" customFormat="1" x14ac:dyDescent="0.25">
      <c r="A253"/>
      <c r="B253"/>
      <c r="C253"/>
      <c r="D253"/>
      <c r="E253"/>
      <c r="F253"/>
      <c r="G253"/>
      <c r="H253"/>
      <c r="I253"/>
      <c r="J253"/>
      <c r="K253"/>
      <c r="L253"/>
      <c r="M253"/>
      <c r="N253"/>
      <c r="O253"/>
      <c r="P253"/>
      <c r="Q253"/>
      <c r="R253"/>
      <c r="S253"/>
      <c r="T253"/>
      <c r="U253"/>
      <c r="V253"/>
      <c r="W253"/>
      <c r="X253"/>
      <c r="Y253"/>
      <c r="Z253"/>
      <c r="AA253"/>
      <c r="AB253"/>
      <c r="AC253"/>
    </row>
    <row r="254" spans="1:29" s="82" customFormat="1" x14ac:dyDescent="0.25">
      <c r="A254"/>
      <c r="B254"/>
      <c r="C254"/>
      <c r="D254"/>
      <c r="E254"/>
      <c r="F254"/>
      <c r="G254"/>
      <c r="H254"/>
      <c r="I254"/>
      <c r="J254"/>
      <c r="K254"/>
      <c r="L254"/>
      <c r="M254"/>
      <c r="N254"/>
      <c r="O254"/>
      <c r="P254"/>
      <c r="Q254"/>
      <c r="R254"/>
      <c r="S254"/>
      <c r="T254"/>
      <c r="U254"/>
      <c r="V254"/>
      <c r="W254"/>
      <c r="X254"/>
      <c r="Y254"/>
      <c r="Z254"/>
      <c r="AA254"/>
      <c r="AB254"/>
      <c r="AC254"/>
    </row>
    <row r="255" spans="1:29" s="82" customFormat="1" x14ac:dyDescent="0.25">
      <c r="A255"/>
      <c r="B255"/>
      <c r="C255"/>
      <c r="D255"/>
      <c r="E255"/>
      <c r="F255"/>
      <c r="G255"/>
      <c r="H255"/>
      <c r="I255"/>
      <c r="J255"/>
      <c r="K255"/>
      <c r="L255"/>
      <c r="M255"/>
      <c r="N255"/>
      <c r="O255"/>
      <c r="P255"/>
      <c r="Q255"/>
      <c r="R255"/>
      <c r="S255"/>
      <c r="T255"/>
      <c r="U255"/>
      <c r="V255"/>
      <c r="W255"/>
      <c r="X255"/>
      <c r="Y255"/>
      <c r="Z255"/>
      <c r="AA255"/>
      <c r="AB255"/>
      <c r="AC255"/>
    </row>
    <row r="256" spans="1:29" s="82" customFormat="1" x14ac:dyDescent="0.25">
      <c r="A256"/>
      <c r="B256"/>
      <c r="C256"/>
      <c r="D256"/>
      <c r="E256"/>
      <c r="F256"/>
      <c r="G256"/>
      <c r="H256"/>
      <c r="I256"/>
      <c r="J256"/>
      <c r="K256"/>
      <c r="L256"/>
      <c r="M256"/>
      <c r="N256"/>
      <c r="O256"/>
      <c r="P256"/>
      <c r="Q256"/>
      <c r="R256"/>
      <c r="S256"/>
      <c r="T256"/>
      <c r="U256"/>
      <c r="V256"/>
      <c r="W256"/>
      <c r="X256"/>
      <c r="Y256"/>
      <c r="Z256"/>
      <c r="AA256"/>
      <c r="AB256"/>
      <c r="AC256"/>
    </row>
    <row r="257" spans="1:29" s="82" customFormat="1" x14ac:dyDescent="0.25">
      <c r="A257"/>
      <c r="B257"/>
      <c r="C257"/>
      <c r="D257"/>
      <c r="E257"/>
      <c r="F257"/>
      <c r="G257"/>
      <c r="H257"/>
      <c r="I257"/>
      <c r="J257"/>
      <c r="K257"/>
      <c r="L257"/>
      <c r="M257"/>
      <c r="N257"/>
      <c r="O257"/>
      <c r="P257"/>
      <c r="Q257"/>
      <c r="R257"/>
      <c r="S257"/>
      <c r="T257"/>
      <c r="U257"/>
      <c r="V257"/>
      <c r="W257"/>
      <c r="X257"/>
      <c r="Y257"/>
      <c r="Z257"/>
      <c r="AA257"/>
      <c r="AB257"/>
      <c r="AC257"/>
    </row>
    <row r="258" spans="1:29" s="82" customFormat="1" x14ac:dyDescent="0.25">
      <c r="A258"/>
      <c r="B258"/>
      <c r="C258"/>
      <c r="D258"/>
      <c r="E258"/>
      <c r="F258"/>
      <c r="G258"/>
      <c r="H258"/>
      <c r="I258"/>
      <c r="J258"/>
      <c r="K258"/>
      <c r="L258"/>
      <c r="M258"/>
      <c r="N258"/>
      <c r="O258"/>
      <c r="P258"/>
      <c r="Q258"/>
      <c r="R258"/>
      <c r="S258"/>
      <c r="T258"/>
      <c r="U258"/>
      <c r="V258"/>
      <c r="W258"/>
      <c r="X258"/>
      <c r="Y258"/>
      <c r="Z258"/>
      <c r="AA258"/>
      <c r="AB258"/>
      <c r="AC258"/>
    </row>
    <row r="259" spans="1:29" s="82" customFormat="1" x14ac:dyDescent="0.25">
      <c r="A259"/>
      <c r="B259"/>
      <c r="C259"/>
      <c r="D259"/>
      <c r="E259"/>
      <c r="F259"/>
      <c r="G259"/>
      <c r="H259"/>
      <c r="I259"/>
      <c r="J259"/>
      <c r="K259"/>
      <c r="L259"/>
      <c r="M259"/>
      <c r="N259"/>
      <c r="O259"/>
      <c r="P259"/>
      <c r="Q259"/>
      <c r="R259"/>
      <c r="S259"/>
      <c r="T259"/>
      <c r="U259"/>
      <c r="V259"/>
      <c r="W259"/>
      <c r="X259"/>
      <c r="Y259"/>
      <c r="Z259"/>
      <c r="AA259"/>
      <c r="AB259"/>
      <c r="AC259"/>
    </row>
    <row r="260" spans="1:29" s="82" customFormat="1" x14ac:dyDescent="0.25">
      <c r="A260"/>
      <c r="B260"/>
      <c r="C260"/>
      <c r="D260"/>
      <c r="E260"/>
      <c r="F260"/>
      <c r="G260"/>
      <c r="H260"/>
      <c r="I260"/>
      <c r="J260"/>
      <c r="K260"/>
      <c r="L260"/>
      <c r="M260"/>
      <c r="N260"/>
      <c r="O260"/>
      <c r="P260"/>
      <c r="Q260"/>
      <c r="R260"/>
      <c r="S260"/>
      <c r="T260"/>
      <c r="U260"/>
      <c r="V260"/>
      <c r="W260"/>
      <c r="X260"/>
      <c r="Y260"/>
      <c r="Z260"/>
      <c r="AA260"/>
      <c r="AB260"/>
      <c r="AC260"/>
    </row>
    <row r="261" spans="1:29" s="82" customFormat="1" x14ac:dyDescent="0.25">
      <c r="A261"/>
      <c r="B261"/>
      <c r="C261"/>
      <c r="D261"/>
      <c r="E261"/>
      <c r="F261"/>
      <c r="G261"/>
      <c r="H261"/>
      <c r="I261"/>
      <c r="J261"/>
      <c r="K261"/>
      <c r="L261"/>
      <c r="M261"/>
      <c r="N261"/>
      <c r="O261"/>
      <c r="P261"/>
      <c r="Q261"/>
      <c r="R261"/>
      <c r="S261"/>
      <c r="T261"/>
      <c r="U261"/>
      <c r="V261"/>
      <c r="W261"/>
      <c r="X261"/>
      <c r="Y261"/>
      <c r="Z261"/>
      <c r="AA261"/>
      <c r="AB261"/>
      <c r="AC261"/>
    </row>
    <row r="262" spans="1:29" s="82" customFormat="1" x14ac:dyDescent="0.25">
      <c r="A262"/>
      <c r="B262"/>
      <c r="C262"/>
      <c r="D262"/>
      <c r="E262"/>
      <c r="F262"/>
      <c r="G262"/>
      <c r="H262"/>
      <c r="I262"/>
      <c r="J262"/>
      <c r="K262"/>
      <c r="L262"/>
      <c r="M262"/>
      <c r="N262"/>
      <c r="O262"/>
      <c r="P262"/>
      <c r="Q262"/>
      <c r="R262"/>
      <c r="S262"/>
      <c r="T262"/>
      <c r="U262"/>
      <c r="V262"/>
      <c r="W262"/>
      <c r="X262"/>
      <c r="Y262"/>
      <c r="Z262"/>
      <c r="AA262"/>
      <c r="AB262"/>
      <c r="AC262"/>
    </row>
    <row r="263" spans="1:29" s="82" customFormat="1" x14ac:dyDescent="0.25">
      <c r="A263"/>
      <c r="B263"/>
      <c r="C263"/>
      <c r="D263"/>
      <c r="E263"/>
      <c r="F263"/>
      <c r="G263"/>
      <c r="H263"/>
      <c r="I263"/>
      <c r="J263"/>
      <c r="K263"/>
      <c r="L263"/>
      <c r="M263"/>
      <c r="N263"/>
      <c r="O263"/>
      <c r="P263"/>
      <c r="Q263"/>
      <c r="R263"/>
      <c r="S263"/>
      <c r="T263"/>
      <c r="U263"/>
      <c r="V263"/>
      <c r="W263"/>
      <c r="X263"/>
      <c r="Y263"/>
      <c r="Z263"/>
      <c r="AA263"/>
      <c r="AB263"/>
      <c r="AC263"/>
    </row>
    <row r="264" spans="1:29" s="82" customFormat="1" x14ac:dyDescent="0.25">
      <c r="A264"/>
      <c r="B264"/>
      <c r="C264"/>
      <c r="D264"/>
      <c r="E264"/>
      <c r="F264"/>
      <c r="G264"/>
      <c r="H264"/>
      <c r="I264"/>
      <c r="J264"/>
      <c r="K264"/>
      <c r="L264"/>
      <c r="M264"/>
      <c r="N264"/>
      <c r="O264"/>
      <c r="P264"/>
      <c r="Q264"/>
      <c r="R264"/>
      <c r="S264"/>
      <c r="T264"/>
      <c r="U264"/>
      <c r="V264"/>
      <c r="W264"/>
      <c r="X264"/>
      <c r="Y264"/>
      <c r="Z264"/>
      <c r="AA264"/>
      <c r="AB264"/>
      <c r="AC264"/>
    </row>
    <row r="265" spans="1:29" s="82" customFormat="1" x14ac:dyDescent="0.25">
      <c r="A265"/>
      <c r="B265"/>
      <c r="C265"/>
      <c r="D265"/>
      <c r="E265"/>
      <c r="F265"/>
      <c r="G265"/>
      <c r="H265"/>
      <c r="I265"/>
      <c r="J265"/>
      <c r="K265"/>
      <c r="L265"/>
      <c r="M265"/>
      <c r="N265"/>
      <c r="O265"/>
      <c r="P265"/>
      <c r="Q265"/>
      <c r="R265"/>
      <c r="S265"/>
      <c r="T265"/>
      <c r="U265"/>
      <c r="V265"/>
      <c r="W265"/>
      <c r="X265"/>
      <c r="Y265"/>
      <c r="Z265"/>
      <c r="AA265"/>
      <c r="AB265"/>
      <c r="AC265"/>
    </row>
    <row r="266" spans="1:29" s="82" customFormat="1" x14ac:dyDescent="0.25">
      <c r="A266"/>
      <c r="B266"/>
      <c r="C266"/>
      <c r="D266"/>
      <c r="E266"/>
      <c r="F266"/>
      <c r="G266"/>
      <c r="H266"/>
      <c r="I266"/>
      <c r="J266"/>
      <c r="K266"/>
      <c r="L266"/>
      <c r="M266"/>
      <c r="N266"/>
      <c r="O266"/>
      <c r="P266"/>
      <c r="Q266"/>
      <c r="R266"/>
      <c r="S266"/>
      <c r="T266"/>
      <c r="U266"/>
      <c r="V266"/>
      <c r="W266"/>
      <c r="X266"/>
      <c r="Y266"/>
      <c r="Z266"/>
      <c r="AA266"/>
      <c r="AB266"/>
      <c r="AC266"/>
    </row>
    <row r="267" spans="1:29" s="82" customFormat="1" x14ac:dyDescent="0.25">
      <c r="A267"/>
      <c r="B267"/>
      <c r="C267"/>
      <c r="D267"/>
      <c r="E267"/>
      <c r="F267"/>
      <c r="G267"/>
      <c r="H267"/>
      <c r="I267"/>
      <c r="J267"/>
      <c r="K267"/>
      <c r="L267"/>
      <c r="M267"/>
      <c r="N267"/>
      <c r="O267"/>
      <c r="P267"/>
      <c r="Q267"/>
      <c r="R267"/>
      <c r="S267"/>
      <c r="T267"/>
      <c r="U267"/>
      <c r="V267"/>
      <c r="W267"/>
      <c r="X267"/>
      <c r="Y267"/>
      <c r="Z267"/>
      <c r="AA267"/>
      <c r="AB267"/>
      <c r="AC267"/>
    </row>
    <row r="268" spans="1:29" s="82" customFormat="1" x14ac:dyDescent="0.25">
      <c r="A268"/>
      <c r="B268"/>
      <c r="C268"/>
      <c r="D268"/>
      <c r="E268"/>
      <c r="F268"/>
      <c r="G268"/>
      <c r="H268"/>
      <c r="I268"/>
      <c r="J268"/>
      <c r="K268"/>
      <c r="L268"/>
      <c r="M268"/>
      <c r="N268"/>
      <c r="O268"/>
      <c r="P268"/>
      <c r="Q268"/>
      <c r="R268"/>
      <c r="S268"/>
      <c r="T268"/>
      <c r="U268"/>
      <c r="V268"/>
      <c r="W268"/>
      <c r="X268"/>
      <c r="Y268"/>
      <c r="Z268"/>
      <c r="AA268"/>
      <c r="AB268"/>
      <c r="AC268"/>
    </row>
    <row r="269" spans="1:29" s="82" customFormat="1" x14ac:dyDescent="0.25">
      <c r="A269"/>
      <c r="B269"/>
      <c r="C269"/>
      <c r="D269"/>
      <c r="E269"/>
      <c r="F269"/>
      <c r="G269"/>
      <c r="H269"/>
      <c r="I269"/>
      <c r="J269"/>
      <c r="K269"/>
      <c r="L269"/>
      <c r="M269"/>
      <c r="N269"/>
      <c r="O269"/>
      <c r="P269"/>
      <c r="Q269"/>
      <c r="R269"/>
      <c r="S269"/>
      <c r="T269"/>
      <c r="U269"/>
      <c r="V269"/>
      <c r="W269"/>
      <c r="X269"/>
      <c r="Y269"/>
      <c r="Z269"/>
      <c r="AA269"/>
      <c r="AB269"/>
      <c r="AC269"/>
    </row>
    <row r="270" spans="1:29" s="82" customFormat="1" x14ac:dyDescent="0.25">
      <c r="A270"/>
      <c r="B270"/>
      <c r="C270"/>
      <c r="D270"/>
      <c r="E270"/>
      <c r="F270"/>
      <c r="G270"/>
      <c r="H270"/>
      <c r="I270"/>
      <c r="J270"/>
      <c r="K270"/>
      <c r="L270"/>
      <c r="M270"/>
      <c r="N270"/>
      <c r="O270"/>
      <c r="P270"/>
      <c r="Q270"/>
      <c r="R270"/>
      <c r="S270"/>
      <c r="T270"/>
      <c r="U270"/>
      <c r="V270"/>
      <c r="W270"/>
      <c r="X270"/>
      <c r="Y270"/>
      <c r="Z270"/>
      <c r="AA270"/>
      <c r="AB270"/>
      <c r="AC270"/>
    </row>
    <row r="271" spans="1:29" s="82" customFormat="1" x14ac:dyDescent="0.25">
      <c r="A271"/>
      <c r="B271"/>
      <c r="C271"/>
      <c r="D271"/>
      <c r="E271"/>
      <c r="F271"/>
      <c r="G271"/>
      <c r="H271"/>
      <c r="I271"/>
      <c r="J271"/>
      <c r="K271"/>
      <c r="L271"/>
      <c r="M271"/>
      <c r="N271"/>
      <c r="O271"/>
      <c r="P271"/>
      <c r="Q271"/>
      <c r="R271"/>
      <c r="S271"/>
      <c r="T271"/>
      <c r="U271"/>
      <c r="V271"/>
      <c r="W271"/>
      <c r="X271"/>
      <c r="Y271"/>
      <c r="Z271"/>
      <c r="AA271"/>
      <c r="AB271"/>
      <c r="AC271"/>
    </row>
    <row r="272" spans="1:29" s="82" customFormat="1" x14ac:dyDescent="0.25">
      <c r="A272"/>
      <c r="B272"/>
      <c r="C272"/>
      <c r="D272"/>
      <c r="E272"/>
      <c r="F272"/>
      <c r="G272"/>
      <c r="H272"/>
      <c r="I272"/>
      <c r="J272"/>
      <c r="K272"/>
      <c r="L272"/>
      <c r="M272"/>
      <c r="N272"/>
      <c r="O272"/>
      <c r="P272"/>
      <c r="Q272"/>
      <c r="R272"/>
      <c r="S272"/>
      <c r="T272"/>
      <c r="U272"/>
      <c r="V272"/>
      <c r="W272"/>
      <c r="X272"/>
      <c r="Y272"/>
      <c r="Z272"/>
      <c r="AA272"/>
      <c r="AB272"/>
      <c r="AC272"/>
    </row>
    <row r="273" spans="1:29" s="82" customFormat="1" x14ac:dyDescent="0.25">
      <c r="A273"/>
      <c r="B273"/>
      <c r="C273"/>
      <c r="D273"/>
      <c r="E273"/>
      <c r="F273"/>
      <c r="G273"/>
      <c r="H273"/>
      <c r="I273"/>
      <c r="J273"/>
      <c r="K273"/>
      <c r="L273"/>
      <c r="M273"/>
      <c r="N273"/>
      <c r="O273"/>
      <c r="P273"/>
      <c r="Q273"/>
      <c r="R273"/>
      <c r="S273"/>
      <c r="T273"/>
      <c r="U273"/>
      <c r="V273"/>
      <c r="W273"/>
      <c r="X273"/>
      <c r="Y273"/>
      <c r="Z273"/>
      <c r="AA273"/>
      <c r="AB273"/>
      <c r="AC273"/>
    </row>
    <row r="274" spans="1:29" s="82" customFormat="1" x14ac:dyDescent="0.25">
      <c r="A274"/>
      <c r="B274"/>
      <c r="C274"/>
      <c r="D274"/>
      <c r="E274"/>
      <c r="F274"/>
      <c r="G274"/>
      <c r="H274"/>
      <c r="I274"/>
      <c r="J274"/>
      <c r="K274"/>
      <c r="L274"/>
      <c r="M274"/>
      <c r="N274"/>
      <c r="O274"/>
      <c r="P274"/>
      <c r="Q274"/>
      <c r="R274"/>
      <c r="S274"/>
      <c r="T274"/>
      <c r="U274"/>
      <c r="V274"/>
      <c r="W274"/>
      <c r="X274"/>
      <c r="Y274"/>
      <c r="Z274"/>
      <c r="AA274"/>
      <c r="AB274"/>
      <c r="AC274"/>
    </row>
    <row r="275" spans="1:29" s="82" customFormat="1" x14ac:dyDescent="0.25">
      <c r="A275"/>
      <c r="B275"/>
      <c r="C275"/>
      <c r="D275"/>
      <c r="E275"/>
      <c r="F275"/>
      <c r="G275"/>
      <c r="H275"/>
      <c r="I275"/>
      <c r="J275"/>
      <c r="K275"/>
      <c r="L275"/>
      <c r="M275"/>
      <c r="N275"/>
      <c r="O275"/>
      <c r="P275"/>
      <c r="Q275"/>
      <c r="R275"/>
      <c r="S275"/>
      <c r="T275"/>
      <c r="U275"/>
      <c r="V275"/>
      <c r="W275"/>
      <c r="X275"/>
      <c r="Y275"/>
      <c r="Z275"/>
      <c r="AA275"/>
      <c r="AB275"/>
      <c r="AC275"/>
    </row>
    <row r="276" spans="1:29" s="82" customFormat="1" x14ac:dyDescent="0.25">
      <c r="A276"/>
      <c r="B276"/>
      <c r="C276"/>
      <c r="D276"/>
      <c r="E276"/>
      <c r="F276"/>
      <c r="G276"/>
      <c r="H276"/>
      <c r="I276"/>
      <c r="J276"/>
      <c r="K276"/>
      <c r="L276"/>
      <c r="M276"/>
      <c r="N276"/>
      <c r="O276"/>
      <c r="P276"/>
      <c r="Q276"/>
      <c r="R276"/>
      <c r="S276"/>
      <c r="T276"/>
      <c r="U276"/>
      <c r="V276"/>
      <c r="W276"/>
      <c r="X276"/>
      <c r="Y276"/>
      <c r="Z276"/>
      <c r="AA276"/>
      <c r="AB276"/>
      <c r="AC276"/>
    </row>
    <row r="277" spans="1:29" s="82" customFormat="1" x14ac:dyDescent="0.25">
      <c r="A277"/>
      <c r="B277"/>
      <c r="C277"/>
      <c r="D277"/>
      <c r="E277"/>
      <c r="F277"/>
      <c r="G277"/>
      <c r="H277"/>
      <c r="I277"/>
      <c r="J277"/>
      <c r="K277"/>
      <c r="L277"/>
      <c r="M277"/>
      <c r="N277"/>
      <c r="O277"/>
      <c r="P277"/>
      <c r="Q277"/>
      <c r="R277"/>
      <c r="S277"/>
      <c r="T277"/>
      <c r="U277"/>
      <c r="V277"/>
      <c r="W277"/>
      <c r="X277"/>
      <c r="Y277"/>
      <c r="Z277"/>
      <c r="AA277"/>
      <c r="AB277"/>
      <c r="AC277"/>
    </row>
    <row r="278" spans="1:29" s="82" customFormat="1" x14ac:dyDescent="0.25">
      <c r="A278"/>
      <c r="B278"/>
      <c r="C278"/>
      <c r="D278"/>
      <c r="E278"/>
      <c r="F278"/>
      <c r="G278"/>
      <c r="H278"/>
      <c r="I278"/>
      <c r="J278"/>
      <c r="K278"/>
      <c r="L278"/>
      <c r="M278"/>
      <c r="N278"/>
      <c r="O278"/>
      <c r="P278"/>
      <c r="Q278"/>
      <c r="R278"/>
      <c r="S278"/>
      <c r="T278"/>
      <c r="U278"/>
      <c r="V278"/>
      <c r="W278"/>
      <c r="X278"/>
      <c r="Y278"/>
      <c r="Z278"/>
      <c r="AA278"/>
      <c r="AB278"/>
      <c r="AC278"/>
    </row>
    <row r="279" spans="1:29" s="82" customFormat="1" x14ac:dyDescent="0.25">
      <c r="A279"/>
      <c r="B279"/>
      <c r="C279"/>
      <c r="D279"/>
      <c r="E279"/>
      <c r="F279"/>
      <c r="G279"/>
      <c r="H279"/>
      <c r="I279"/>
      <c r="J279"/>
      <c r="K279"/>
      <c r="L279"/>
      <c r="M279"/>
      <c r="N279"/>
      <c r="O279"/>
      <c r="P279"/>
      <c r="Q279"/>
      <c r="R279"/>
      <c r="S279"/>
      <c r="T279"/>
      <c r="U279"/>
      <c r="V279"/>
      <c r="W279"/>
      <c r="X279"/>
      <c r="Y279"/>
      <c r="Z279"/>
      <c r="AA279"/>
      <c r="AB279"/>
      <c r="AC279"/>
    </row>
    <row r="280" spans="1:29" s="82" customFormat="1" x14ac:dyDescent="0.25">
      <c r="A280"/>
      <c r="B280"/>
      <c r="C280"/>
      <c r="D280"/>
      <c r="E280"/>
      <c r="F280"/>
      <c r="G280"/>
      <c r="H280"/>
      <c r="I280"/>
      <c r="J280"/>
      <c r="K280"/>
      <c r="L280"/>
      <c r="M280"/>
      <c r="N280"/>
      <c r="O280"/>
      <c r="P280"/>
      <c r="Q280"/>
      <c r="R280"/>
      <c r="S280"/>
      <c r="T280"/>
      <c r="U280"/>
      <c r="V280"/>
      <c r="W280"/>
      <c r="X280"/>
      <c r="Y280"/>
      <c r="Z280"/>
      <c r="AA280"/>
      <c r="AB280"/>
      <c r="AC280"/>
    </row>
    <row r="281" spans="1:29" s="82" customFormat="1" x14ac:dyDescent="0.25">
      <c r="A281"/>
      <c r="B281"/>
      <c r="C281"/>
      <c r="D281"/>
      <c r="E281"/>
      <c r="F281"/>
      <c r="G281"/>
      <c r="H281"/>
      <c r="I281"/>
      <c r="J281"/>
      <c r="K281"/>
      <c r="L281"/>
      <c r="M281"/>
      <c r="N281"/>
      <c r="O281"/>
      <c r="P281"/>
      <c r="Q281"/>
      <c r="R281"/>
      <c r="S281"/>
      <c r="T281"/>
      <c r="U281"/>
      <c r="V281"/>
      <c r="W281"/>
      <c r="X281"/>
      <c r="Y281"/>
      <c r="Z281"/>
      <c r="AA281"/>
      <c r="AB281"/>
      <c r="AC281"/>
    </row>
    <row r="282" spans="1:29" s="82" customFormat="1" x14ac:dyDescent="0.25">
      <c r="A282"/>
      <c r="B282"/>
      <c r="C282"/>
      <c r="D282"/>
      <c r="E282"/>
      <c r="F282"/>
      <c r="G282"/>
      <c r="H282"/>
      <c r="I282"/>
      <c r="J282"/>
      <c r="K282"/>
      <c r="L282"/>
      <c r="M282"/>
      <c r="N282"/>
      <c r="O282"/>
      <c r="P282"/>
      <c r="Q282"/>
      <c r="R282"/>
      <c r="S282"/>
      <c r="T282"/>
      <c r="U282"/>
      <c r="V282"/>
      <c r="W282"/>
      <c r="X282"/>
      <c r="Y282"/>
      <c r="Z282"/>
      <c r="AA282"/>
      <c r="AB282"/>
      <c r="AC282"/>
    </row>
    <row r="283" spans="1:29" s="82" customFormat="1" x14ac:dyDescent="0.25">
      <c r="A283"/>
      <c r="B283"/>
      <c r="C283"/>
      <c r="D283"/>
      <c r="E283"/>
      <c r="F283"/>
      <c r="G283"/>
      <c r="H283"/>
      <c r="I283"/>
      <c r="J283"/>
      <c r="K283"/>
      <c r="L283"/>
      <c r="M283"/>
      <c r="N283"/>
      <c r="O283"/>
      <c r="P283"/>
      <c r="Q283"/>
      <c r="R283"/>
      <c r="S283"/>
      <c r="T283"/>
      <c r="U283"/>
      <c r="V283"/>
      <c r="W283"/>
      <c r="X283"/>
      <c r="Y283"/>
      <c r="Z283"/>
      <c r="AA283"/>
      <c r="AB283"/>
      <c r="AC283"/>
    </row>
    <row r="284" spans="1:29" s="82" customFormat="1" x14ac:dyDescent="0.25">
      <c r="A284"/>
      <c r="B284"/>
      <c r="C284"/>
      <c r="D284"/>
      <c r="E284"/>
      <c r="F284"/>
      <c r="G284"/>
      <c r="H284"/>
      <c r="I284"/>
      <c r="J284"/>
      <c r="K284"/>
      <c r="L284"/>
      <c r="M284"/>
      <c r="N284"/>
      <c r="O284"/>
      <c r="P284"/>
      <c r="Q284"/>
      <c r="R284"/>
      <c r="S284"/>
      <c r="T284"/>
      <c r="U284"/>
      <c r="V284"/>
      <c r="W284"/>
      <c r="X284"/>
      <c r="Y284"/>
      <c r="Z284"/>
      <c r="AA284"/>
      <c r="AB284"/>
      <c r="AC284"/>
    </row>
    <row r="285" spans="1:29" s="82" customFormat="1" x14ac:dyDescent="0.25">
      <c r="A285"/>
      <c r="B285"/>
      <c r="C285"/>
      <c r="D285"/>
      <c r="E285"/>
      <c r="F285"/>
      <c r="G285"/>
      <c r="H285"/>
      <c r="I285"/>
      <c r="J285"/>
      <c r="K285"/>
      <c r="L285"/>
      <c r="M285"/>
      <c r="N285"/>
      <c r="O285"/>
      <c r="P285"/>
      <c r="Q285"/>
      <c r="R285"/>
      <c r="S285"/>
      <c r="T285"/>
      <c r="U285"/>
      <c r="V285"/>
      <c r="W285"/>
      <c r="X285"/>
      <c r="Y285"/>
      <c r="Z285"/>
      <c r="AA285"/>
      <c r="AB285"/>
      <c r="AC285"/>
    </row>
    <row r="286" spans="1:29" s="82" customFormat="1" x14ac:dyDescent="0.25">
      <c r="A286"/>
      <c r="B286"/>
      <c r="C286"/>
      <c r="D286"/>
      <c r="E286"/>
      <c r="F286"/>
      <c r="G286"/>
      <c r="H286"/>
      <c r="I286"/>
      <c r="J286"/>
      <c r="K286"/>
      <c r="L286"/>
      <c r="M286"/>
      <c r="N286"/>
      <c r="O286"/>
      <c r="P286"/>
      <c r="Q286"/>
      <c r="R286"/>
      <c r="S286"/>
      <c r="T286"/>
      <c r="U286"/>
      <c r="V286"/>
      <c r="W286"/>
      <c r="X286"/>
      <c r="Y286"/>
      <c r="Z286"/>
      <c r="AA286"/>
      <c r="AB286"/>
      <c r="AC286"/>
    </row>
    <row r="287" spans="1:29" s="82" customFormat="1" x14ac:dyDescent="0.25">
      <c r="A287"/>
      <c r="B287"/>
      <c r="C287"/>
      <c r="D287"/>
      <c r="E287"/>
      <c r="F287"/>
      <c r="G287"/>
      <c r="H287"/>
      <c r="I287"/>
      <c r="J287"/>
      <c r="K287"/>
      <c r="L287"/>
      <c r="M287"/>
      <c r="N287"/>
      <c r="O287"/>
      <c r="P287"/>
      <c r="Q287"/>
      <c r="R287"/>
      <c r="S287"/>
      <c r="T287"/>
      <c r="U287"/>
      <c r="V287"/>
      <c r="W287"/>
      <c r="X287"/>
      <c r="Y287"/>
      <c r="Z287"/>
      <c r="AA287"/>
      <c r="AB287"/>
      <c r="AC287"/>
    </row>
    <row r="288" spans="1:29" s="82" customFormat="1" x14ac:dyDescent="0.25">
      <c r="A288"/>
      <c r="B288"/>
      <c r="C288"/>
      <c r="D288"/>
      <c r="E288"/>
      <c r="F288"/>
      <c r="G288"/>
      <c r="H288"/>
      <c r="I288"/>
      <c r="J288"/>
      <c r="K288"/>
      <c r="L288"/>
      <c r="M288"/>
      <c r="N288"/>
      <c r="O288"/>
      <c r="P288"/>
      <c r="Q288"/>
      <c r="R288"/>
      <c r="S288"/>
      <c r="T288"/>
      <c r="U288"/>
      <c r="V288"/>
      <c r="W288"/>
      <c r="X288"/>
      <c r="Y288"/>
      <c r="Z288"/>
      <c r="AA288"/>
      <c r="AB288"/>
      <c r="AC288"/>
    </row>
    <row r="289" spans="1:29" s="82" customFormat="1" x14ac:dyDescent="0.25">
      <c r="A289"/>
      <c r="B289"/>
      <c r="C289"/>
      <c r="D289"/>
      <c r="E289"/>
      <c r="F289"/>
      <c r="G289"/>
      <c r="H289"/>
      <c r="I289"/>
      <c r="J289"/>
      <c r="K289"/>
      <c r="L289"/>
      <c r="M289"/>
      <c r="N289"/>
      <c r="O289"/>
      <c r="P289"/>
      <c r="Q289"/>
      <c r="R289"/>
      <c r="S289"/>
      <c r="T289"/>
      <c r="U289"/>
      <c r="V289"/>
      <c r="W289"/>
      <c r="X289"/>
      <c r="Y289"/>
      <c r="Z289"/>
      <c r="AA289"/>
      <c r="AB289"/>
      <c r="AC289"/>
    </row>
    <row r="290" spans="1:29" s="82" customFormat="1" x14ac:dyDescent="0.25">
      <c r="A290"/>
      <c r="B290"/>
      <c r="C290"/>
      <c r="D290"/>
      <c r="E290"/>
      <c r="F290"/>
      <c r="G290"/>
      <c r="H290"/>
      <c r="I290"/>
      <c r="J290"/>
      <c r="K290"/>
      <c r="L290"/>
      <c r="M290"/>
      <c r="N290"/>
      <c r="O290"/>
      <c r="P290"/>
      <c r="Q290"/>
      <c r="R290"/>
      <c r="S290"/>
      <c r="T290"/>
      <c r="U290"/>
      <c r="V290"/>
      <c r="W290"/>
      <c r="X290"/>
      <c r="Y290"/>
      <c r="Z290"/>
      <c r="AA290"/>
      <c r="AB290"/>
      <c r="AC290"/>
    </row>
    <row r="291" spans="1:29" s="82" customFormat="1" x14ac:dyDescent="0.25">
      <c r="A291"/>
      <c r="B291"/>
      <c r="C291"/>
      <c r="D291"/>
      <c r="E291"/>
      <c r="F291"/>
      <c r="G291"/>
      <c r="H291"/>
      <c r="I291"/>
      <c r="J291"/>
      <c r="K291"/>
      <c r="L291"/>
      <c r="M291"/>
      <c r="N291"/>
      <c r="O291"/>
      <c r="P291"/>
      <c r="Q291"/>
      <c r="R291"/>
      <c r="S291"/>
      <c r="T291"/>
      <c r="U291"/>
      <c r="V291"/>
      <c r="W291"/>
      <c r="X291"/>
      <c r="Y291"/>
      <c r="Z291"/>
      <c r="AA291"/>
      <c r="AB291"/>
      <c r="AC291"/>
    </row>
    <row r="292" spans="1:29" s="82" customFormat="1" x14ac:dyDescent="0.25">
      <c r="A292"/>
      <c r="B292"/>
      <c r="C292"/>
      <c r="D292"/>
      <c r="E292"/>
      <c r="F292"/>
      <c r="G292"/>
      <c r="H292"/>
      <c r="I292"/>
      <c r="J292"/>
      <c r="K292"/>
      <c r="L292"/>
      <c r="M292"/>
      <c r="N292"/>
      <c r="O292"/>
      <c r="P292"/>
      <c r="Q292"/>
      <c r="R292"/>
      <c r="S292"/>
      <c r="T292"/>
      <c r="U292"/>
      <c r="V292"/>
      <c r="W292"/>
      <c r="X292"/>
      <c r="Y292"/>
      <c r="Z292"/>
      <c r="AA292"/>
      <c r="AB292"/>
      <c r="AC292"/>
    </row>
    <row r="293" spans="1:29" s="82" customFormat="1" x14ac:dyDescent="0.25">
      <c r="A293"/>
      <c r="B293"/>
      <c r="C293"/>
      <c r="D293"/>
      <c r="E293"/>
      <c r="F293"/>
      <c r="G293"/>
      <c r="H293"/>
      <c r="I293"/>
      <c r="J293"/>
      <c r="K293"/>
      <c r="L293"/>
      <c r="M293"/>
      <c r="N293"/>
      <c r="O293"/>
      <c r="P293"/>
      <c r="Q293"/>
      <c r="R293"/>
      <c r="S293"/>
      <c r="T293"/>
      <c r="U293"/>
      <c r="V293"/>
      <c r="W293"/>
      <c r="X293"/>
      <c r="Y293"/>
      <c r="Z293"/>
      <c r="AA293"/>
      <c r="AB293"/>
      <c r="AC293"/>
    </row>
    <row r="294" spans="1:29" s="82" customFormat="1" x14ac:dyDescent="0.25">
      <c r="A294"/>
      <c r="B294"/>
      <c r="C294"/>
      <c r="D294"/>
      <c r="E294"/>
      <c r="F294"/>
      <c r="G294"/>
      <c r="H294"/>
      <c r="I294"/>
      <c r="J294"/>
      <c r="K294"/>
      <c r="L294"/>
      <c r="M294"/>
      <c r="N294"/>
      <c r="O294"/>
      <c r="P294"/>
      <c r="Q294"/>
      <c r="R294"/>
      <c r="S294"/>
      <c r="T294"/>
      <c r="U294"/>
      <c r="V294"/>
      <c r="W294"/>
      <c r="X294"/>
      <c r="Y294"/>
      <c r="Z294"/>
      <c r="AA294"/>
      <c r="AB294"/>
      <c r="AC294"/>
    </row>
    <row r="295" spans="1:29" s="82" customFormat="1" x14ac:dyDescent="0.25">
      <c r="A295"/>
      <c r="B295"/>
      <c r="C295"/>
      <c r="D295"/>
      <c r="E295"/>
      <c r="F295"/>
      <c r="G295"/>
      <c r="H295"/>
      <c r="I295"/>
      <c r="J295"/>
      <c r="K295"/>
      <c r="L295"/>
      <c r="M295"/>
      <c r="N295"/>
      <c r="O295"/>
      <c r="P295"/>
      <c r="Q295"/>
      <c r="R295"/>
      <c r="S295"/>
      <c r="T295"/>
      <c r="U295"/>
      <c r="V295"/>
      <c r="W295"/>
      <c r="X295"/>
      <c r="Y295"/>
      <c r="Z295"/>
      <c r="AA295"/>
      <c r="AB295"/>
      <c r="AC295"/>
    </row>
    <row r="296" spans="1:29" s="82" customFormat="1" x14ac:dyDescent="0.25">
      <c r="A296"/>
      <c r="B296"/>
      <c r="C296"/>
      <c r="D296"/>
      <c r="E296"/>
      <c r="F296"/>
      <c r="G296"/>
      <c r="H296"/>
      <c r="I296"/>
      <c r="J296"/>
      <c r="K296"/>
      <c r="L296"/>
      <c r="M296"/>
      <c r="N296"/>
      <c r="O296"/>
      <c r="P296"/>
      <c r="Q296"/>
      <c r="R296"/>
      <c r="S296"/>
      <c r="T296"/>
      <c r="U296"/>
      <c r="V296"/>
      <c r="W296"/>
      <c r="X296"/>
      <c r="Y296"/>
      <c r="Z296"/>
      <c r="AA296"/>
      <c r="AB296"/>
      <c r="AC296"/>
    </row>
    <row r="297" spans="1:29" s="82" customFormat="1" x14ac:dyDescent="0.25">
      <c r="A297"/>
      <c r="B297"/>
      <c r="C297"/>
      <c r="D297"/>
      <c r="E297"/>
      <c r="F297"/>
      <c r="G297"/>
      <c r="H297"/>
      <c r="I297"/>
      <c r="J297"/>
      <c r="K297"/>
      <c r="L297"/>
      <c r="M297"/>
      <c r="N297"/>
      <c r="O297"/>
      <c r="P297"/>
      <c r="Q297"/>
      <c r="R297"/>
      <c r="S297"/>
      <c r="T297"/>
      <c r="U297"/>
      <c r="V297"/>
      <c r="W297"/>
      <c r="X297"/>
      <c r="Y297"/>
      <c r="Z297"/>
      <c r="AA297"/>
      <c r="AB297"/>
      <c r="AC297"/>
    </row>
    <row r="298" spans="1:29" s="82" customFormat="1" x14ac:dyDescent="0.25">
      <c r="A298"/>
      <c r="B298"/>
      <c r="C298"/>
      <c r="D298"/>
      <c r="E298"/>
      <c r="F298"/>
      <c r="G298"/>
      <c r="H298"/>
      <c r="I298"/>
      <c r="J298"/>
      <c r="K298"/>
      <c r="L298"/>
      <c r="M298"/>
      <c r="N298"/>
      <c r="O298"/>
      <c r="P298"/>
      <c r="Q298"/>
      <c r="R298"/>
      <c r="S298"/>
      <c r="T298"/>
      <c r="U298"/>
      <c r="V298"/>
      <c r="W298"/>
      <c r="X298"/>
      <c r="Y298"/>
      <c r="Z298"/>
      <c r="AA298"/>
      <c r="AB298"/>
      <c r="AC298"/>
    </row>
    <row r="299" spans="1:29" s="82" customFormat="1" x14ac:dyDescent="0.25">
      <c r="A299"/>
      <c r="B299"/>
      <c r="C299"/>
      <c r="D299"/>
      <c r="E299"/>
      <c r="F299"/>
      <c r="G299"/>
      <c r="H299"/>
      <c r="I299"/>
      <c r="J299"/>
      <c r="K299"/>
      <c r="L299"/>
      <c r="M299"/>
      <c r="N299"/>
      <c r="O299"/>
      <c r="P299"/>
      <c r="Q299"/>
      <c r="R299"/>
      <c r="S299"/>
      <c r="T299"/>
      <c r="U299"/>
      <c r="V299"/>
      <c r="W299"/>
      <c r="X299"/>
      <c r="Y299"/>
      <c r="Z299"/>
      <c r="AA299"/>
      <c r="AB299"/>
      <c r="AC299"/>
    </row>
    <row r="300" spans="1:29" s="82" customFormat="1" x14ac:dyDescent="0.25">
      <c r="A300"/>
      <c r="B300"/>
      <c r="C300"/>
      <c r="D300"/>
      <c r="E300"/>
      <c r="F300"/>
      <c r="G300"/>
      <c r="H300"/>
      <c r="I300"/>
      <c r="J300"/>
      <c r="K300"/>
      <c r="L300"/>
      <c r="M300"/>
      <c r="N300"/>
      <c r="O300"/>
      <c r="P300"/>
      <c r="Q300"/>
      <c r="R300"/>
      <c r="S300"/>
      <c r="T300"/>
      <c r="U300"/>
      <c r="V300"/>
      <c r="W300"/>
      <c r="X300"/>
      <c r="Y300"/>
      <c r="Z300"/>
      <c r="AA300"/>
      <c r="AB300"/>
      <c r="AC300"/>
    </row>
    <row r="301" spans="1:29" s="82" customFormat="1" x14ac:dyDescent="0.25">
      <c r="A301"/>
      <c r="B301"/>
      <c r="C301"/>
      <c r="D301"/>
      <c r="E301"/>
      <c r="F301"/>
      <c r="G301"/>
      <c r="H301"/>
      <c r="I301"/>
      <c r="J301"/>
      <c r="K301"/>
      <c r="L301"/>
      <c r="M301"/>
      <c r="N301"/>
      <c r="O301"/>
      <c r="P301"/>
      <c r="Q301"/>
      <c r="R301"/>
      <c r="S301"/>
      <c r="T301"/>
      <c r="U301"/>
      <c r="V301"/>
      <c r="W301"/>
      <c r="X301"/>
      <c r="Y301"/>
      <c r="Z301"/>
      <c r="AA301"/>
      <c r="AB301"/>
      <c r="AC301"/>
    </row>
    <row r="302" spans="1:29" s="82" customFormat="1" x14ac:dyDescent="0.25">
      <c r="A302"/>
      <c r="B302"/>
      <c r="C302"/>
      <c r="D302"/>
      <c r="E302"/>
      <c r="F302"/>
      <c r="G302"/>
      <c r="H302"/>
      <c r="I302"/>
      <c r="J302"/>
      <c r="K302"/>
      <c r="L302"/>
      <c r="M302"/>
      <c r="N302"/>
      <c r="O302"/>
      <c r="P302"/>
      <c r="Q302"/>
      <c r="R302"/>
      <c r="S302"/>
      <c r="T302"/>
      <c r="U302"/>
      <c r="V302"/>
      <c r="W302"/>
      <c r="X302"/>
      <c r="Y302"/>
      <c r="Z302"/>
      <c r="AA302"/>
      <c r="AB302"/>
      <c r="AC302"/>
    </row>
    <row r="303" spans="1:29" s="82" customFormat="1" x14ac:dyDescent="0.25">
      <c r="A303"/>
      <c r="B303"/>
      <c r="C303"/>
      <c r="D303"/>
      <c r="E303"/>
      <c r="F303"/>
      <c r="G303"/>
      <c r="H303"/>
      <c r="I303"/>
      <c r="J303"/>
      <c r="K303"/>
      <c r="L303"/>
      <c r="M303"/>
      <c r="N303"/>
      <c r="O303"/>
      <c r="P303"/>
      <c r="Q303"/>
      <c r="R303"/>
      <c r="S303"/>
      <c r="T303"/>
      <c r="U303"/>
      <c r="V303"/>
      <c r="W303"/>
      <c r="X303"/>
      <c r="Y303"/>
      <c r="Z303"/>
      <c r="AA303"/>
      <c r="AB303"/>
      <c r="AC303"/>
    </row>
    <row r="304" spans="1:29" s="82" customFormat="1" x14ac:dyDescent="0.25">
      <c r="A304"/>
      <c r="B304"/>
      <c r="C304"/>
      <c r="D304"/>
      <c r="E304"/>
      <c r="F304"/>
      <c r="G304"/>
      <c r="H304"/>
      <c r="I304"/>
      <c r="J304"/>
      <c r="K304"/>
      <c r="L304"/>
      <c r="M304"/>
      <c r="N304"/>
      <c r="O304"/>
      <c r="P304"/>
      <c r="Q304"/>
      <c r="R304"/>
      <c r="S304"/>
      <c r="T304"/>
      <c r="U304"/>
      <c r="V304"/>
      <c r="W304"/>
      <c r="X304"/>
      <c r="Y304"/>
      <c r="Z304"/>
      <c r="AA304"/>
      <c r="AB304"/>
      <c r="AC304"/>
    </row>
    <row r="305" spans="1:29" s="82" customFormat="1" x14ac:dyDescent="0.25">
      <c r="A305"/>
      <c r="B305"/>
      <c r="C305"/>
      <c r="D305"/>
      <c r="E305"/>
      <c r="F305"/>
      <c r="G305"/>
      <c r="H305"/>
      <c r="I305"/>
      <c r="J305"/>
      <c r="K305"/>
      <c r="L305"/>
      <c r="M305"/>
      <c r="N305"/>
      <c r="O305"/>
      <c r="P305"/>
      <c r="Q305"/>
      <c r="R305"/>
      <c r="S305"/>
      <c r="T305"/>
      <c r="U305"/>
      <c r="V305"/>
      <c r="W305"/>
      <c r="X305"/>
      <c r="Y305"/>
      <c r="Z305"/>
      <c r="AA305"/>
      <c r="AB305"/>
      <c r="AC305"/>
    </row>
    <row r="306" spans="1:29" s="82" customFormat="1" x14ac:dyDescent="0.25">
      <c r="A306"/>
      <c r="B306"/>
      <c r="C306"/>
      <c r="D306"/>
      <c r="E306"/>
      <c r="F306"/>
      <c r="G306"/>
      <c r="H306"/>
      <c r="I306"/>
      <c r="J306"/>
      <c r="K306"/>
      <c r="L306"/>
      <c r="M306"/>
      <c r="N306"/>
      <c r="O306"/>
      <c r="P306"/>
      <c r="Q306"/>
      <c r="R306"/>
      <c r="S306"/>
      <c r="T306"/>
      <c r="U306"/>
      <c r="V306"/>
      <c r="W306"/>
      <c r="X306"/>
      <c r="Y306"/>
      <c r="Z306"/>
      <c r="AA306"/>
      <c r="AB306"/>
      <c r="AC306"/>
    </row>
    <row r="307" spans="1:29" s="82" customFormat="1" x14ac:dyDescent="0.25">
      <c r="A307"/>
      <c r="B307"/>
      <c r="C307"/>
      <c r="D307"/>
      <c r="E307"/>
      <c r="F307"/>
      <c r="G307"/>
      <c r="H307"/>
      <c r="I307"/>
      <c r="J307"/>
      <c r="K307"/>
      <c r="L307"/>
      <c r="M307"/>
      <c r="N307"/>
      <c r="O307"/>
      <c r="P307"/>
      <c r="Q307"/>
      <c r="R307"/>
      <c r="S307"/>
      <c r="T307"/>
      <c r="U307"/>
      <c r="V307"/>
      <c r="W307"/>
      <c r="X307"/>
      <c r="Y307"/>
      <c r="Z307"/>
      <c r="AA307"/>
      <c r="AB307"/>
      <c r="AC307"/>
    </row>
    <row r="308" spans="1:29" s="82" customFormat="1" x14ac:dyDescent="0.25">
      <c r="A308"/>
      <c r="B308"/>
      <c r="C308"/>
      <c r="D308"/>
      <c r="E308"/>
      <c r="F308"/>
      <c r="G308"/>
      <c r="H308"/>
      <c r="I308"/>
      <c r="J308"/>
      <c r="K308"/>
      <c r="L308"/>
      <c r="M308"/>
      <c r="N308"/>
      <c r="O308"/>
      <c r="P308"/>
      <c r="Q308"/>
      <c r="R308"/>
      <c r="S308"/>
      <c r="T308"/>
      <c r="U308"/>
      <c r="V308"/>
      <c r="W308"/>
      <c r="X308"/>
      <c r="Y308"/>
      <c r="Z308"/>
      <c r="AA308"/>
      <c r="AB308"/>
      <c r="AC308"/>
    </row>
    <row r="309" spans="1:29" s="82" customFormat="1" x14ac:dyDescent="0.25">
      <c r="A309"/>
      <c r="B309"/>
      <c r="C309"/>
      <c r="D309"/>
      <c r="E309"/>
      <c r="F309"/>
      <c r="G309"/>
      <c r="H309"/>
      <c r="I309"/>
      <c r="J309"/>
      <c r="K309"/>
      <c r="L309"/>
      <c r="M309"/>
      <c r="N309"/>
      <c r="O309"/>
      <c r="P309"/>
      <c r="Q309"/>
      <c r="R309"/>
      <c r="S309"/>
      <c r="T309"/>
      <c r="U309"/>
      <c r="V309"/>
      <c r="W309"/>
      <c r="X309"/>
      <c r="Y309"/>
      <c r="Z309"/>
      <c r="AA309"/>
      <c r="AB309"/>
      <c r="AC309"/>
    </row>
    <row r="310" spans="1:29" s="82" customFormat="1" x14ac:dyDescent="0.25">
      <c r="A310"/>
      <c r="B310"/>
      <c r="C310"/>
      <c r="D310"/>
      <c r="E310"/>
      <c r="F310"/>
      <c r="G310"/>
      <c r="H310"/>
      <c r="I310"/>
      <c r="J310"/>
      <c r="K310"/>
      <c r="L310"/>
      <c r="M310"/>
      <c r="N310"/>
      <c r="O310"/>
      <c r="P310"/>
      <c r="Q310"/>
      <c r="R310"/>
      <c r="S310"/>
      <c r="T310"/>
      <c r="U310"/>
      <c r="V310"/>
      <c r="W310"/>
      <c r="X310"/>
      <c r="Y310"/>
      <c r="Z310"/>
      <c r="AA310"/>
      <c r="AB310"/>
      <c r="AC310"/>
    </row>
    <row r="311" spans="1:29" s="82" customFormat="1" x14ac:dyDescent="0.25">
      <c r="A311"/>
      <c r="B311"/>
      <c r="C311"/>
      <c r="D311"/>
      <c r="E311"/>
      <c r="F311"/>
      <c r="G311"/>
      <c r="H311"/>
      <c r="I311"/>
      <c r="J311"/>
      <c r="K311"/>
      <c r="L311"/>
      <c r="M311"/>
      <c r="N311"/>
      <c r="O311"/>
      <c r="P311"/>
      <c r="Q311"/>
      <c r="R311"/>
      <c r="S311"/>
      <c r="T311"/>
      <c r="U311"/>
      <c r="V311"/>
      <c r="W311"/>
      <c r="X311"/>
      <c r="Y311"/>
      <c r="Z311"/>
      <c r="AA311"/>
      <c r="AB311"/>
      <c r="AC311"/>
    </row>
    <row r="312" spans="1:29" s="82" customFormat="1" x14ac:dyDescent="0.25">
      <c r="A312"/>
      <c r="B312"/>
      <c r="C312"/>
      <c r="D312"/>
      <c r="E312"/>
      <c r="F312"/>
      <c r="G312"/>
      <c r="H312"/>
      <c r="I312"/>
      <c r="J312"/>
      <c r="K312"/>
      <c r="L312"/>
      <c r="M312"/>
      <c r="N312"/>
      <c r="O312"/>
      <c r="P312"/>
      <c r="Q312"/>
      <c r="R312"/>
      <c r="S312"/>
      <c r="T312"/>
      <c r="U312"/>
      <c r="V312"/>
      <c r="W312"/>
      <c r="X312"/>
      <c r="Y312"/>
      <c r="Z312"/>
      <c r="AA312"/>
      <c r="AB312"/>
      <c r="AC312"/>
    </row>
    <row r="313" spans="1:29" s="82" customFormat="1" x14ac:dyDescent="0.25">
      <c r="A313"/>
      <c r="B313"/>
      <c r="C313"/>
      <c r="D313"/>
      <c r="E313"/>
      <c r="F313"/>
      <c r="G313"/>
      <c r="H313"/>
      <c r="I313"/>
      <c r="J313"/>
      <c r="K313"/>
      <c r="L313"/>
      <c r="M313"/>
      <c r="N313"/>
      <c r="O313"/>
      <c r="P313"/>
      <c r="Q313"/>
      <c r="R313"/>
      <c r="S313"/>
      <c r="T313"/>
      <c r="U313"/>
      <c r="V313"/>
      <c r="W313"/>
      <c r="X313"/>
      <c r="Y313"/>
      <c r="Z313"/>
      <c r="AA313"/>
      <c r="AB313"/>
      <c r="AC313"/>
    </row>
    <row r="314" spans="1:29" s="82" customFormat="1" x14ac:dyDescent="0.25">
      <c r="A314"/>
      <c r="B314"/>
      <c r="C314"/>
      <c r="D314"/>
      <c r="E314"/>
      <c r="F314"/>
      <c r="G314"/>
      <c r="H314"/>
      <c r="I314"/>
      <c r="J314"/>
      <c r="K314"/>
      <c r="L314"/>
      <c r="M314"/>
      <c r="N314"/>
      <c r="O314"/>
      <c r="P314"/>
      <c r="Q314"/>
      <c r="R314"/>
      <c r="S314"/>
      <c r="T314"/>
      <c r="U314"/>
      <c r="V314"/>
      <c r="W314"/>
      <c r="X314"/>
      <c r="Y314"/>
      <c r="Z314"/>
      <c r="AA314"/>
      <c r="AB314"/>
      <c r="AC314"/>
    </row>
    <row r="315" spans="1:29" s="82" customFormat="1" x14ac:dyDescent="0.25">
      <c r="A315"/>
      <c r="B315"/>
      <c r="C315"/>
      <c r="D315"/>
      <c r="E315"/>
      <c r="F315"/>
      <c r="G315"/>
      <c r="H315"/>
      <c r="I315"/>
      <c r="J315"/>
      <c r="K315"/>
      <c r="L315"/>
      <c r="M315"/>
      <c r="N315"/>
      <c r="O315"/>
      <c r="P315"/>
      <c r="Q315"/>
      <c r="R315"/>
      <c r="S315"/>
      <c r="T315"/>
      <c r="U315"/>
      <c r="V315"/>
      <c r="W315"/>
      <c r="X315"/>
      <c r="Y315"/>
      <c r="Z315"/>
      <c r="AA315"/>
      <c r="AB315"/>
      <c r="AC315"/>
    </row>
    <row r="316" spans="1:29" s="82" customFormat="1" x14ac:dyDescent="0.25">
      <c r="A316"/>
      <c r="B316"/>
      <c r="C316"/>
      <c r="D316"/>
      <c r="E316"/>
      <c r="F316"/>
      <c r="G316"/>
      <c r="H316"/>
      <c r="I316"/>
      <c r="J316"/>
      <c r="K316"/>
      <c r="L316"/>
      <c r="M316"/>
      <c r="N316"/>
      <c r="O316"/>
      <c r="P316"/>
      <c r="Q316"/>
      <c r="R316"/>
      <c r="S316"/>
      <c r="T316"/>
      <c r="U316"/>
      <c r="V316"/>
      <c r="W316"/>
      <c r="X316"/>
      <c r="Y316"/>
      <c r="Z316"/>
      <c r="AA316"/>
      <c r="AB316"/>
      <c r="AC316"/>
    </row>
    <row r="317" spans="1:29" s="82" customFormat="1" x14ac:dyDescent="0.25">
      <c r="A317"/>
      <c r="B317"/>
      <c r="C317"/>
      <c r="D317"/>
      <c r="E317"/>
      <c r="F317"/>
      <c r="G317"/>
      <c r="H317"/>
      <c r="I317"/>
      <c r="J317"/>
      <c r="K317"/>
      <c r="L317"/>
      <c r="M317"/>
      <c r="N317"/>
      <c r="O317"/>
      <c r="P317"/>
      <c r="Q317"/>
      <c r="R317"/>
      <c r="S317"/>
      <c r="T317"/>
      <c r="U317"/>
      <c r="V317"/>
      <c r="W317"/>
      <c r="X317"/>
      <c r="Y317"/>
      <c r="Z317"/>
      <c r="AA317"/>
      <c r="AB317"/>
      <c r="AC317"/>
    </row>
    <row r="318" spans="1:29" s="82" customFormat="1" x14ac:dyDescent="0.25">
      <c r="A318"/>
      <c r="B318"/>
      <c r="C318"/>
      <c r="D318"/>
      <c r="E318"/>
      <c r="F318"/>
      <c r="G318"/>
      <c r="H318"/>
      <c r="I318"/>
      <c r="J318"/>
      <c r="K318"/>
      <c r="L318"/>
      <c r="M318"/>
      <c r="N318"/>
      <c r="O318"/>
      <c r="P318"/>
      <c r="Q318"/>
      <c r="R318"/>
      <c r="S318"/>
      <c r="T318"/>
      <c r="U318"/>
      <c r="V318"/>
      <c r="W318"/>
      <c r="X318"/>
      <c r="Y318"/>
      <c r="Z318"/>
      <c r="AA318"/>
      <c r="AB318"/>
      <c r="AC318"/>
    </row>
    <row r="319" spans="1:29" s="82" customFormat="1" x14ac:dyDescent="0.25">
      <c r="A319"/>
      <c r="B319"/>
      <c r="C319"/>
      <c r="D319"/>
      <c r="E319"/>
      <c r="F319"/>
      <c r="G319"/>
      <c r="H319"/>
      <c r="I319"/>
      <c r="J319"/>
      <c r="K319"/>
      <c r="L319"/>
      <c r="M319"/>
      <c r="N319"/>
      <c r="O319"/>
      <c r="P319"/>
      <c r="Q319"/>
      <c r="R319"/>
      <c r="S319"/>
      <c r="T319"/>
      <c r="U319"/>
      <c r="V319"/>
      <c r="W319"/>
      <c r="X319"/>
      <c r="Y319"/>
      <c r="Z319"/>
      <c r="AA319"/>
      <c r="AB319"/>
      <c r="AC319"/>
    </row>
    <row r="320" spans="1:29" s="82" customFormat="1" x14ac:dyDescent="0.25">
      <c r="A320"/>
      <c r="B320"/>
      <c r="C320"/>
      <c r="D320"/>
      <c r="E320"/>
      <c r="F320"/>
      <c r="G320"/>
      <c r="H320"/>
      <c r="I320"/>
      <c r="J320"/>
      <c r="K320"/>
      <c r="L320"/>
      <c r="M320"/>
      <c r="N320"/>
      <c r="O320"/>
      <c r="P320"/>
      <c r="Q320"/>
      <c r="R320"/>
      <c r="S320"/>
      <c r="T320"/>
      <c r="U320"/>
      <c r="V320"/>
      <c r="W320"/>
      <c r="X320"/>
      <c r="Y320"/>
      <c r="Z320"/>
      <c r="AA320"/>
      <c r="AB320"/>
      <c r="AC320"/>
    </row>
    <row r="321" spans="1:29" s="82" customFormat="1" x14ac:dyDescent="0.25">
      <c r="A321"/>
      <c r="B321"/>
      <c r="C321"/>
      <c r="D321"/>
      <c r="E321"/>
      <c r="F321"/>
      <c r="G321"/>
      <c r="H321"/>
      <c r="I321"/>
      <c r="J321"/>
      <c r="K321"/>
      <c r="L321"/>
      <c r="M321"/>
      <c r="N321"/>
      <c r="O321"/>
      <c r="P321"/>
      <c r="Q321"/>
      <c r="R321"/>
      <c r="S321"/>
      <c r="T321"/>
      <c r="U321"/>
      <c r="V321"/>
      <c r="W321"/>
      <c r="X321"/>
      <c r="Y321"/>
      <c r="Z321"/>
      <c r="AA321"/>
      <c r="AB321"/>
      <c r="AC321"/>
    </row>
    <row r="322" spans="1:29" s="82" customFormat="1" x14ac:dyDescent="0.25">
      <c r="A322"/>
      <c r="B322"/>
      <c r="C322"/>
      <c r="D322"/>
      <c r="E322"/>
      <c r="F322"/>
      <c r="G322"/>
      <c r="H322"/>
      <c r="I322"/>
      <c r="J322"/>
      <c r="K322"/>
      <c r="L322"/>
      <c r="M322"/>
      <c r="N322"/>
      <c r="O322"/>
      <c r="P322"/>
      <c r="Q322"/>
      <c r="R322"/>
      <c r="S322"/>
      <c r="T322"/>
      <c r="U322"/>
      <c r="V322"/>
      <c r="W322"/>
      <c r="X322"/>
      <c r="Y322"/>
      <c r="Z322"/>
      <c r="AA322"/>
      <c r="AB322"/>
      <c r="AC322"/>
    </row>
    <row r="323" spans="1:29" s="82" customFormat="1" x14ac:dyDescent="0.25">
      <c r="A323"/>
      <c r="B323"/>
      <c r="C323"/>
      <c r="D323"/>
      <c r="E323"/>
      <c r="F323"/>
      <c r="G323"/>
      <c r="H323"/>
      <c r="I323"/>
      <c r="J323"/>
      <c r="K323"/>
      <c r="L323"/>
      <c r="M323"/>
      <c r="N323"/>
      <c r="O323"/>
      <c r="P323"/>
      <c r="Q323"/>
      <c r="R323"/>
      <c r="S323"/>
      <c r="T323"/>
      <c r="U323"/>
      <c r="V323"/>
      <c r="W323"/>
      <c r="X323"/>
      <c r="Y323"/>
      <c r="Z323"/>
      <c r="AA323"/>
      <c r="AB323"/>
      <c r="AC323"/>
    </row>
    <row r="324" spans="1:29" s="82" customFormat="1" x14ac:dyDescent="0.25">
      <c r="A324"/>
      <c r="B324"/>
      <c r="C324"/>
      <c r="D324"/>
      <c r="E324"/>
      <c r="F324"/>
      <c r="G324"/>
      <c r="H324"/>
      <c r="I324"/>
      <c r="J324"/>
      <c r="K324"/>
      <c r="L324"/>
      <c r="M324"/>
      <c r="N324"/>
      <c r="O324"/>
      <c r="P324"/>
      <c r="Q324"/>
      <c r="R324"/>
      <c r="S324"/>
      <c r="T324"/>
      <c r="U324"/>
      <c r="V324"/>
      <c r="W324"/>
      <c r="X324"/>
      <c r="Y324"/>
      <c r="Z324"/>
      <c r="AA324"/>
      <c r="AB324"/>
      <c r="AC324"/>
    </row>
    <row r="325" spans="1:29" s="82" customFormat="1" x14ac:dyDescent="0.25">
      <c r="A325"/>
      <c r="B325"/>
      <c r="C325"/>
      <c r="D325"/>
      <c r="E325"/>
      <c r="F325"/>
      <c r="G325"/>
      <c r="H325"/>
      <c r="I325"/>
      <c r="J325"/>
      <c r="K325"/>
      <c r="L325"/>
      <c r="M325"/>
      <c r="N325"/>
      <c r="O325"/>
      <c r="P325"/>
      <c r="Q325"/>
      <c r="R325"/>
      <c r="S325"/>
      <c r="T325"/>
      <c r="U325"/>
      <c r="V325"/>
      <c r="W325"/>
      <c r="X325"/>
      <c r="Y325"/>
      <c r="Z325"/>
      <c r="AA325"/>
      <c r="AB325"/>
      <c r="AC325"/>
    </row>
    <row r="326" spans="1:29" s="82" customFormat="1" x14ac:dyDescent="0.25">
      <c r="A326"/>
      <c r="B326"/>
      <c r="C326"/>
      <c r="D326"/>
      <c r="E326"/>
      <c r="F326"/>
      <c r="G326"/>
      <c r="H326"/>
      <c r="I326"/>
      <c r="J326"/>
      <c r="K326"/>
      <c r="L326"/>
      <c r="M326"/>
      <c r="N326"/>
      <c r="O326"/>
      <c r="P326"/>
      <c r="Q326"/>
      <c r="R326"/>
      <c r="S326"/>
      <c r="T326"/>
      <c r="U326"/>
      <c r="V326"/>
      <c r="W326"/>
      <c r="X326"/>
      <c r="Y326"/>
      <c r="Z326"/>
      <c r="AA326"/>
      <c r="AB326"/>
      <c r="AC326"/>
    </row>
    <row r="327" spans="1:29" s="82" customFormat="1" x14ac:dyDescent="0.25">
      <c r="A327"/>
      <c r="B327"/>
      <c r="C327"/>
      <c r="D327"/>
      <c r="E327"/>
      <c r="F327"/>
      <c r="G327"/>
      <c r="H327"/>
      <c r="I327"/>
      <c r="J327"/>
      <c r="K327"/>
      <c r="L327"/>
      <c r="M327"/>
      <c r="N327"/>
      <c r="O327"/>
      <c r="P327"/>
      <c r="Q327"/>
      <c r="R327"/>
      <c r="S327"/>
      <c r="T327"/>
      <c r="U327"/>
      <c r="V327"/>
      <c r="W327"/>
      <c r="X327"/>
      <c r="Y327"/>
      <c r="Z327"/>
      <c r="AA327"/>
      <c r="AB327"/>
      <c r="AC327"/>
    </row>
    <row r="328" spans="1:29" s="82" customFormat="1" x14ac:dyDescent="0.25">
      <c r="A328"/>
      <c r="B328"/>
      <c r="C328"/>
      <c r="D328"/>
      <c r="E328"/>
      <c r="F328"/>
      <c r="G328"/>
      <c r="H328"/>
      <c r="I328"/>
      <c r="J328"/>
      <c r="K328"/>
      <c r="L328"/>
      <c r="M328"/>
      <c r="N328"/>
      <c r="O328"/>
      <c r="P328"/>
      <c r="Q328"/>
      <c r="R328"/>
      <c r="S328"/>
      <c r="T328"/>
      <c r="U328"/>
      <c r="V328"/>
      <c r="W328"/>
      <c r="X328"/>
      <c r="Y328"/>
      <c r="Z328"/>
      <c r="AA328"/>
      <c r="AB328"/>
      <c r="AC328"/>
    </row>
    <row r="329" spans="1:29" s="82" customFormat="1" x14ac:dyDescent="0.25">
      <c r="A329"/>
      <c r="B329"/>
      <c r="C329"/>
      <c r="D329"/>
      <c r="E329"/>
      <c r="F329"/>
      <c r="G329"/>
      <c r="H329"/>
      <c r="I329"/>
      <c r="J329"/>
      <c r="K329"/>
      <c r="L329"/>
      <c r="M329"/>
      <c r="N329"/>
      <c r="O329"/>
      <c r="P329"/>
      <c r="Q329"/>
      <c r="R329"/>
      <c r="S329"/>
      <c r="T329"/>
      <c r="U329"/>
      <c r="V329"/>
      <c r="W329"/>
      <c r="X329"/>
      <c r="Y329"/>
      <c r="Z329"/>
      <c r="AA329"/>
      <c r="AB329"/>
      <c r="AC329"/>
    </row>
    <row r="330" spans="1:29" s="82" customFormat="1" x14ac:dyDescent="0.25">
      <c r="A330"/>
      <c r="B330"/>
      <c r="C330"/>
      <c r="D330"/>
      <c r="E330"/>
      <c r="F330"/>
      <c r="G330"/>
      <c r="H330"/>
      <c r="I330"/>
      <c r="J330"/>
      <c r="K330"/>
      <c r="L330"/>
      <c r="M330"/>
      <c r="N330"/>
      <c r="O330"/>
      <c r="P330"/>
      <c r="Q330"/>
      <c r="R330"/>
      <c r="S330"/>
      <c r="T330"/>
      <c r="U330"/>
      <c r="V330"/>
      <c r="W330"/>
      <c r="X330"/>
      <c r="Y330"/>
      <c r="Z330"/>
      <c r="AA330"/>
      <c r="AB330"/>
      <c r="AC330"/>
    </row>
    <row r="331" spans="1:29" s="82" customFormat="1" x14ac:dyDescent="0.25">
      <c r="A331"/>
      <c r="B331"/>
      <c r="C331"/>
      <c r="D331"/>
      <c r="E331"/>
      <c r="F331"/>
      <c r="G331"/>
      <c r="H331"/>
      <c r="I331"/>
      <c r="J331"/>
      <c r="K331"/>
      <c r="L331"/>
      <c r="M331"/>
      <c r="N331"/>
      <c r="O331"/>
      <c r="P331"/>
      <c r="Q331"/>
      <c r="R331"/>
      <c r="S331"/>
      <c r="T331"/>
      <c r="U331"/>
      <c r="V331"/>
      <c r="W331"/>
      <c r="X331"/>
      <c r="Y331"/>
      <c r="Z331"/>
      <c r="AA331"/>
      <c r="AB331"/>
      <c r="AC331"/>
    </row>
    <row r="332" spans="1:29" s="82" customFormat="1" x14ac:dyDescent="0.25">
      <c r="A332"/>
      <c r="B332"/>
      <c r="C332"/>
      <c r="D332"/>
      <c r="E332"/>
      <c r="F332"/>
      <c r="G332"/>
      <c r="H332"/>
      <c r="I332"/>
      <c r="J332"/>
      <c r="K332"/>
      <c r="L332"/>
      <c r="M332"/>
      <c r="N332"/>
      <c r="O332"/>
      <c r="P332"/>
      <c r="Q332"/>
      <c r="R332"/>
      <c r="S332"/>
      <c r="T332"/>
      <c r="U332"/>
      <c r="V332"/>
      <c r="W332"/>
      <c r="X332"/>
      <c r="Y332"/>
      <c r="Z332"/>
      <c r="AA332"/>
      <c r="AB332"/>
      <c r="AC332"/>
    </row>
    <row r="333" spans="1:29" s="82" customFormat="1" x14ac:dyDescent="0.25">
      <c r="A333"/>
      <c r="B333"/>
      <c r="C333"/>
      <c r="D333"/>
      <c r="E333"/>
      <c r="F333"/>
      <c r="G333"/>
      <c r="H333"/>
      <c r="I333"/>
      <c r="J333"/>
      <c r="K333"/>
      <c r="L333"/>
      <c r="M333"/>
      <c r="N333"/>
      <c r="O333"/>
      <c r="P333"/>
      <c r="Q333"/>
      <c r="R333"/>
      <c r="S333"/>
      <c r="T333"/>
      <c r="U333"/>
      <c r="V333"/>
      <c r="W333"/>
      <c r="X333"/>
      <c r="Y333"/>
      <c r="Z333"/>
      <c r="AA333"/>
      <c r="AB333"/>
      <c r="AC333"/>
    </row>
    <row r="334" spans="1:29" s="82" customFormat="1" x14ac:dyDescent="0.25">
      <c r="A334"/>
      <c r="B334"/>
      <c r="C334"/>
      <c r="D334"/>
      <c r="E334"/>
      <c r="F334"/>
      <c r="G334"/>
      <c r="H334"/>
      <c r="I334"/>
      <c r="J334"/>
      <c r="K334"/>
      <c r="L334"/>
      <c r="M334"/>
      <c r="N334"/>
      <c r="O334"/>
      <c r="P334"/>
      <c r="Q334"/>
      <c r="R334"/>
      <c r="S334"/>
      <c r="T334"/>
      <c r="U334"/>
      <c r="V334"/>
      <c r="W334"/>
      <c r="X334"/>
      <c r="Y334"/>
      <c r="Z334"/>
      <c r="AA334"/>
      <c r="AB334"/>
      <c r="AC334"/>
    </row>
    <row r="335" spans="1:29" s="82" customFormat="1" x14ac:dyDescent="0.25">
      <c r="A335"/>
      <c r="B335"/>
      <c r="C335"/>
      <c r="D335"/>
      <c r="E335"/>
      <c r="F335"/>
      <c r="G335"/>
      <c r="H335"/>
      <c r="I335"/>
      <c r="J335"/>
      <c r="K335"/>
      <c r="L335"/>
      <c r="M335"/>
      <c r="N335"/>
      <c r="O335"/>
      <c r="P335"/>
      <c r="Q335"/>
      <c r="R335"/>
      <c r="S335"/>
      <c r="T335"/>
      <c r="U335"/>
      <c r="V335"/>
      <c r="W335"/>
      <c r="X335"/>
      <c r="Y335"/>
      <c r="Z335"/>
      <c r="AA335"/>
      <c r="AB335"/>
      <c r="AC335"/>
    </row>
    <row r="336" spans="1:29" s="82" customFormat="1" x14ac:dyDescent="0.25">
      <c r="A336"/>
      <c r="B336"/>
      <c r="C336"/>
      <c r="D336"/>
      <c r="E336"/>
      <c r="F336"/>
      <c r="G336"/>
      <c r="H336"/>
      <c r="I336"/>
      <c r="J336"/>
      <c r="K336"/>
      <c r="L336"/>
      <c r="M336"/>
      <c r="N336"/>
      <c r="O336"/>
      <c r="P336"/>
      <c r="Q336"/>
      <c r="R336"/>
      <c r="S336"/>
      <c r="T336"/>
      <c r="U336"/>
      <c r="V336"/>
      <c r="W336"/>
      <c r="X336"/>
      <c r="Y336"/>
      <c r="Z336"/>
      <c r="AA336"/>
      <c r="AB336"/>
      <c r="AC336"/>
    </row>
    <row r="337" spans="1:29" s="82" customFormat="1" x14ac:dyDescent="0.25">
      <c r="A337"/>
      <c r="B337"/>
      <c r="C337"/>
      <c r="D337"/>
      <c r="E337"/>
      <c r="F337"/>
      <c r="G337"/>
      <c r="H337"/>
      <c r="I337"/>
      <c r="J337"/>
      <c r="K337"/>
      <c r="L337"/>
      <c r="M337"/>
      <c r="N337"/>
      <c r="O337"/>
      <c r="P337"/>
      <c r="Q337"/>
      <c r="R337"/>
      <c r="S337"/>
      <c r="T337"/>
      <c r="U337"/>
      <c r="V337"/>
      <c r="W337"/>
      <c r="X337"/>
      <c r="Y337"/>
      <c r="Z337"/>
      <c r="AA337"/>
      <c r="AB337"/>
      <c r="AC337"/>
    </row>
    <row r="338" spans="1:29" s="82" customFormat="1" x14ac:dyDescent="0.25">
      <c r="A338"/>
      <c r="B338"/>
      <c r="C338"/>
      <c r="D338"/>
      <c r="E338"/>
      <c r="F338"/>
      <c r="G338"/>
      <c r="H338"/>
      <c r="I338"/>
      <c r="J338"/>
      <c r="K338"/>
      <c r="L338"/>
      <c r="M338"/>
      <c r="N338"/>
      <c r="O338"/>
      <c r="P338"/>
      <c r="Q338"/>
      <c r="R338"/>
      <c r="S338"/>
      <c r="T338"/>
      <c r="U338"/>
      <c r="V338"/>
      <c r="W338"/>
      <c r="X338"/>
      <c r="Y338"/>
      <c r="Z338"/>
      <c r="AA338"/>
      <c r="AB338"/>
      <c r="AC338"/>
    </row>
    <row r="339" spans="1:29" s="82" customFormat="1" x14ac:dyDescent="0.25">
      <c r="A339"/>
      <c r="B339"/>
      <c r="C339"/>
      <c r="D339"/>
      <c r="E339"/>
      <c r="F339"/>
      <c r="G339"/>
      <c r="H339"/>
      <c r="I339"/>
      <c r="J339"/>
      <c r="K339"/>
      <c r="L339"/>
      <c r="M339"/>
      <c r="N339"/>
      <c r="O339"/>
      <c r="P339"/>
      <c r="Q339"/>
      <c r="R339"/>
      <c r="S339"/>
      <c r="T339"/>
      <c r="U339"/>
      <c r="V339"/>
      <c r="W339"/>
      <c r="X339"/>
      <c r="Y339"/>
      <c r="Z339"/>
      <c r="AA339"/>
      <c r="AB339"/>
      <c r="AC339"/>
    </row>
    <row r="340" spans="1:29" s="82" customFormat="1" x14ac:dyDescent="0.25">
      <c r="A340"/>
      <c r="B340"/>
      <c r="C340"/>
      <c r="D340"/>
      <c r="E340"/>
      <c r="F340"/>
      <c r="G340"/>
      <c r="H340"/>
      <c r="I340"/>
      <c r="J340"/>
      <c r="K340"/>
      <c r="L340"/>
      <c r="M340"/>
      <c r="N340"/>
      <c r="O340"/>
      <c r="P340"/>
      <c r="Q340"/>
      <c r="R340"/>
      <c r="S340"/>
      <c r="T340"/>
      <c r="U340"/>
      <c r="V340"/>
      <c r="W340"/>
      <c r="X340"/>
      <c r="Y340"/>
      <c r="Z340"/>
      <c r="AA340"/>
      <c r="AB340"/>
      <c r="AC340"/>
    </row>
    <row r="341" spans="1:29" s="82" customFormat="1" x14ac:dyDescent="0.25">
      <c r="A341"/>
      <c r="B341"/>
      <c r="C341"/>
      <c r="D341"/>
      <c r="E341"/>
      <c r="F341"/>
      <c r="G341"/>
      <c r="H341"/>
      <c r="I341"/>
      <c r="J341"/>
      <c r="K341"/>
      <c r="L341"/>
      <c r="M341"/>
      <c r="N341"/>
      <c r="O341"/>
      <c r="P341"/>
      <c r="Q341"/>
      <c r="R341"/>
      <c r="S341"/>
      <c r="T341"/>
      <c r="U341"/>
      <c r="V341"/>
      <c r="W341"/>
      <c r="X341"/>
      <c r="Y341"/>
      <c r="Z341"/>
      <c r="AA341"/>
      <c r="AB341"/>
      <c r="AC341"/>
    </row>
    <row r="342" spans="1:29" s="82" customFormat="1" x14ac:dyDescent="0.25">
      <c r="A342"/>
      <c r="B342"/>
      <c r="C342"/>
      <c r="D342"/>
      <c r="E342"/>
      <c r="F342"/>
      <c r="G342"/>
      <c r="H342"/>
      <c r="I342"/>
      <c r="J342"/>
      <c r="K342"/>
      <c r="L342"/>
      <c r="M342"/>
      <c r="N342"/>
      <c r="O342"/>
      <c r="P342"/>
      <c r="Q342"/>
      <c r="R342"/>
      <c r="S342"/>
      <c r="T342"/>
      <c r="U342"/>
      <c r="V342"/>
      <c r="W342"/>
      <c r="X342"/>
      <c r="Y342"/>
      <c r="Z342"/>
      <c r="AA342"/>
      <c r="AB342"/>
      <c r="AC342"/>
    </row>
    <row r="343" spans="1:29" s="82" customFormat="1" x14ac:dyDescent="0.25">
      <c r="A343"/>
      <c r="B343"/>
      <c r="C343"/>
      <c r="D343"/>
      <c r="E343"/>
      <c r="F343"/>
      <c r="G343"/>
      <c r="H343"/>
      <c r="I343"/>
      <c r="J343"/>
      <c r="K343"/>
      <c r="L343"/>
      <c r="M343"/>
      <c r="N343"/>
      <c r="O343"/>
      <c r="P343"/>
      <c r="Q343"/>
      <c r="R343"/>
      <c r="S343"/>
      <c r="T343"/>
      <c r="U343"/>
      <c r="V343"/>
      <c r="W343"/>
      <c r="X343"/>
      <c r="Y343"/>
      <c r="Z343"/>
      <c r="AA343"/>
      <c r="AB343"/>
      <c r="AC343"/>
    </row>
    <row r="344" spans="1:29" s="82" customFormat="1" x14ac:dyDescent="0.25">
      <c r="A344"/>
      <c r="B344"/>
      <c r="C344"/>
      <c r="D344"/>
      <c r="E344"/>
      <c r="F344"/>
      <c r="G344"/>
      <c r="H344"/>
      <c r="I344"/>
      <c r="J344"/>
      <c r="K344"/>
      <c r="L344"/>
      <c r="M344"/>
      <c r="N344"/>
      <c r="O344"/>
      <c r="P344"/>
      <c r="Q344"/>
      <c r="R344"/>
      <c r="S344"/>
      <c r="T344"/>
      <c r="U344"/>
      <c r="V344"/>
      <c r="W344"/>
      <c r="X344"/>
      <c r="Y344"/>
      <c r="Z344"/>
      <c r="AA344"/>
      <c r="AB344"/>
      <c r="AC344"/>
    </row>
    <row r="345" spans="1:29" s="82" customFormat="1" x14ac:dyDescent="0.25">
      <c r="A345"/>
      <c r="B345"/>
      <c r="C345"/>
      <c r="D345"/>
      <c r="E345"/>
      <c r="F345"/>
      <c r="G345"/>
      <c r="H345"/>
      <c r="I345"/>
      <c r="J345"/>
      <c r="K345"/>
      <c r="L345"/>
      <c r="M345"/>
      <c r="N345"/>
      <c r="O345"/>
      <c r="P345"/>
      <c r="Q345"/>
      <c r="R345"/>
      <c r="S345"/>
      <c r="T345"/>
      <c r="U345"/>
      <c r="V345"/>
      <c r="W345"/>
      <c r="X345"/>
      <c r="Y345"/>
      <c r="Z345"/>
      <c r="AA345"/>
      <c r="AB345"/>
      <c r="AC345"/>
    </row>
    <row r="346" spans="1:29" s="82" customFormat="1" x14ac:dyDescent="0.25">
      <c r="A346"/>
      <c r="B346"/>
      <c r="C346"/>
      <c r="D346"/>
      <c r="E346"/>
      <c r="F346"/>
      <c r="G346"/>
      <c r="H346"/>
      <c r="I346"/>
      <c r="J346"/>
      <c r="K346"/>
      <c r="L346"/>
      <c r="M346"/>
      <c r="N346"/>
      <c r="O346"/>
      <c r="P346"/>
      <c r="Q346"/>
      <c r="R346"/>
      <c r="S346"/>
      <c r="T346"/>
      <c r="U346"/>
      <c r="V346"/>
      <c r="W346"/>
      <c r="X346"/>
      <c r="Y346"/>
      <c r="Z346"/>
      <c r="AA346"/>
      <c r="AB346"/>
      <c r="AC346"/>
    </row>
    <row r="347" spans="1:29" s="82" customFormat="1" x14ac:dyDescent="0.25">
      <c r="A347"/>
      <c r="B347"/>
      <c r="C347"/>
      <c r="D347"/>
      <c r="E347"/>
      <c r="F347"/>
      <c r="G347"/>
      <c r="H347"/>
      <c r="I347"/>
      <c r="J347"/>
      <c r="K347"/>
      <c r="L347"/>
      <c r="M347"/>
      <c r="N347"/>
      <c r="O347"/>
      <c r="P347"/>
      <c r="Q347"/>
      <c r="R347"/>
      <c r="S347"/>
      <c r="T347"/>
      <c r="U347"/>
      <c r="V347"/>
      <c r="W347"/>
      <c r="X347"/>
      <c r="Y347"/>
      <c r="Z347"/>
      <c r="AA347"/>
      <c r="AB347"/>
      <c r="AC347"/>
    </row>
    <row r="348" spans="1:29" s="82" customFormat="1" x14ac:dyDescent="0.25">
      <c r="A348"/>
      <c r="B348"/>
      <c r="C348"/>
      <c r="D348"/>
      <c r="E348"/>
      <c r="F348"/>
      <c r="G348"/>
      <c r="H348"/>
      <c r="I348"/>
      <c r="J348"/>
      <c r="K348"/>
      <c r="L348"/>
      <c r="M348"/>
      <c r="N348"/>
      <c r="O348"/>
      <c r="P348"/>
      <c r="Q348"/>
      <c r="R348"/>
      <c r="S348"/>
      <c r="T348"/>
      <c r="U348"/>
      <c r="V348"/>
      <c r="W348"/>
      <c r="X348"/>
      <c r="Y348"/>
      <c r="Z348"/>
      <c r="AA348"/>
      <c r="AB348"/>
      <c r="AC348"/>
    </row>
    <row r="349" spans="1:29" s="82" customFormat="1" x14ac:dyDescent="0.25">
      <c r="A349"/>
      <c r="B349"/>
      <c r="C349"/>
      <c r="D349"/>
      <c r="E349"/>
      <c r="F349"/>
      <c r="G349"/>
      <c r="H349"/>
      <c r="I349"/>
      <c r="J349"/>
      <c r="K349"/>
      <c r="L349"/>
      <c r="M349"/>
      <c r="N349"/>
      <c r="O349"/>
      <c r="P349"/>
      <c r="Q349"/>
      <c r="R349"/>
      <c r="S349"/>
      <c r="T349"/>
      <c r="U349"/>
      <c r="V349"/>
      <c r="W349"/>
      <c r="X349"/>
      <c r="Y349"/>
      <c r="Z349"/>
      <c r="AA349"/>
      <c r="AB349"/>
      <c r="AC349"/>
    </row>
    <row r="350" spans="1:29" s="82" customFormat="1" x14ac:dyDescent="0.25">
      <c r="A350"/>
      <c r="B350"/>
      <c r="C350"/>
      <c r="D350"/>
      <c r="E350"/>
      <c r="F350"/>
      <c r="G350"/>
      <c r="H350"/>
      <c r="I350"/>
      <c r="J350"/>
      <c r="K350"/>
      <c r="L350"/>
      <c r="M350"/>
      <c r="N350"/>
      <c r="O350"/>
      <c r="P350"/>
      <c r="Q350"/>
      <c r="R350"/>
      <c r="S350"/>
      <c r="T350"/>
      <c r="U350"/>
      <c r="V350"/>
      <c r="W350"/>
      <c r="X350"/>
      <c r="Y350"/>
      <c r="Z350"/>
      <c r="AA350"/>
      <c r="AB350"/>
      <c r="AC350"/>
    </row>
    <row r="351" spans="1:29" s="82" customFormat="1" x14ac:dyDescent="0.25">
      <c r="A351"/>
      <c r="B351"/>
      <c r="C351"/>
      <c r="D351"/>
      <c r="E351"/>
      <c r="F351"/>
      <c r="G351"/>
      <c r="H351"/>
      <c r="I351"/>
      <c r="J351"/>
      <c r="K351"/>
      <c r="L351"/>
      <c r="M351"/>
      <c r="N351"/>
      <c r="O351"/>
      <c r="P351"/>
      <c r="Q351"/>
      <c r="R351"/>
      <c r="S351"/>
      <c r="T351"/>
      <c r="U351"/>
      <c r="V351"/>
      <c r="W351"/>
      <c r="X351"/>
      <c r="Y351"/>
      <c r="Z351"/>
      <c r="AA351"/>
      <c r="AB351"/>
      <c r="AC351"/>
    </row>
    <row r="352" spans="1:29" s="82" customFormat="1" x14ac:dyDescent="0.25">
      <c r="A352"/>
      <c r="B352"/>
      <c r="C352"/>
      <c r="D352"/>
      <c r="E352"/>
      <c r="F352"/>
      <c r="G352"/>
      <c r="H352"/>
      <c r="I352"/>
      <c r="J352"/>
      <c r="K352"/>
      <c r="L352"/>
      <c r="M352"/>
      <c r="N352"/>
      <c r="O352"/>
      <c r="P352"/>
      <c r="Q352"/>
      <c r="R352"/>
      <c r="S352"/>
      <c r="T352"/>
      <c r="U352"/>
      <c r="V352"/>
      <c r="W352"/>
      <c r="X352"/>
      <c r="Y352"/>
      <c r="Z352"/>
      <c r="AA352"/>
      <c r="AB352"/>
      <c r="AC352"/>
    </row>
    <row r="353" spans="1:29" s="82" customFormat="1" x14ac:dyDescent="0.25">
      <c r="A353"/>
      <c r="B353"/>
      <c r="C353"/>
      <c r="D353"/>
      <c r="E353"/>
      <c r="F353"/>
      <c r="G353"/>
      <c r="H353"/>
      <c r="I353"/>
      <c r="J353"/>
      <c r="K353"/>
      <c r="L353"/>
      <c r="M353"/>
      <c r="N353"/>
      <c r="O353"/>
      <c r="P353"/>
      <c r="Q353"/>
      <c r="R353"/>
      <c r="S353"/>
      <c r="T353"/>
      <c r="U353"/>
      <c r="V353"/>
      <c r="W353"/>
      <c r="X353"/>
      <c r="Y353"/>
      <c r="Z353"/>
      <c r="AA353"/>
      <c r="AB353"/>
      <c r="AC353"/>
    </row>
    <row r="354" spans="1:29" s="82" customFormat="1" x14ac:dyDescent="0.25">
      <c r="A354"/>
      <c r="B354"/>
      <c r="C354"/>
      <c r="D354"/>
      <c r="E354"/>
      <c r="F354"/>
      <c r="G354"/>
      <c r="H354"/>
      <c r="I354"/>
      <c r="J354"/>
      <c r="K354"/>
      <c r="L354"/>
      <c r="M354"/>
      <c r="N354"/>
      <c r="O354"/>
      <c r="P354"/>
      <c r="Q354"/>
      <c r="R354"/>
      <c r="S354"/>
      <c r="T354"/>
      <c r="U354"/>
      <c r="V354"/>
      <c r="W354"/>
      <c r="X354"/>
      <c r="Y354"/>
      <c r="Z354"/>
      <c r="AA354"/>
      <c r="AB354"/>
      <c r="AC354"/>
    </row>
    <row r="355" spans="1:29" s="82" customFormat="1" x14ac:dyDescent="0.25">
      <c r="A355"/>
      <c r="B355"/>
      <c r="C355"/>
      <c r="D355"/>
      <c r="E355"/>
      <c r="F355"/>
      <c r="G355"/>
      <c r="H355"/>
      <c r="I355"/>
      <c r="J355"/>
      <c r="K355"/>
      <c r="L355"/>
      <c r="M355"/>
      <c r="N355"/>
      <c r="O355"/>
      <c r="P355"/>
      <c r="Q355"/>
      <c r="R355"/>
      <c r="S355"/>
      <c r="T355"/>
      <c r="U355"/>
      <c r="V355"/>
      <c r="W355"/>
      <c r="X355"/>
      <c r="Y355"/>
      <c r="Z355"/>
      <c r="AA355"/>
      <c r="AB355"/>
      <c r="AC355"/>
    </row>
    <row r="356" spans="1:29" s="82" customFormat="1" x14ac:dyDescent="0.25">
      <c r="A356"/>
      <c r="B356"/>
      <c r="C356"/>
      <c r="D356"/>
      <c r="E356"/>
      <c r="F356"/>
      <c r="G356"/>
      <c r="H356"/>
      <c r="I356"/>
      <c r="J356"/>
      <c r="K356"/>
      <c r="L356"/>
      <c r="M356"/>
      <c r="N356"/>
      <c r="O356"/>
      <c r="P356"/>
      <c r="Q356"/>
      <c r="R356"/>
      <c r="S356"/>
      <c r="T356"/>
      <c r="U356"/>
      <c r="V356"/>
      <c r="W356"/>
      <c r="X356"/>
      <c r="Y356"/>
      <c r="Z356"/>
      <c r="AA356"/>
      <c r="AB356"/>
      <c r="AC356"/>
    </row>
    <row r="357" spans="1:29" s="82" customFormat="1" x14ac:dyDescent="0.25">
      <c r="A357"/>
      <c r="B357"/>
      <c r="C357"/>
      <c r="D357"/>
      <c r="E357"/>
      <c r="F357"/>
      <c r="G357"/>
      <c r="H357"/>
      <c r="I357"/>
      <c r="J357"/>
      <c r="K357"/>
      <c r="L357"/>
      <c r="M357"/>
      <c r="N357"/>
      <c r="O357"/>
      <c r="P357"/>
      <c r="Q357"/>
      <c r="R357"/>
      <c r="S357"/>
      <c r="T357"/>
      <c r="U357"/>
      <c r="V357"/>
      <c r="W357"/>
      <c r="X357"/>
      <c r="Y357"/>
      <c r="Z357"/>
      <c r="AA357"/>
      <c r="AB357"/>
      <c r="AC357"/>
    </row>
    <row r="358" spans="1:29" s="82" customFormat="1" x14ac:dyDescent="0.25">
      <c r="A358"/>
      <c r="B358"/>
      <c r="C358"/>
      <c r="D358"/>
      <c r="E358"/>
      <c r="F358"/>
      <c r="G358"/>
      <c r="H358"/>
      <c r="I358"/>
      <c r="J358"/>
      <c r="K358"/>
      <c r="L358"/>
      <c r="M358"/>
      <c r="N358"/>
      <c r="O358"/>
      <c r="P358"/>
      <c r="Q358"/>
      <c r="R358"/>
      <c r="S358"/>
      <c r="T358"/>
      <c r="U358"/>
      <c r="V358"/>
      <c r="W358"/>
      <c r="X358"/>
      <c r="Y358"/>
      <c r="Z358"/>
      <c r="AA358"/>
      <c r="AB358"/>
      <c r="AC358"/>
    </row>
    <row r="359" spans="1:29" s="82" customFormat="1" x14ac:dyDescent="0.25">
      <c r="A359"/>
      <c r="B359"/>
      <c r="C359"/>
      <c r="D359"/>
      <c r="E359"/>
      <c r="F359"/>
      <c r="G359"/>
      <c r="H359"/>
      <c r="I359"/>
      <c r="J359"/>
      <c r="K359"/>
      <c r="L359"/>
      <c r="M359"/>
      <c r="N359"/>
      <c r="O359"/>
      <c r="P359"/>
      <c r="Q359"/>
      <c r="R359"/>
      <c r="S359"/>
      <c r="T359"/>
      <c r="U359"/>
      <c r="V359"/>
      <c r="W359"/>
      <c r="X359"/>
      <c r="Y359"/>
      <c r="Z359"/>
      <c r="AA359"/>
      <c r="AB359"/>
      <c r="AC359"/>
    </row>
    <row r="360" spans="1:29" s="82" customFormat="1" x14ac:dyDescent="0.25">
      <c r="A360"/>
      <c r="B360"/>
      <c r="C360"/>
      <c r="D360"/>
      <c r="E360"/>
      <c r="F360"/>
      <c r="G360"/>
      <c r="H360"/>
      <c r="I360"/>
      <c r="J360"/>
      <c r="K360"/>
      <c r="L360"/>
      <c r="M360"/>
      <c r="N360"/>
      <c r="O360"/>
      <c r="P360"/>
      <c r="Q360"/>
      <c r="R360"/>
      <c r="S360"/>
      <c r="T360"/>
      <c r="U360"/>
      <c r="V360"/>
      <c r="W360"/>
      <c r="X360"/>
      <c r="Y360"/>
      <c r="Z360"/>
      <c r="AA360"/>
      <c r="AB360"/>
      <c r="AC360"/>
    </row>
    <row r="361" spans="1:29" s="82" customFormat="1" x14ac:dyDescent="0.25">
      <c r="A361"/>
      <c r="B361"/>
      <c r="C361"/>
      <c r="D361"/>
      <c r="E361"/>
      <c r="F361"/>
      <c r="G361"/>
      <c r="H361"/>
      <c r="I361"/>
      <c r="J361"/>
      <c r="K361"/>
      <c r="L361"/>
      <c r="M361"/>
      <c r="N361"/>
      <c r="O361"/>
      <c r="P361"/>
      <c r="Q361"/>
      <c r="R361"/>
      <c r="S361"/>
      <c r="T361"/>
      <c r="U361"/>
      <c r="V361"/>
      <c r="W361"/>
      <c r="X361"/>
      <c r="Y361"/>
      <c r="Z361"/>
      <c r="AA361"/>
      <c r="AB361"/>
      <c r="AC361"/>
    </row>
    <row r="362" spans="1:29" s="82" customFormat="1" x14ac:dyDescent="0.25">
      <c r="A362"/>
      <c r="B362"/>
      <c r="C362"/>
      <c r="D362"/>
      <c r="E362"/>
      <c r="F362"/>
      <c r="G362"/>
      <c r="H362"/>
      <c r="I362"/>
      <c r="J362"/>
      <c r="K362"/>
      <c r="L362"/>
      <c r="M362"/>
      <c r="N362"/>
      <c r="O362"/>
      <c r="P362"/>
      <c r="Q362"/>
      <c r="R362"/>
      <c r="S362"/>
      <c r="T362"/>
      <c r="U362"/>
      <c r="V362"/>
      <c r="W362"/>
      <c r="X362"/>
      <c r="Y362"/>
      <c r="Z362"/>
      <c r="AA362"/>
      <c r="AB362"/>
      <c r="AC362"/>
    </row>
    <row r="363" spans="1:29" s="82" customFormat="1" x14ac:dyDescent="0.25">
      <c r="A363"/>
      <c r="B363"/>
      <c r="C363"/>
      <c r="D363"/>
      <c r="E363"/>
      <c r="F363"/>
      <c r="G363"/>
      <c r="H363"/>
      <c r="I363"/>
      <c r="J363"/>
      <c r="K363"/>
      <c r="L363"/>
      <c r="M363"/>
      <c r="N363"/>
      <c r="O363"/>
      <c r="P363"/>
      <c r="Q363"/>
      <c r="R363"/>
      <c r="S363"/>
      <c r="T363"/>
      <c r="U363"/>
      <c r="V363"/>
      <c r="W363"/>
      <c r="X363"/>
      <c r="Y363"/>
      <c r="Z363"/>
      <c r="AA363"/>
      <c r="AB363"/>
      <c r="AC363"/>
    </row>
    <row r="364" spans="1:29" s="82" customFormat="1" x14ac:dyDescent="0.25">
      <c r="A364"/>
      <c r="B364"/>
      <c r="C364"/>
      <c r="D364"/>
      <c r="E364"/>
      <c r="F364"/>
      <c r="G364"/>
      <c r="H364"/>
      <c r="I364"/>
      <c r="J364"/>
      <c r="K364"/>
      <c r="L364"/>
      <c r="M364"/>
      <c r="N364"/>
      <c r="O364"/>
      <c r="P364"/>
      <c r="Q364"/>
      <c r="R364"/>
      <c r="S364"/>
      <c r="T364"/>
      <c r="U364"/>
      <c r="V364"/>
      <c r="W364"/>
      <c r="X364"/>
      <c r="Y364"/>
      <c r="Z364"/>
      <c r="AA364"/>
      <c r="AB364"/>
      <c r="AC364"/>
    </row>
    <row r="365" spans="1:29" s="82" customFormat="1" x14ac:dyDescent="0.25">
      <c r="A365"/>
      <c r="B365"/>
      <c r="C365"/>
      <c r="D365"/>
      <c r="E365"/>
      <c r="F365"/>
      <c r="G365"/>
      <c r="H365"/>
      <c r="I365"/>
      <c r="J365"/>
      <c r="K365"/>
      <c r="L365"/>
      <c r="M365"/>
      <c r="N365"/>
      <c r="O365"/>
      <c r="P365"/>
      <c r="Q365"/>
      <c r="R365"/>
      <c r="S365"/>
      <c r="T365"/>
      <c r="U365"/>
      <c r="V365"/>
      <c r="W365"/>
      <c r="X365"/>
      <c r="Y365"/>
      <c r="Z365"/>
      <c r="AA365"/>
      <c r="AB365"/>
      <c r="AC365"/>
    </row>
    <row r="366" spans="1:29" s="82" customFormat="1" x14ac:dyDescent="0.25">
      <c r="A366"/>
      <c r="B366"/>
      <c r="C366"/>
      <c r="D366"/>
      <c r="E366"/>
      <c r="F366"/>
      <c r="G366"/>
      <c r="H366"/>
      <c r="I366"/>
      <c r="J366"/>
      <c r="K366"/>
      <c r="L366"/>
      <c r="M366"/>
      <c r="N366"/>
      <c r="O366"/>
      <c r="P366"/>
      <c r="Q366"/>
      <c r="R366"/>
      <c r="S366"/>
      <c r="T366"/>
      <c r="U366"/>
      <c r="V366"/>
      <c r="W366"/>
      <c r="X366"/>
      <c r="Y366"/>
      <c r="Z366"/>
      <c r="AA366"/>
      <c r="AB366"/>
      <c r="AC366"/>
    </row>
    <row r="367" spans="1:29" s="82" customFormat="1" x14ac:dyDescent="0.25">
      <c r="A367"/>
      <c r="B367"/>
      <c r="C367"/>
      <c r="D367"/>
      <c r="E367"/>
      <c r="F367"/>
      <c r="G367"/>
      <c r="H367"/>
      <c r="I367"/>
      <c r="J367"/>
      <c r="K367"/>
      <c r="L367"/>
      <c r="M367"/>
      <c r="N367"/>
      <c r="O367"/>
      <c r="P367"/>
      <c r="Q367"/>
      <c r="R367"/>
      <c r="S367"/>
      <c r="T367"/>
      <c r="U367"/>
      <c r="V367"/>
      <c r="W367"/>
      <c r="X367"/>
      <c r="Y367"/>
      <c r="Z367"/>
      <c r="AA367"/>
      <c r="AB367"/>
      <c r="AC367"/>
    </row>
    <row r="368" spans="1:29" s="82" customFormat="1" x14ac:dyDescent="0.25">
      <c r="A368"/>
      <c r="B368"/>
      <c r="C368"/>
      <c r="D368"/>
      <c r="E368"/>
      <c r="F368"/>
      <c r="G368"/>
      <c r="H368"/>
      <c r="I368"/>
      <c r="J368"/>
      <c r="K368"/>
      <c r="L368"/>
      <c r="M368"/>
      <c r="N368"/>
      <c r="O368"/>
      <c r="P368"/>
      <c r="Q368"/>
      <c r="R368"/>
      <c r="S368"/>
      <c r="T368"/>
      <c r="U368"/>
      <c r="V368"/>
      <c r="W368"/>
      <c r="X368"/>
      <c r="Y368"/>
      <c r="Z368"/>
      <c r="AA368"/>
      <c r="AB368"/>
      <c r="AC368"/>
    </row>
    <row r="369" spans="1:29" s="82" customFormat="1" x14ac:dyDescent="0.25">
      <c r="A369"/>
      <c r="B369"/>
      <c r="C369"/>
      <c r="D369"/>
      <c r="E369"/>
      <c r="F369"/>
      <c r="G369"/>
      <c r="H369"/>
      <c r="I369"/>
      <c r="J369"/>
      <c r="K369"/>
      <c r="L369"/>
      <c r="M369"/>
      <c r="N369"/>
      <c r="O369"/>
      <c r="P369"/>
      <c r="Q369"/>
      <c r="R369"/>
      <c r="S369"/>
      <c r="T369"/>
      <c r="U369"/>
      <c r="V369"/>
      <c r="W369"/>
      <c r="X369"/>
      <c r="Y369"/>
      <c r="Z369"/>
      <c r="AA369"/>
      <c r="AB369"/>
      <c r="AC369"/>
    </row>
    <row r="370" spans="1:29" s="82" customFormat="1" x14ac:dyDescent="0.25">
      <c r="A370"/>
      <c r="B370"/>
      <c r="C370"/>
      <c r="D370"/>
      <c r="E370"/>
      <c r="F370"/>
      <c r="G370"/>
      <c r="H370"/>
      <c r="I370"/>
      <c r="J370"/>
      <c r="K370"/>
      <c r="L370"/>
      <c r="M370"/>
      <c r="N370"/>
      <c r="O370"/>
      <c r="P370"/>
      <c r="Q370"/>
      <c r="R370"/>
      <c r="S370"/>
      <c r="T370"/>
      <c r="U370"/>
      <c r="V370"/>
      <c r="W370"/>
      <c r="X370"/>
      <c r="Y370"/>
      <c r="Z370"/>
      <c r="AA370"/>
      <c r="AB370"/>
      <c r="AC370"/>
    </row>
    <row r="371" spans="1:29" s="82" customFormat="1" x14ac:dyDescent="0.25">
      <c r="A371"/>
      <c r="B371"/>
      <c r="C371"/>
      <c r="D371"/>
      <c r="E371"/>
      <c r="F371"/>
      <c r="G371"/>
      <c r="H371"/>
      <c r="I371"/>
      <c r="J371"/>
      <c r="K371"/>
      <c r="L371"/>
      <c r="M371"/>
      <c r="N371"/>
      <c r="O371"/>
      <c r="P371"/>
      <c r="Q371"/>
      <c r="R371"/>
      <c r="S371"/>
      <c r="T371"/>
      <c r="U371"/>
      <c r="V371"/>
      <c r="W371"/>
      <c r="X371"/>
      <c r="Y371"/>
      <c r="Z371"/>
      <c r="AA371"/>
      <c r="AB371"/>
      <c r="AC371"/>
    </row>
    <row r="372" spans="1:29" s="82" customFormat="1" x14ac:dyDescent="0.25">
      <c r="A372"/>
      <c r="B372"/>
      <c r="C372"/>
      <c r="D372"/>
      <c r="E372"/>
      <c r="F372"/>
      <c r="G372"/>
      <c r="H372"/>
      <c r="I372"/>
      <c r="J372"/>
      <c r="K372"/>
      <c r="L372"/>
      <c r="M372"/>
      <c r="N372"/>
      <c r="O372"/>
      <c r="P372"/>
      <c r="Q372"/>
      <c r="R372"/>
      <c r="S372"/>
      <c r="T372"/>
      <c r="U372"/>
      <c r="V372"/>
      <c r="W372"/>
      <c r="X372"/>
      <c r="Y372"/>
      <c r="Z372"/>
      <c r="AA372"/>
      <c r="AB372"/>
      <c r="AC372"/>
    </row>
    <row r="373" spans="1:29" s="82" customFormat="1" x14ac:dyDescent="0.25">
      <c r="A373"/>
      <c r="B373"/>
      <c r="C373"/>
      <c r="D373"/>
      <c r="E373"/>
      <c r="F373"/>
      <c r="G373"/>
      <c r="H373"/>
      <c r="I373"/>
      <c r="J373"/>
      <c r="K373"/>
      <c r="L373"/>
      <c r="M373"/>
      <c r="N373"/>
      <c r="O373"/>
      <c r="P373"/>
      <c r="Q373"/>
      <c r="R373"/>
      <c r="S373"/>
      <c r="T373"/>
      <c r="U373"/>
      <c r="V373"/>
      <c r="W373"/>
      <c r="X373"/>
      <c r="Y373"/>
      <c r="Z373"/>
      <c r="AA373"/>
      <c r="AB373"/>
      <c r="AC373"/>
    </row>
    <row r="374" spans="1:29" s="82" customFormat="1" x14ac:dyDescent="0.25">
      <c r="A374"/>
      <c r="B374"/>
      <c r="C374"/>
      <c r="D374"/>
      <c r="E374"/>
      <c r="F374"/>
      <c r="G374"/>
      <c r="H374"/>
      <c r="I374"/>
      <c r="J374"/>
      <c r="K374"/>
      <c r="L374"/>
      <c r="M374"/>
      <c r="N374"/>
      <c r="O374"/>
      <c r="P374"/>
      <c r="Q374"/>
      <c r="R374"/>
      <c r="S374"/>
      <c r="T374"/>
      <c r="U374"/>
      <c r="V374"/>
      <c r="W374"/>
      <c r="X374"/>
      <c r="Y374"/>
      <c r="Z374"/>
      <c r="AA374"/>
      <c r="AB374"/>
      <c r="AC374"/>
    </row>
    <row r="375" spans="1:29" s="82" customFormat="1" x14ac:dyDescent="0.25">
      <c r="A375"/>
      <c r="B375"/>
      <c r="C375"/>
      <c r="D375"/>
      <c r="E375"/>
      <c r="F375"/>
      <c r="G375"/>
      <c r="H375"/>
      <c r="I375"/>
      <c r="J375"/>
      <c r="K375"/>
      <c r="L375"/>
      <c r="M375"/>
      <c r="N375"/>
      <c r="O375"/>
      <c r="P375"/>
      <c r="Q375"/>
      <c r="R375"/>
      <c r="S375"/>
      <c r="T375"/>
      <c r="U375"/>
      <c r="V375"/>
      <c r="W375"/>
      <c r="X375"/>
      <c r="Y375"/>
      <c r="Z375"/>
      <c r="AA375"/>
      <c r="AB375"/>
      <c r="AC375"/>
    </row>
    <row r="376" spans="1:29" s="82" customFormat="1" x14ac:dyDescent="0.25">
      <c r="A376"/>
      <c r="B376"/>
      <c r="C376"/>
      <c r="D376"/>
      <c r="E376"/>
      <c r="F376"/>
      <c r="G376"/>
      <c r="H376"/>
      <c r="I376"/>
      <c r="J376"/>
      <c r="K376"/>
      <c r="L376"/>
      <c r="M376"/>
      <c r="N376"/>
      <c r="O376"/>
      <c r="P376"/>
      <c r="Q376"/>
      <c r="R376"/>
      <c r="S376"/>
      <c r="T376"/>
      <c r="U376"/>
      <c r="V376"/>
      <c r="W376"/>
      <c r="X376"/>
      <c r="Y376"/>
      <c r="Z376"/>
      <c r="AA376"/>
      <c r="AB376"/>
      <c r="AC376"/>
    </row>
    <row r="377" spans="1:29" s="82" customFormat="1" x14ac:dyDescent="0.25">
      <c r="A377"/>
      <c r="B377"/>
      <c r="C377"/>
      <c r="D377"/>
      <c r="E377"/>
      <c r="F377"/>
      <c r="G377"/>
      <c r="H377"/>
      <c r="I377"/>
      <c r="J377"/>
      <c r="K377"/>
      <c r="L377"/>
      <c r="M377"/>
      <c r="N377"/>
      <c r="O377"/>
      <c r="P377"/>
      <c r="Q377"/>
      <c r="R377"/>
      <c r="S377"/>
      <c r="T377"/>
      <c r="U377"/>
      <c r="V377"/>
      <c r="W377"/>
      <c r="X377"/>
      <c r="Y377"/>
      <c r="Z377"/>
      <c r="AA377"/>
      <c r="AB377"/>
      <c r="AC377"/>
    </row>
    <row r="378" spans="1:29" s="82" customFormat="1" x14ac:dyDescent="0.25">
      <c r="A378"/>
      <c r="B378"/>
      <c r="C378"/>
      <c r="D378"/>
      <c r="E378"/>
      <c r="F378"/>
      <c r="G378"/>
      <c r="H378"/>
      <c r="I378"/>
      <c r="J378"/>
      <c r="K378"/>
      <c r="L378"/>
      <c r="M378"/>
      <c r="N378"/>
      <c r="O378"/>
      <c r="P378"/>
      <c r="Q378"/>
      <c r="R378"/>
      <c r="S378"/>
      <c r="T378"/>
      <c r="U378"/>
      <c r="V378"/>
      <c r="W378"/>
      <c r="X378"/>
      <c r="Y378"/>
      <c r="Z378"/>
      <c r="AA378"/>
      <c r="AB378"/>
      <c r="AC378"/>
    </row>
    <row r="379" spans="1:29" s="82" customFormat="1" x14ac:dyDescent="0.25">
      <c r="A379"/>
      <c r="B379"/>
      <c r="C379"/>
      <c r="D379"/>
      <c r="E379"/>
      <c r="F379"/>
      <c r="G379"/>
      <c r="H379"/>
      <c r="I379"/>
      <c r="J379"/>
      <c r="K379"/>
      <c r="L379"/>
      <c r="M379"/>
      <c r="N379"/>
      <c r="O379"/>
      <c r="P379"/>
      <c r="Q379"/>
      <c r="R379"/>
      <c r="S379"/>
      <c r="T379"/>
      <c r="U379"/>
      <c r="V379"/>
      <c r="W379"/>
      <c r="X379"/>
      <c r="Y379"/>
      <c r="Z379"/>
      <c r="AA379"/>
      <c r="AB379"/>
      <c r="AC379"/>
    </row>
    <row r="380" spans="1:29" s="82" customFormat="1" x14ac:dyDescent="0.25">
      <c r="A380"/>
      <c r="B380"/>
      <c r="C380"/>
      <c r="D380"/>
      <c r="E380"/>
      <c r="F380"/>
      <c r="G380"/>
      <c r="H380"/>
      <c r="I380"/>
      <c r="J380"/>
      <c r="K380"/>
      <c r="L380"/>
      <c r="M380"/>
      <c r="N380"/>
      <c r="O380"/>
      <c r="P380"/>
      <c r="Q380"/>
      <c r="R380"/>
      <c r="S380"/>
      <c r="T380"/>
      <c r="U380"/>
      <c r="V380"/>
      <c r="W380"/>
      <c r="X380"/>
      <c r="Y380"/>
      <c r="Z380"/>
      <c r="AA380"/>
      <c r="AB380"/>
      <c r="AC380"/>
    </row>
    <row r="381" spans="1:29" s="82" customFormat="1" x14ac:dyDescent="0.25">
      <c r="A381"/>
      <c r="B381"/>
      <c r="C381"/>
      <c r="D381"/>
      <c r="E381"/>
      <c r="F381"/>
      <c r="G381"/>
      <c r="H381"/>
      <c r="I381"/>
      <c r="J381"/>
      <c r="K381"/>
      <c r="L381"/>
      <c r="M381"/>
      <c r="N381"/>
      <c r="O381"/>
      <c r="P381"/>
      <c r="Q381"/>
      <c r="R381"/>
      <c r="S381"/>
      <c r="T381"/>
      <c r="U381"/>
      <c r="V381"/>
      <c r="W381"/>
      <c r="X381"/>
      <c r="Y381"/>
      <c r="Z381"/>
      <c r="AA381"/>
      <c r="AB381"/>
      <c r="AC381"/>
    </row>
    <row r="382" spans="1:29" s="82" customFormat="1" x14ac:dyDescent="0.25">
      <c r="A382"/>
      <c r="B382"/>
      <c r="C382"/>
      <c r="D382"/>
      <c r="E382"/>
      <c r="F382"/>
      <c r="G382"/>
      <c r="H382"/>
      <c r="I382"/>
      <c r="J382"/>
      <c r="K382"/>
      <c r="L382"/>
      <c r="M382"/>
      <c r="N382"/>
      <c r="O382"/>
      <c r="P382"/>
      <c r="Q382"/>
      <c r="R382"/>
      <c r="S382"/>
      <c r="T382"/>
      <c r="U382"/>
      <c r="V382"/>
      <c r="W382"/>
      <c r="X382"/>
      <c r="Y382"/>
      <c r="Z382"/>
      <c r="AA382"/>
      <c r="AB382"/>
      <c r="AC382"/>
    </row>
    <row r="383" spans="1:29" s="82" customFormat="1" x14ac:dyDescent="0.25">
      <c r="A383"/>
      <c r="B383"/>
      <c r="C383"/>
      <c r="D383"/>
      <c r="E383"/>
      <c r="F383"/>
      <c r="G383"/>
      <c r="H383"/>
      <c r="I383"/>
      <c r="J383"/>
      <c r="K383"/>
      <c r="L383"/>
      <c r="M383"/>
      <c r="N383"/>
      <c r="O383"/>
      <c r="P383"/>
      <c r="Q383"/>
      <c r="R383"/>
      <c r="S383"/>
      <c r="T383"/>
      <c r="U383"/>
      <c r="V383"/>
      <c r="W383"/>
      <c r="X383"/>
      <c r="Y383"/>
      <c r="Z383"/>
      <c r="AA383"/>
      <c r="AB383"/>
      <c r="AC383"/>
    </row>
    <row r="384" spans="1:29" s="82" customFormat="1" x14ac:dyDescent="0.25">
      <c r="A384"/>
      <c r="B384"/>
      <c r="C384"/>
      <c r="D384"/>
      <c r="E384"/>
      <c r="F384"/>
      <c r="G384"/>
      <c r="H384"/>
      <c r="I384"/>
      <c r="J384"/>
      <c r="K384"/>
      <c r="L384"/>
      <c r="M384"/>
      <c r="N384"/>
      <c r="O384"/>
      <c r="P384"/>
      <c r="Q384"/>
      <c r="R384"/>
      <c r="S384"/>
      <c r="T384"/>
      <c r="U384"/>
      <c r="V384"/>
      <c r="W384"/>
      <c r="X384"/>
      <c r="Y384"/>
      <c r="Z384"/>
      <c r="AA384"/>
      <c r="AB384"/>
      <c r="AC384"/>
    </row>
    <row r="385" spans="1:29" s="82" customFormat="1" x14ac:dyDescent="0.25">
      <c r="A385"/>
      <c r="B385"/>
      <c r="C385"/>
      <c r="D385"/>
      <c r="E385"/>
      <c r="F385"/>
      <c r="G385"/>
      <c r="H385"/>
      <c r="I385"/>
      <c r="J385"/>
      <c r="K385"/>
      <c r="L385"/>
      <c r="M385"/>
      <c r="N385"/>
      <c r="O385"/>
      <c r="P385"/>
      <c r="Q385"/>
      <c r="R385"/>
      <c r="S385"/>
      <c r="T385"/>
      <c r="U385"/>
      <c r="V385"/>
      <c r="W385"/>
      <c r="X385"/>
      <c r="Y385"/>
      <c r="Z385"/>
      <c r="AA385"/>
      <c r="AB385"/>
      <c r="AC385"/>
    </row>
    <row r="386" spans="1:29" s="82" customFormat="1" x14ac:dyDescent="0.25">
      <c r="A386"/>
      <c r="B386"/>
      <c r="C386"/>
      <c r="D386"/>
      <c r="E386"/>
      <c r="F386"/>
      <c r="G386"/>
      <c r="H386"/>
      <c r="I386"/>
      <c r="J386"/>
      <c r="K386"/>
      <c r="L386"/>
      <c r="M386"/>
      <c r="N386"/>
      <c r="O386"/>
      <c r="P386"/>
      <c r="Q386"/>
      <c r="R386"/>
      <c r="S386"/>
      <c r="T386"/>
      <c r="U386"/>
      <c r="V386"/>
      <c r="W386"/>
      <c r="X386"/>
      <c r="Y386"/>
      <c r="Z386"/>
      <c r="AA386"/>
      <c r="AB386"/>
      <c r="AC386"/>
    </row>
    <row r="387" spans="1:29" s="82" customFormat="1" x14ac:dyDescent="0.25">
      <c r="A387"/>
      <c r="B387"/>
      <c r="C387"/>
      <c r="D387"/>
      <c r="E387"/>
      <c r="F387"/>
      <c r="G387"/>
      <c r="H387"/>
      <c r="I387"/>
      <c r="J387"/>
      <c r="K387"/>
      <c r="L387"/>
      <c r="M387"/>
      <c r="N387"/>
      <c r="O387"/>
      <c r="P387"/>
      <c r="Q387"/>
      <c r="R387"/>
      <c r="S387"/>
      <c r="T387"/>
      <c r="U387"/>
      <c r="V387"/>
      <c r="W387"/>
      <c r="X387"/>
      <c r="Y387"/>
      <c r="Z387"/>
      <c r="AA387"/>
      <c r="AB387"/>
      <c r="AC387"/>
    </row>
    <row r="388" spans="1:29" s="82" customFormat="1" x14ac:dyDescent="0.25">
      <c r="A388"/>
      <c r="B388"/>
      <c r="C388"/>
      <c r="D388"/>
      <c r="E388"/>
      <c r="F388"/>
      <c r="G388"/>
      <c r="H388"/>
      <c r="I388"/>
      <c r="J388"/>
      <c r="K388"/>
      <c r="L388"/>
      <c r="M388"/>
      <c r="N388"/>
      <c r="O388"/>
      <c r="P388"/>
      <c r="Q388"/>
      <c r="R388"/>
      <c r="S388"/>
      <c r="T388"/>
      <c r="U388"/>
      <c r="V388"/>
      <c r="W388"/>
      <c r="X388"/>
      <c r="Y388"/>
      <c r="Z388"/>
      <c r="AA388"/>
      <c r="AB388"/>
      <c r="AC388"/>
    </row>
    <row r="389" spans="1:29" s="82" customFormat="1" x14ac:dyDescent="0.25">
      <c r="A389"/>
      <c r="B389"/>
      <c r="C389"/>
      <c r="D389"/>
      <c r="E389"/>
      <c r="F389"/>
      <c r="G389"/>
      <c r="H389"/>
      <c r="I389"/>
      <c r="J389"/>
      <c r="K389"/>
      <c r="L389"/>
      <c r="M389"/>
      <c r="N389"/>
      <c r="O389"/>
      <c r="P389"/>
      <c r="Q389"/>
      <c r="R389"/>
      <c r="S389"/>
      <c r="T389"/>
      <c r="U389"/>
      <c r="V389"/>
      <c r="W389"/>
      <c r="X389"/>
      <c r="Y389"/>
      <c r="Z389"/>
      <c r="AA389"/>
      <c r="AB389"/>
      <c r="AC389"/>
    </row>
    <row r="390" spans="1:29" s="82" customFormat="1" x14ac:dyDescent="0.25">
      <c r="A390"/>
      <c r="B390"/>
      <c r="C390"/>
      <c r="D390"/>
      <c r="E390"/>
      <c r="F390"/>
      <c r="G390"/>
      <c r="H390"/>
      <c r="I390"/>
      <c r="J390"/>
      <c r="K390"/>
      <c r="L390"/>
      <c r="M390"/>
      <c r="N390"/>
      <c r="O390"/>
      <c r="P390"/>
      <c r="Q390"/>
      <c r="R390"/>
      <c r="S390"/>
      <c r="T390"/>
      <c r="U390"/>
      <c r="V390"/>
      <c r="W390"/>
      <c r="X390"/>
      <c r="Y390"/>
      <c r="Z390"/>
      <c r="AA390"/>
      <c r="AB390"/>
      <c r="AC390"/>
    </row>
    <row r="391" spans="1:29" s="82" customFormat="1" x14ac:dyDescent="0.25">
      <c r="A391"/>
      <c r="B391"/>
      <c r="C391"/>
      <c r="D391"/>
      <c r="E391"/>
      <c r="F391"/>
      <c r="G391"/>
      <c r="H391"/>
      <c r="I391"/>
      <c r="J391"/>
      <c r="K391"/>
      <c r="L391"/>
      <c r="M391"/>
      <c r="N391"/>
      <c r="O391"/>
      <c r="P391"/>
      <c r="Q391"/>
      <c r="R391"/>
      <c r="S391"/>
      <c r="T391"/>
      <c r="U391"/>
      <c r="V391"/>
      <c r="W391"/>
      <c r="X391"/>
      <c r="Y391"/>
      <c r="Z391"/>
      <c r="AA391"/>
      <c r="AB391"/>
      <c r="AC391"/>
    </row>
    <row r="392" spans="1:29" s="82" customFormat="1" x14ac:dyDescent="0.25">
      <c r="A392"/>
      <c r="B392"/>
      <c r="C392"/>
      <c r="D392"/>
      <c r="E392"/>
      <c r="F392"/>
      <c r="G392"/>
      <c r="H392"/>
      <c r="I392"/>
      <c r="J392"/>
      <c r="K392"/>
      <c r="L392"/>
      <c r="M392"/>
      <c r="N392"/>
      <c r="O392"/>
      <c r="P392"/>
      <c r="Q392"/>
      <c r="R392"/>
      <c r="S392"/>
      <c r="T392"/>
      <c r="U392"/>
      <c r="V392"/>
      <c r="W392"/>
      <c r="X392"/>
      <c r="Y392"/>
      <c r="Z392"/>
      <c r="AA392"/>
      <c r="AB392"/>
      <c r="AC392"/>
    </row>
    <row r="393" spans="1:29" s="82" customFormat="1" x14ac:dyDescent="0.25">
      <c r="A393"/>
      <c r="B393"/>
      <c r="C393"/>
      <c r="D393"/>
      <c r="E393"/>
      <c r="F393"/>
      <c r="G393"/>
      <c r="H393"/>
      <c r="I393"/>
      <c r="J393"/>
      <c r="K393"/>
      <c r="L393"/>
      <c r="M393"/>
      <c r="N393"/>
      <c r="O393"/>
      <c r="P393"/>
      <c r="Q393"/>
      <c r="R393"/>
      <c r="S393"/>
      <c r="T393"/>
      <c r="U393"/>
      <c r="V393"/>
      <c r="W393"/>
      <c r="X393"/>
      <c r="Y393"/>
      <c r="Z393"/>
      <c r="AA393"/>
      <c r="AB393"/>
      <c r="AC393"/>
    </row>
    <row r="394" spans="1:29" s="82" customFormat="1" x14ac:dyDescent="0.25">
      <c r="A394"/>
      <c r="B394"/>
      <c r="C394"/>
      <c r="D394"/>
      <c r="E394"/>
      <c r="F394"/>
      <c r="G394"/>
      <c r="H394"/>
      <c r="I394"/>
      <c r="J394"/>
      <c r="K394"/>
      <c r="L394"/>
      <c r="M394"/>
      <c r="N394"/>
      <c r="O394"/>
      <c r="P394"/>
      <c r="Q394"/>
      <c r="R394"/>
      <c r="S394"/>
      <c r="T394"/>
      <c r="U394"/>
      <c r="V394"/>
      <c r="W394"/>
      <c r="X394"/>
      <c r="Y394"/>
      <c r="Z394"/>
      <c r="AA394"/>
      <c r="AB394"/>
      <c r="AC394"/>
    </row>
    <row r="395" spans="1:29" s="82" customFormat="1" x14ac:dyDescent="0.25">
      <c r="A395"/>
      <c r="B395"/>
      <c r="C395"/>
      <c r="D395"/>
      <c r="E395"/>
      <c r="F395"/>
      <c r="G395"/>
      <c r="H395"/>
      <c r="I395"/>
      <c r="J395"/>
      <c r="K395"/>
      <c r="L395"/>
      <c r="M395"/>
      <c r="N395"/>
      <c r="O395"/>
      <c r="P395"/>
      <c r="Q395"/>
      <c r="R395"/>
      <c r="S395"/>
      <c r="T395"/>
      <c r="U395"/>
      <c r="V395"/>
      <c r="W395"/>
      <c r="X395"/>
      <c r="Y395"/>
      <c r="Z395"/>
      <c r="AA395"/>
      <c r="AB395"/>
      <c r="AC395"/>
    </row>
    <row r="396" spans="1:29" s="82" customFormat="1" x14ac:dyDescent="0.25">
      <c r="A396"/>
      <c r="B396"/>
      <c r="C396"/>
      <c r="D396"/>
      <c r="E396"/>
      <c r="F396"/>
      <c r="G396"/>
      <c r="H396"/>
      <c r="I396"/>
      <c r="J396"/>
      <c r="K396"/>
      <c r="L396"/>
      <c r="M396"/>
      <c r="N396"/>
      <c r="O396"/>
      <c r="P396"/>
      <c r="Q396"/>
      <c r="R396"/>
      <c r="S396"/>
      <c r="T396"/>
      <c r="U396"/>
      <c r="V396"/>
      <c r="W396"/>
      <c r="X396"/>
      <c r="Y396"/>
      <c r="Z396"/>
      <c r="AA396"/>
      <c r="AB396"/>
      <c r="AC396"/>
    </row>
    <row r="397" spans="1:29" s="82" customFormat="1" x14ac:dyDescent="0.25">
      <c r="A397"/>
      <c r="B397"/>
      <c r="C397"/>
      <c r="D397"/>
      <c r="E397"/>
      <c r="F397"/>
      <c r="G397"/>
      <c r="H397"/>
      <c r="I397"/>
      <c r="J397"/>
      <c r="K397"/>
      <c r="L397"/>
      <c r="M397"/>
      <c r="N397"/>
      <c r="O397"/>
      <c r="P397"/>
      <c r="Q397"/>
      <c r="R397"/>
      <c r="S397"/>
      <c r="T397"/>
      <c r="U397"/>
      <c r="V397"/>
      <c r="W397"/>
      <c r="X397"/>
      <c r="Y397"/>
      <c r="Z397"/>
      <c r="AA397"/>
      <c r="AB397"/>
      <c r="AC397"/>
    </row>
    <row r="398" spans="1:29" s="82" customFormat="1" x14ac:dyDescent="0.25">
      <c r="A398"/>
      <c r="B398"/>
      <c r="C398"/>
      <c r="D398"/>
      <c r="E398"/>
      <c r="F398"/>
      <c r="G398"/>
      <c r="H398"/>
      <c r="I398"/>
      <c r="J398"/>
      <c r="K398"/>
      <c r="L398"/>
      <c r="M398"/>
      <c r="N398"/>
      <c r="O398"/>
      <c r="P398"/>
      <c r="Q398"/>
      <c r="R398"/>
      <c r="S398"/>
      <c r="T398"/>
      <c r="U398"/>
      <c r="V398"/>
      <c r="W398"/>
      <c r="X398"/>
      <c r="Y398"/>
      <c r="Z398"/>
      <c r="AA398"/>
      <c r="AB398"/>
      <c r="AC398"/>
    </row>
    <row r="399" spans="1:29" s="82" customFormat="1" x14ac:dyDescent="0.25">
      <c r="A399"/>
      <c r="B399"/>
      <c r="C399"/>
      <c r="D399"/>
      <c r="E399"/>
      <c r="F399"/>
      <c r="G399"/>
      <c r="H399"/>
      <c r="I399"/>
      <c r="J399"/>
      <c r="K399"/>
      <c r="L399"/>
      <c r="M399"/>
      <c r="N399"/>
      <c r="O399"/>
      <c r="P399"/>
      <c r="Q399"/>
      <c r="R399"/>
      <c r="S399"/>
      <c r="T399"/>
      <c r="U399"/>
      <c r="V399"/>
      <c r="W399"/>
      <c r="X399"/>
      <c r="Y399"/>
      <c r="Z399"/>
      <c r="AA399"/>
      <c r="AB399"/>
      <c r="AC399"/>
    </row>
    <row r="400" spans="1:29" s="82" customFormat="1" x14ac:dyDescent="0.25">
      <c r="A400"/>
      <c r="B400"/>
      <c r="C400"/>
      <c r="D400"/>
      <c r="E400"/>
      <c r="F400"/>
      <c r="G400"/>
      <c r="H400"/>
      <c r="I400"/>
      <c r="J400"/>
      <c r="K400"/>
      <c r="L400"/>
      <c r="M400"/>
      <c r="N400"/>
      <c r="O400"/>
      <c r="P400"/>
      <c r="Q400"/>
      <c r="R400"/>
      <c r="S400"/>
      <c r="T400"/>
      <c r="U400"/>
      <c r="V400"/>
      <c r="W400"/>
      <c r="X400"/>
      <c r="Y400"/>
      <c r="Z400"/>
      <c r="AA400"/>
      <c r="AB400"/>
      <c r="AC400"/>
    </row>
    <row r="401" spans="1:29" s="82" customFormat="1" x14ac:dyDescent="0.25">
      <c r="A401"/>
      <c r="B401"/>
      <c r="C401"/>
      <c r="D401"/>
      <c r="E401"/>
      <c r="F401"/>
      <c r="G401"/>
      <c r="H401"/>
      <c r="I401"/>
      <c r="J401"/>
      <c r="K401"/>
      <c r="L401"/>
      <c r="M401"/>
      <c r="N401"/>
      <c r="O401"/>
      <c r="P401"/>
      <c r="Q401"/>
      <c r="R401"/>
      <c r="S401"/>
      <c r="T401"/>
      <c r="U401"/>
      <c r="V401"/>
      <c r="W401"/>
      <c r="X401"/>
      <c r="Y401"/>
      <c r="Z401"/>
      <c r="AA401"/>
      <c r="AB401"/>
      <c r="AC401"/>
    </row>
    <row r="402" spans="1:29" s="82" customFormat="1" x14ac:dyDescent="0.25">
      <c r="A402"/>
      <c r="B402"/>
      <c r="C402"/>
      <c r="D402"/>
      <c r="E402"/>
      <c r="F402"/>
      <c r="G402"/>
      <c r="H402"/>
      <c r="I402"/>
      <c r="J402"/>
      <c r="K402"/>
      <c r="L402"/>
      <c r="M402"/>
      <c r="N402"/>
      <c r="O402"/>
      <c r="P402"/>
      <c r="Q402"/>
      <c r="R402"/>
      <c r="S402"/>
      <c r="T402"/>
      <c r="U402"/>
      <c r="V402"/>
      <c r="W402"/>
      <c r="X402"/>
      <c r="Y402"/>
      <c r="Z402"/>
      <c r="AA402"/>
      <c r="AB402"/>
      <c r="AC402"/>
    </row>
    <row r="403" spans="1:29" s="82" customFormat="1" x14ac:dyDescent="0.25">
      <c r="A403"/>
      <c r="B403"/>
      <c r="C403"/>
      <c r="D403"/>
      <c r="E403"/>
      <c r="F403"/>
      <c r="G403"/>
      <c r="H403"/>
      <c r="I403"/>
      <c r="J403"/>
      <c r="K403"/>
      <c r="L403"/>
      <c r="M403"/>
      <c r="N403"/>
      <c r="O403"/>
      <c r="P403"/>
      <c r="Q403"/>
      <c r="R403"/>
      <c r="S403"/>
      <c r="T403"/>
      <c r="U403"/>
      <c r="V403"/>
      <c r="W403"/>
      <c r="X403"/>
      <c r="Y403"/>
      <c r="Z403"/>
      <c r="AA403"/>
      <c r="AB403"/>
      <c r="AC403"/>
    </row>
    <row r="404" spans="1:29" s="82" customFormat="1" x14ac:dyDescent="0.25">
      <c r="A404"/>
      <c r="B404"/>
      <c r="C404"/>
      <c r="D404"/>
      <c r="E404"/>
      <c r="F404"/>
      <c r="G404"/>
      <c r="H404"/>
      <c r="I404"/>
      <c r="J404"/>
      <c r="K404"/>
      <c r="L404"/>
      <c r="M404"/>
      <c r="N404"/>
      <c r="O404"/>
      <c r="P404"/>
      <c r="Q404"/>
      <c r="R404"/>
      <c r="S404"/>
      <c r="T404"/>
      <c r="U404"/>
      <c r="V404"/>
      <c r="W404"/>
      <c r="X404"/>
      <c r="Y404"/>
      <c r="Z404"/>
      <c r="AA404"/>
      <c r="AB404"/>
      <c r="AC404"/>
    </row>
    <row r="405" spans="1:29" s="82" customFormat="1" x14ac:dyDescent="0.25">
      <c r="A405"/>
      <c r="B405"/>
      <c r="C405"/>
      <c r="D405"/>
      <c r="E405"/>
      <c r="F405"/>
      <c r="G405"/>
      <c r="H405"/>
      <c r="I405"/>
      <c r="J405"/>
      <c r="K405"/>
      <c r="L405"/>
      <c r="M405"/>
      <c r="N405"/>
      <c r="O405"/>
      <c r="P405"/>
      <c r="Q405"/>
      <c r="R405"/>
      <c r="S405"/>
      <c r="T405"/>
      <c r="U405"/>
      <c r="V405"/>
      <c r="W405"/>
      <c r="X405"/>
      <c r="Y405"/>
      <c r="Z405"/>
      <c r="AA405"/>
      <c r="AB405"/>
      <c r="AC405"/>
    </row>
    <row r="406" spans="1:29" s="82" customFormat="1" x14ac:dyDescent="0.25">
      <c r="A406"/>
      <c r="B406"/>
      <c r="C406"/>
      <c r="D406"/>
      <c r="E406"/>
      <c r="F406"/>
      <c r="G406"/>
      <c r="H406"/>
      <c r="I406"/>
      <c r="J406"/>
      <c r="K406"/>
      <c r="L406"/>
      <c r="M406"/>
      <c r="N406"/>
      <c r="O406"/>
      <c r="P406"/>
      <c r="Q406"/>
      <c r="R406"/>
      <c r="S406"/>
      <c r="T406"/>
      <c r="U406"/>
      <c r="V406"/>
      <c r="W406"/>
      <c r="X406"/>
      <c r="Y406"/>
      <c r="Z406"/>
      <c r="AA406"/>
      <c r="AB406"/>
      <c r="AC406"/>
    </row>
    <row r="407" spans="1:29" s="82" customFormat="1" x14ac:dyDescent="0.25">
      <c r="A407"/>
      <c r="B407"/>
      <c r="C407"/>
      <c r="D407"/>
      <c r="E407"/>
      <c r="F407"/>
      <c r="G407"/>
      <c r="H407"/>
      <c r="I407"/>
      <c r="J407"/>
      <c r="K407"/>
      <c r="L407"/>
      <c r="M407"/>
      <c r="N407"/>
      <c r="O407"/>
      <c r="P407"/>
      <c r="Q407"/>
      <c r="R407"/>
      <c r="S407"/>
      <c r="T407"/>
      <c r="U407"/>
      <c r="V407"/>
      <c r="W407"/>
      <c r="X407"/>
      <c r="Y407"/>
      <c r="Z407"/>
      <c r="AA407"/>
      <c r="AB407"/>
      <c r="AC407"/>
    </row>
    <row r="408" spans="1:29" s="82" customFormat="1" x14ac:dyDescent="0.25">
      <c r="A408"/>
      <c r="B408"/>
      <c r="C408"/>
      <c r="D408"/>
      <c r="E408"/>
      <c r="F408"/>
      <c r="G408"/>
      <c r="H408"/>
      <c r="I408"/>
      <c r="J408"/>
      <c r="K408"/>
      <c r="L408"/>
      <c r="M408"/>
      <c r="N408"/>
      <c r="O408"/>
      <c r="P408"/>
      <c r="Q408"/>
      <c r="R408"/>
      <c r="S408"/>
      <c r="T408"/>
      <c r="U408"/>
      <c r="V408"/>
      <c r="W408"/>
      <c r="X408"/>
      <c r="Y408"/>
      <c r="Z408"/>
      <c r="AA408"/>
      <c r="AB408"/>
      <c r="AC408"/>
    </row>
    <row r="409" spans="1:29" s="82" customFormat="1" x14ac:dyDescent="0.25">
      <c r="A409"/>
      <c r="B409"/>
      <c r="C409"/>
      <c r="D409"/>
      <c r="E409"/>
      <c r="F409"/>
      <c r="G409"/>
      <c r="H409"/>
      <c r="I409"/>
      <c r="J409"/>
      <c r="K409"/>
      <c r="L409"/>
      <c r="M409"/>
      <c r="N409"/>
      <c r="O409"/>
      <c r="P409"/>
      <c r="Q409"/>
      <c r="R409"/>
      <c r="S409"/>
      <c r="T409"/>
      <c r="U409"/>
      <c r="V409"/>
      <c r="W409"/>
      <c r="X409"/>
      <c r="Y409"/>
      <c r="Z409"/>
      <c r="AA409"/>
      <c r="AB409"/>
      <c r="AC409"/>
    </row>
    <row r="410" spans="1:29" s="82" customFormat="1" x14ac:dyDescent="0.25">
      <c r="A410"/>
      <c r="B410"/>
      <c r="C410"/>
      <c r="D410"/>
      <c r="E410"/>
      <c r="F410"/>
      <c r="G410"/>
      <c r="H410"/>
      <c r="I410"/>
      <c r="J410"/>
      <c r="K410"/>
      <c r="L410"/>
      <c r="M410"/>
      <c r="N410"/>
      <c r="O410"/>
      <c r="P410"/>
      <c r="Q410"/>
      <c r="R410"/>
      <c r="S410"/>
      <c r="T410"/>
      <c r="U410"/>
      <c r="V410"/>
      <c r="W410"/>
      <c r="X410"/>
      <c r="Y410"/>
      <c r="Z410"/>
      <c r="AA410"/>
      <c r="AB410"/>
      <c r="AC410"/>
    </row>
    <row r="411" spans="1:29" s="82" customFormat="1" x14ac:dyDescent="0.25">
      <c r="A411"/>
      <c r="B411"/>
      <c r="C411"/>
      <c r="D411"/>
      <c r="E411"/>
      <c r="F411"/>
      <c r="G411"/>
      <c r="H411"/>
      <c r="I411"/>
      <c r="J411"/>
      <c r="K411"/>
      <c r="L411"/>
      <c r="M411"/>
      <c r="N411"/>
      <c r="O411"/>
      <c r="P411"/>
      <c r="Q411"/>
      <c r="R411"/>
      <c r="S411"/>
      <c r="T411"/>
      <c r="U411"/>
      <c r="V411"/>
      <c r="W411"/>
      <c r="X411"/>
      <c r="Y411"/>
      <c r="Z411"/>
      <c r="AA411"/>
      <c r="AB411"/>
      <c r="AC411"/>
    </row>
    <row r="412" spans="1:29" s="82" customFormat="1" x14ac:dyDescent="0.25">
      <c r="A412"/>
      <c r="B412"/>
      <c r="C412"/>
      <c r="D412"/>
      <c r="E412"/>
      <c r="F412"/>
      <c r="G412"/>
      <c r="H412"/>
      <c r="I412"/>
      <c r="J412"/>
      <c r="K412"/>
      <c r="L412"/>
      <c r="M412"/>
      <c r="N412"/>
      <c r="O412"/>
      <c r="P412"/>
      <c r="Q412"/>
      <c r="R412"/>
      <c r="S412"/>
      <c r="T412"/>
      <c r="U412"/>
      <c r="V412"/>
      <c r="W412"/>
      <c r="X412"/>
      <c r="Y412"/>
      <c r="Z412"/>
      <c r="AA412"/>
      <c r="AB412"/>
      <c r="AC412"/>
    </row>
    <row r="413" spans="1:29" s="82" customFormat="1" x14ac:dyDescent="0.25">
      <c r="A413"/>
      <c r="B413"/>
      <c r="C413"/>
      <c r="D413"/>
      <c r="E413"/>
      <c r="F413"/>
      <c r="G413"/>
      <c r="H413"/>
      <c r="I413"/>
      <c r="J413"/>
      <c r="K413"/>
      <c r="L413"/>
      <c r="M413"/>
      <c r="N413"/>
      <c r="O413"/>
      <c r="P413"/>
      <c r="Q413"/>
      <c r="R413"/>
      <c r="S413"/>
      <c r="T413"/>
      <c r="U413"/>
      <c r="V413"/>
      <c r="W413"/>
      <c r="X413"/>
      <c r="Y413"/>
      <c r="Z413"/>
      <c r="AA413"/>
      <c r="AB413"/>
      <c r="AC413"/>
    </row>
    <row r="414" spans="1:29" s="82" customFormat="1" x14ac:dyDescent="0.25">
      <c r="A414"/>
      <c r="B414"/>
      <c r="C414"/>
      <c r="D414"/>
      <c r="E414"/>
      <c r="F414"/>
      <c r="G414"/>
      <c r="H414"/>
      <c r="I414"/>
      <c r="J414"/>
      <c r="K414"/>
      <c r="L414"/>
      <c r="M414"/>
      <c r="N414"/>
      <c r="O414"/>
      <c r="P414"/>
      <c r="Q414"/>
      <c r="R414"/>
      <c r="S414"/>
      <c r="T414"/>
      <c r="U414"/>
      <c r="V414"/>
      <c r="W414"/>
      <c r="X414"/>
      <c r="Y414"/>
      <c r="Z414"/>
      <c r="AA414"/>
      <c r="AB414"/>
      <c r="AC414"/>
    </row>
    <row r="415" spans="1:29" s="82" customFormat="1" x14ac:dyDescent="0.25">
      <c r="A415"/>
      <c r="B415"/>
      <c r="C415"/>
      <c r="D415"/>
      <c r="E415"/>
      <c r="F415"/>
      <c r="G415"/>
      <c r="H415"/>
      <c r="I415"/>
      <c r="J415"/>
      <c r="K415"/>
      <c r="L415"/>
      <c r="M415"/>
      <c r="N415"/>
      <c r="O415"/>
      <c r="P415"/>
      <c r="Q415"/>
      <c r="R415"/>
      <c r="S415"/>
      <c r="T415"/>
      <c r="U415"/>
      <c r="V415"/>
      <c r="W415"/>
      <c r="X415"/>
      <c r="Y415"/>
      <c r="Z415"/>
      <c r="AA415"/>
      <c r="AB415"/>
      <c r="AC415"/>
    </row>
    <row r="416" spans="1:29" s="82" customFormat="1" x14ac:dyDescent="0.25">
      <c r="A416"/>
      <c r="B416"/>
      <c r="C416"/>
      <c r="D416"/>
      <c r="E416"/>
      <c r="F416"/>
      <c r="G416"/>
      <c r="H416"/>
      <c r="I416"/>
      <c r="J416"/>
      <c r="K416"/>
      <c r="L416"/>
      <c r="M416"/>
      <c r="N416"/>
      <c r="O416"/>
      <c r="P416"/>
      <c r="Q416"/>
      <c r="R416"/>
      <c r="S416"/>
      <c r="T416"/>
      <c r="U416"/>
      <c r="V416"/>
      <c r="W416"/>
      <c r="X416"/>
      <c r="Y416"/>
      <c r="Z416"/>
      <c r="AA416"/>
      <c r="AB416"/>
      <c r="AC416"/>
    </row>
    <row r="417" spans="1:29" s="82" customFormat="1" x14ac:dyDescent="0.25">
      <c r="A417"/>
      <c r="B417"/>
      <c r="C417"/>
      <c r="D417"/>
      <c r="E417"/>
      <c r="F417"/>
      <c r="G417"/>
      <c r="H417"/>
      <c r="I417"/>
      <c r="J417"/>
      <c r="K417"/>
      <c r="L417"/>
      <c r="M417"/>
      <c r="N417"/>
      <c r="O417"/>
      <c r="P417"/>
      <c r="Q417"/>
      <c r="R417"/>
      <c r="S417"/>
      <c r="T417"/>
      <c r="U417"/>
      <c r="V417"/>
      <c r="W417"/>
      <c r="X417"/>
      <c r="Y417"/>
      <c r="Z417"/>
      <c r="AA417"/>
      <c r="AB417"/>
      <c r="AC417"/>
    </row>
    <row r="418" spans="1:29" s="82" customFormat="1" x14ac:dyDescent="0.25">
      <c r="A418"/>
      <c r="B418"/>
      <c r="C418"/>
      <c r="D418"/>
      <c r="E418"/>
      <c r="F418"/>
      <c r="G418"/>
      <c r="H418"/>
      <c r="I418"/>
      <c r="J418"/>
      <c r="K418"/>
      <c r="L418"/>
      <c r="M418"/>
      <c r="N418"/>
      <c r="O418"/>
      <c r="P418"/>
      <c r="Q418"/>
      <c r="R418"/>
      <c r="S418"/>
      <c r="T418"/>
      <c r="U418"/>
      <c r="V418"/>
      <c r="W418"/>
      <c r="X418"/>
      <c r="Y418"/>
      <c r="Z418"/>
      <c r="AA418"/>
      <c r="AB418"/>
      <c r="AC418"/>
    </row>
    <row r="419" spans="1:29" s="82" customFormat="1" x14ac:dyDescent="0.25">
      <c r="A419"/>
      <c r="B419"/>
      <c r="C419"/>
      <c r="D419"/>
      <c r="E419"/>
      <c r="F419"/>
      <c r="G419"/>
      <c r="H419"/>
      <c r="I419"/>
      <c r="J419"/>
      <c r="K419"/>
      <c r="L419"/>
      <c r="M419"/>
      <c r="N419"/>
      <c r="O419"/>
      <c r="P419"/>
      <c r="Q419"/>
      <c r="R419"/>
      <c r="S419"/>
      <c r="T419"/>
      <c r="U419"/>
      <c r="V419"/>
      <c r="W419"/>
      <c r="X419"/>
      <c r="Y419"/>
      <c r="Z419"/>
      <c r="AA419"/>
      <c r="AB419"/>
      <c r="AC419"/>
    </row>
    <row r="420" spans="1:29" s="82" customFormat="1" x14ac:dyDescent="0.25">
      <c r="A420"/>
      <c r="B420"/>
      <c r="C420"/>
      <c r="D420"/>
      <c r="E420"/>
      <c r="F420"/>
      <c r="G420"/>
      <c r="H420"/>
      <c r="I420"/>
      <c r="J420"/>
      <c r="K420"/>
      <c r="L420"/>
      <c r="M420"/>
      <c r="N420"/>
      <c r="O420"/>
      <c r="P420"/>
      <c r="Q420"/>
      <c r="R420"/>
      <c r="S420"/>
      <c r="T420"/>
      <c r="U420"/>
      <c r="V420"/>
      <c r="W420"/>
      <c r="X420"/>
      <c r="Y420"/>
      <c r="Z420"/>
      <c r="AA420"/>
      <c r="AB420"/>
      <c r="AC420"/>
    </row>
    <row r="421" spans="1:29" s="82" customFormat="1" x14ac:dyDescent="0.25">
      <c r="A421"/>
      <c r="B421"/>
      <c r="C421"/>
      <c r="D421"/>
      <c r="E421"/>
      <c r="F421"/>
      <c r="G421"/>
      <c r="H421"/>
      <c r="I421"/>
      <c r="J421"/>
      <c r="K421"/>
      <c r="L421"/>
      <c r="M421"/>
      <c r="N421"/>
      <c r="O421"/>
      <c r="P421"/>
      <c r="Q421"/>
      <c r="R421"/>
      <c r="S421"/>
      <c r="T421"/>
      <c r="U421"/>
      <c r="V421"/>
      <c r="W421"/>
      <c r="X421"/>
      <c r="Y421"/>
      <c r="Z421"/>
      <c r="AA421"/>
      <c r="AB421"/>
      <c r="AC421"/>
    </row>
    <row r="422" spans="1:29" s="82" customFormat="1" x14ac:dyDescent="0.25">
      <c r="A422"/>
      <c r="B422"/>
      <c r="C422"/>
      <c r="D422"/>
      <c r="E422"/>
      <c r="F422"/>
      <c r="G422"/>
      <c r="H422"/>
      <c r="I422"/>
      <c r="J422"/>
      <c r="K422"/>
      <c r="L422"/>
      <c r="M422"/>
      <c r="N422"/>
      <c r="O422"/>
      <c r="P422"/>
      <c r="Q422"/>
      <c r="R422"/>
      <c r="S422"/>
      <c r="T422"/>
      <c r="U422"/>
      <c r="V422"/>
      <c r="W422"/>
      <c r="X422"/>
      <c r="Y422"/>
      <c r="Z422"/>
      <c r="AA422"/>
      <c r="AB422"/>
      <c r="AC422"/>
    </row>
    <row r="423" spans="1:29" s="82" customFormat="1" x14ac:dyDescent="0.25">
      <c r="A423"/>
      <c r="B423"/>
      <c r="C423"/>
      <c r="D423"/>
      <c r="E423"/>
      <c r="F423"/>
      <c r="G423"/>
      <c r="H423"/>
      <c r="I423"/>
      <c r="J423"/>
      <c r="K423"/>
      <c r="L423"/>
      <c r="M423"/>
      <c r="N423"/>
      <c r="O423"/>
      <c r="P423"/>
      <c r="Q423"/>
      <c r="R423"/>
      <c r="S423"/>
      <c r="T423"/>
      <c r="U423"/>
      <c r="V423"/>
      <c r="W423"/>
      <c r="X423"/>
      <c r="Y423"/>
      <c r="Z423"/>
      <c r="AA423"/>
      <c r="AB423"/>
      <c r="AC423"/>
    </row>
    <row r="424" spans="1:29" s="82" customFormat="1" x14ac:dyDescent="0.25">
      <c r="A424"/>
      <c r="B424"/>
      <c r="C424"/>
      <c r="D424"/>
      <c r="E424"/>
      <c r="F424"/>
      <c r="G424"/>
      <c r="H424"/>
      <c r="I424"/>
      <c r="J424"/>
      <c r="K424"/>
      <c r="L424"/>
      <c r="M424"/>
      <c r="N424"/>
      <c r="O424"/>
      <c r="P424"/>
      <c r="Q424"/>
      <c r="R424"/>
      <c r="S424"/>
      <c r="T424"/>
      <c r="U424"/>
      <c r="V424"/>
      <c r="W424"/>
      <c r="X424"/>
      <c r="Y424"/>
      <c r="Z424"/>
      <c r="AA424"/>
      <c r="AB424"/>
      <c r="AC424"/>
    </row>
    <row r="425" spans="1:29" s="82" customFormat="1" x14ac:dyDescent="0.25">
      <c r="A425"/>
      <c r="B425"/>
      <c r="C425"/>
      <c r="D425"/>
      <c r="E425"/>
      <c r="F425"/>
      <c r="G425"/>
      <c r="H425"/>
      <c r="I425"/>
      <c r="J425"/>
      <c r="K425"/>
      <c r="L425"/>
      <c r="M425"/>
      <c r="N425"/>
      <c r="O425"/>
      <c r="P425"/>
      <c r="Q425"/>
      <c r="R425"/>
      <c r="S425"/>
      <c r="T425"/>
      <c r="U425"/>
      <c r="V425"/>
      <c r="W425"/>
      <c r="X425"/>
      <c r="Y425"/>
      <c r="Z425"/>
      <c r="AA425"/>
      <c r="AB425"/>
      <c r="AC425"/>
    </row>
    <row r="426" spans="1:29" s="82" customFormat="1" x14ac:dyDescent="0.25">
      <c r="A426"/>
      <c r="B426"/>
      <c r="C426"/>
      <c r="D426"/>
      <c r="E426"/>
      <c r="F426"/>
      <c r="G426"/>
      <c r="H426"/>
      <c r="I426"/>
      <c r="J426"/>
      <c r="K426"/>
      <c r="L426"/>
      <c r="M426"/>
      <c r="N426"/>
      <c r="O426"/>
      <c r="P426"/>
      <c r="Q426"/>
      <c r="R426"/>
      <c r="S426"/>
      <c r="T426"/>
      <c r="U426"/>
      <c r="V426"/>
      <c r="W426"/>
      <c r="X426"/>
      <c r="Y426"/>
      <c r="Z426"/>
      <c r="AA426"/>
      <c r="AB426"/>
      <c r="AC426"/>
    </row>
    <row r="427" spans="1:29" s="82" customFormat="1" x14ac:dyDescent="0.25">
      <c r="A427"/>
      <c r="B427"/>
      <c r="C427"/>
      <c r="D427"/>
      <c r="E427"/>
      <c r="F427"/>
      <c r="G427"/>
      <c r="H427"/>
      <c r="I427"/>
      <c r="J427"/>
      <c r="K427"/>
      <c r="L427"/>
      <c r="M427"/>
      <c r="N427"/>
      <c r="O427"/>
      <c r="P427"/>
      <c r="Q427"/>
      <c r="R427"/>
      <c r="S427"/>
      <c r="T427"/>
      <c r="U427"/>
      <c r="V427"/>
      <c r="W427"/>
      <c r="X427"/>
      <c r="Y427"/>
      <c r="Z427"/>
      <c r="AA427"/>
      <c r="AB427"/>
      <c r="AC427"/>
    </row>
    <row r="428" spans="1:29" s="82" customFormat="1" x14ac:dyDescent="0.25">
      <c r="A428"/>
      <c r="B428"/>
      <c r="C428"/>
      <c r="D428"/>
      <c r="E428"/>
      <c r="F428"/>
      <c r="G428"/>
      <c r="H428"/>
      <c r="I428"/>
      <c r="J428"/>
      <c r="K428"/>
      <c r="L428"/>
      <c r="M428"/>
      <c r="N428"/>
      <c r="O428"/>
      <c r="P428"/>
      <c r="Q428"/>
      <c r="R428"/>
      <c r="S428"/>
      <c r="T428"/>
      <c r="U428"/>
      <c r="V428"/>
      <c r="W428"/>
      <c r="X428"/>
      <c r="Y428"/>
      <c r="Z428"/>
      <c r="AA428"/>
      <c r="AB428"/>
      <c r="AC428"/>
    </row>
    <row r="429" spans="1:29" s="82" customFormat="1" x14ac:dyDescent="0.25">
      <c r="A429"/>
      <c r="B429"/>
      <c r="C429"/>
      <c r="D429"/>
      <c r="E429"/>
      <c r="F429"/>
      <c r="G429"/>
      <c r="H429"/>
      <c r="I429"/>
      <c r="J429"/>
      <c r="K429"/>
      <c r="L429"/>
      <c r="M429"/>
      <c r="N429"/>
      <c r="O429"/>
      <c r="P429"/>
      <c r="Q429"/>
      <c r="R429"/>
      <c r="S429"/>
      <c r="T429"/>
      <c r="U429"/>
      <c r="V429"/>
      <c r="W429"/>
      <c r="X429"/>
      <c r="Y429"/>
      <c r="Z429"/>
      <c r="AA429"/>
      <c r="AB429"/>
      <c r="AC429"/>
    </row>
    <row r="430" spans="1:29" s="82" customFormat="1" x14ac:dyDescent="0.25">
      <c r="A430"/>
      <c r="B430"/>
      <c r="C430"/>
      <c r="D430"/>
      <c r="E430"/>
      <c r="F430"/>
      <c r="G430"/>
      <c r="H430"/>
      <c r="I430"/>
      <c r="J430"/>
      <c r="K430"/>
      <c r="L430"/>
      <c r="M430"/>
      <c r="N430"/>
      <c r="O430"/>
      <c r="P430"/>
      <c r="Q430"/>
      <c r="R430"/>
      <c r="S430"/>
      <c r="T430"/>
      <c r="U430"/>
      <c r="V430"/>
      <c r="W430"/>
      <c r="X430"/>
      <c r="Y430"/>
      <c r="Z430"/>
      <c r="AA430"/>
      <c r="AB430"/>
      <c r="AC430"/>
    </row>
    <row r="431" spans="1:29" s="82" customFormat="1" x14ac:dyDescent="0.25">
      <c r="A431"/>
      <c r="B431"/>
      <c r="C431"/>
      <c r="D431"/>
      <c r="E431"/>
      <c r="F431"/>
      <c r="G431"/>
      <c r="H431"/>
      <c r="I431"/>
      <c r="J431"/>
      <c r="K431"/>
      <c r="L431"/>
      <c r="M431"/>
      <c r="N431"/>
      <c r="O431"/>
      <c r="P431"/>
      <c r="Q431"/>
      <c r="R431"/>
      <c r="S431"/>
      <c r="T431"/>
      <c r="U431"/>
      <c r="V431"/>
      <c r="W431"/>
      <c r="X431"/>
      <c r="Y431"/>
      <c r="Z431"/>
      <c r="AA431"/>
      <c r="AB431"/>
      <c r="AC431"/>
    </row>
    <row r="432" spans="1:29" s="82" customFormat="1" x14ac:dyDescent="0.25">
      <c r="A432"/>
      <c r="B432"/>
      <c r="C432"/>
      <c r="D432"/>
      <c r="E432"/>
      <c r="F432"/>
      <c r="G432"/>
      <c r="H432"/>
      <c r="I432"/>
      <c r="J432"/>
      <c r="K432"/>
      <c r="L432"/>
      <c r="M432"/>
      <c r="N432"/>
      <c r="O432"/>
      <c r="P432"/>
      <c r="Q432"/>
      <c r="R432"/>
      <c r="S432"/>
      <c r="T432"/>
      <c r="U432"/>
      <c r="V432"/>
      <c r="W432"/>
      <c r="X432"/>
      <c r="Y432"/>
      <c r="Z432"/>
      <c r="AA432"/>
      <c r="AB432"/>
      <c r="AC432"/>
    </row>
    <row r="433" spans="1:29" s="82" customFormat="1" x14ac:dyDescent="0.25">
      <c r="A433"/>
      <c r="B433"/>
      <c r="C433"/>
      <c r="D433"/>
      <c r="E433"/>
      <c r="F433"/>
      <c r="G433"/>
      <c r="H433"/>
      <c r="I433"/>
      <c r="J433"/>
      <c r="K433"/>
      <c r="L433"/>
      <c r="M433"/>
      <c r="N433"/>
      <c r="O433"/>
      <c r="P433"/>
      <c r="Q433"/>
      <c r="R433"/>
      <c r="S433"/>
      <c r="T433"/>
      <c r="U433"/>
      <c r="V433"/>
      <c r="W433"/>
      <c r="X433"/>
      <c r="Y433"/>
      <c r="Z433"/>
      <c r="AA433"/>
      <c r="AB433"/>
      <c r="AC433"/>
    </row>
    <row r="434" spans="1:29" s="82" customFormat="1" x14ac:dyDescent="0.25">
      <c r="A434"/>
      <c r="B434"/>
      <c r="C434"/>
      <c r="D434"/>
      <c r="E434"/>
      <c r="F434"/>
      <c r="G434"/>
      <c r="H434"/>
      <c r="I434"/>
      <c r="J434"/>
      <c r="K434"/>
      <c r="L434"/>
      <c r="M434"/>
      <c r="N434"/>
      <c r="O434"/>
      <c r="P434"/>
      <c r="Q434"/>
      <c r="R434"/>
      <c r="S434"/>
      <c r="T434"/>
      <c r="U434"/>
      <c r="V434"/>
      <c r="W434"/>
      <c r="X434"/>
      <c r="Y434"/>
      <c r="Z434"/>
      <c r="AA434"/>
      <c r="AB434"/>
      <c r="AC434"/>
    </row>
    <row r="435" spans="1:29" s="82" customFormat="1" x14ac:dyDescent="0.25">
      <c r="A435"/>
      <c r="B435"/>
      <c r="C435"/>
      <c r="D435"/>
      <c r="E435"/>
      <c r="F435"/>
      <c r="G435"/>
      <c r="H435"/>
      <c r="I435"/>
      <c r="J435"/>
      <c r="K435"/>
      <c r="L435"/>
      <c r="M435"/>
      <c r="N435"/>
      <c r="O435"/>
      <c r="P435"/>
      <c r="Q435"/>
      <c r="R435"/>
      <c r="S435"/>
      <c r="T435"/>
      <c r="U435"/>
      <c r="V435"/>
      <c r="W435"/>
      <c r="X435"/>
      <c r="Y435"/>
      <c r="Z435"/>
      <c r="AA435"/>
      <c r="AB435"/>
      <c r="AC435"/>
    </row>
    <row r="436" spans="1:29" s="82" customFormat="1" x14ac:dyDescent="0.25">
      <c r="A436"/>
      <c r="B436"/>
      <c r="C436"/>
      <c r="D436"/>
      <c r="E436"/>
      <c r="F436"/>
      <c r="G436"/>
      <c r="H436"/>
      <c r="I436"/>
      <c r="J436"/>
      <c r="K436"/>
      <c r="L436"/>
      <c r="M436"/>
      <c r="N436"/>
      <c r="O436"/>
      <c r="P436"/>
      <c r="Q436"/>
      <c r="R436"/>
      <c r="S436"/>
      <c r="T436"/>
      <c r="U436"/>
      <c r="V436"/>
      <c r="W436"/>
      <c r="X436"/>
      <c r="Y436"/>
      <c r="Z436"/>
      <c r="AA436"/>
      <c r="AB436"/>
      <c r="AC436"/>
    </row>
    <row r="437" spans="1:29" s="82" customFormat="1" x14ac:dyDescent="0.25">
      <c r="A437"/>
      <c r="B437"/>
      <c r="C437"/>
      <c r="D437"/>
      <c r="E437"/>
      <c r="F437"/>
      <c r="G437"/>
      <c r="H437"/>
      <c r="I437"/>
      <c r="J437"/>
      <c r="K437"/>
      <c r="L437"/>
      <c r="M437"/>
      <c r="N437"/>
      <c r="O437"/>
      <c r="P437"/>
      <c r="Q437"/>
      <c r="R437"/>
      <c r="S437"/>
      <c r="T437"/>
      <c r="U437"/>
      <c r="V437"/>
      <c r="W437"/>
      <c r="X437"/>
      <c r="Y437"/>
      <c r="Z437"/>
      <c r="AA437"/>
      <c r="AB437"/>
      <c r="AC437"/>
    </row>
    <row r="438" spans="1:29" s="82" customFormat="1" x14ac:dyDescent="0.25">
      <c r="A438"/>
      <c r="B438"/>
      <c r="C438"/>
      <c r="D438"/>
      <c r="E438"/>
      <c r="F438"/>
      <c r="G438"/>
      <c r="H438"/>
      <c r="I438"/>
      <c r="J438"/>
      <c r="K438"/>
      <c r="L438"/>
      <c r="M438"/>
      <c r="N438"/>
      <c r="O438"/>
      <c r="P438"/>
      <c r="Q438"/>
      <c r="R438"/>
      <c r="S438"/>
      <c r="T438"/>
      <c r="U438"/>
      <c r="V438"/>
      <c r="W438"/>
      <c r="X438"/>
      <c r="Y438"/>
      <c r="Z438"/>
      <c r="AA438"/>
      <c r="AB438"/>
      <c r="AC438"/>
    </row>
    <row r="439" spans="1:29" s="82" customFormat="1" x14ac:dyDescent="0.25">
      <c r="A439"/>
      <c r="B439"/>
      <c r="C439"/>
      <c r="D439"/>
      <c r="E439"/>
      <c r="F439"/>
      <c r="G439"/>
      <c r="H439"/>
      <c r="I439"/>
      <c r="J439"/>
      <c r="K439"/>
      <c r="L439"/>
      <c r="M439"/>
      <c r="N439"/>
      <c r="O439"/>
      <c r="P439"/>
      <c r="Q439"/>
      <c r="R439"/>
      <c r="S439"/>
      <c r="T439"/>
      <c r="U439"/>
      <c r="V439"/>
      <c r="W439"/>
      <c r="X439"/>
      <c r="Y439"/>
      <c r="Z439"/>
      <c r="AA439"/>
      <c r="AB439"/>
      <c r="AC439"/>
    </row>
    <row r="440" spans="1:29" s="82" customFormat="1" x14ac:dyDescent="0.25">
      <c r="A440"/>
      <c r="B440"/>
      <c r="C440"/>
      <c r="D440"/>
      <c r="E440"/>
      <c r="F440"/>
      <c r="G440"/>
      <c r="H440"/>
      <c r="I440"/>
      <c r="J440"/>
      <c r="K440"/>
      <c r="L440"/>
      <c r="M440"/>
      <c r="N440"/>
      <c r="O440"/>
      <c r="P440"/>
      <c r="Q440"/>
      <c r="R440"/>
      <c r="S440"/>
      <c r="T440"/>
      <c r="U440"/>
      <c r="V440"/>
      <c r="W440"/>
      <c r="X440"/>
      <c r="Y440"/>
      <c r="Z440"/>
      <c r="AA440"/>
      <c r="AB440"/>
      <c r="AC440"/>
    </row>
    <row r="441" spans="1:29" s="82" customFormat="1" x14ac:dyDescent="0.25">
      <c r="A441"/>
      <c r="B441"/>
      <c r="C441"/>
      <c r="D441"/>
      <c r="E441"/>
      <c r="F441"/>
      <c r="G441"/>
      <c r="H441"/>
      <c r="I441"/>
      <c r="J441"/>
      <c r="K441"/>
      <c r="L441"/>
      <c r="M441"/>
      <c r="N441"/>
      <c r="O441"/>
      <c r="P441"/>
      <c r="Q441"/>
      <c r="R441"/>
      <c r="S441"/>
      <c r="T441"/>
      <c r="U441"/>
      <c r="V441"/>
      <c r="W441"/>
      <c r="X441"/>
      <c r="Y441"/>
      <c r="Z441"/>
      <c r="AA441"/>
      <c r="AB441"/>
      <c r="AC441"/>
    </row>
    <row r="442" spans="1:29" s="82" customFormat="1" x14ac:dyDescent="0.25">
      <c r="A442"/>
      <c r="B442"/>
      <c r="C442"/>
      <c r="D442"/>
      <c r="E442"/>
      <c r="F442"/>
      <c r="G442"/>
      <c r="H442"/>
      <c r="I442"/>
      <c r="J442"/>
      <c r="K442"/>
      <c r="L442"/>
      <c r="M442"/>
      <c r="N442"/>
      <c r="O442"/>
      <c r="P442"/>
      <c r="Q442"/>
      <c r="R442"/>
      <c r="S442"/>
      <c r="T442"/>
      <c r="U442"/>
      <c r="V442"/>
      <c r="W442"/>
      <c r="X442"/>
      <c r="Y442"/>
      <c r="Z442"/>
      <c r="AA442"/>
      <c r="AB442"/>
      <c r="AC442"/>
    </row>
    <row r="443" spans="1:29" s="82" customFormat="1" x14ac:dyDescent="0.25">
      <c r="A443"/>
      <c r="B443"/>
      <c r="C443"/>
      <c r="D443"/>
      <c r="E443"/>
      <c r="F443"/>
      <c r="G443"/>
      <c r="H443"/>
      <c r="I443"/>
      <c r="J443"/>
      <c r="K443"/>
      <c r="L443"/>
      <c r="M443"/>
      <c r="N443"/>
      <c r="O443"/>
      <c r="P443"/>
      <c r="Q443"/>
      <c r="R443"/>
      <c r="S443"/>
      <c r="T443"/>
      <c r="U443"/>
      <c r="V443"/>
      <c r="W443"/>
      <c r="X443"/>
      <c r="Y443"/>
      <c r="Z443"/>
      <c r="AA443"/>
      <c r="AB443"/>
      <c r="AC443"/>
    </row>
    <row r="444" spans="1:29" s="82" customFormat="1" x14ac:dyDescent="0.25">
      <c r="A444"/>
      <c r="B444"/>
      <c r="C444"/>
      <c r="D444"/>
      <c r="E444"/>
      <c r="F444"/>
      <c r="G444"/>
      <c r="H444"/>
      <c r="I444"/>
      <c r="J444"/>
      <c r="K444"/>
      <c r="L444"/>
      <c r="M444"/>
      <c r="N444"/>
      <c r="O444"/>
      <c r="P444"/>
      <c r="Q444"/>
      <c r="R444"/>
      <c r="S444"/>
      <c r="T444"/>
      <c r="U444"/>
      <c r="V444"/>
      <c r="W444"/>
      <c r="X444"/>
      <c r="Y444"/>
      <c r="Z444"/>
      <c r="AA444"/>
      <c r="AB444"/>
      <c r="AC444"/>
    </row>
    <row r="445" spans="1:29" s="82" customFormat="1" x14ac:dyDescent="0.25">
      <c r="A445"/>
      <c r="B445"/>
      <c r="C445"/>
      <c r="D445"/>
      <c r="E445"/>
      <c r="F445"/>
      <c r="G445"/>
      <c r="H445"/>
      <c r="I445"/>
      <c r="J445"/>
      <c r="K445"/>
      <c r="L445"/>
      <c r="M445"/>
      <c r="N445"/>
      <c r="O445"/>
      <c r="P445"/>
      <c r="Q445"/>
      <c r="R445"/>
      <c r="S445"/>
      <c r="T445"/>
      <c r="U445"/>
      <c r="V445"/>
      <c r="W445"/>
      <c r="X445"/>
      <c r="Y445"/>
      <c r="Z445"/>
      <c r="AA445"/>
      <c r="AB445"/>
      <c r="AC445"/>
    </row>
    <row r="446" spans="1:29" s="82" customFormat="1" x14ac:dyDescent="0.25">
      <c r="A446"/>
      <c r="B446"/>
      <c r="C446"/>
      <c r="D446"/>
      <c r="E446"/>
      <c r="F446"/>
      <c r="G446"/>
      <c r="H446"/>
      <c r="I446"/>
      <c r="J446"/>
      <c r="K446"/>
      <c r="L446"/>
      <c r="M446"/>
      <c r="N446"/>
      <c r="O446"/>
      <c r="P446"/>
      <c r="Q446"/>
      <c r="R446"/>
      <c r="S446"/>
      <c r="T446"/>
      <c r="U446"/>
      <c r="V446"/>
      <c r="W446"/>
      <c r="X446"/>
      <c r="Y446"/>
      <c r="Z446"/>
      <c r="AA446"/>
      <c r="AB446"/>
      <c r="AC446"/>
    </row>
    <row r="447" spans="1:29" s="82" customFormat="1" x14ac:dyDescent="0.25">
      <c r="A447"/>
      <c r="B447"/>
      <c r="C447"/>
      <c r="D447"/>
      <c r="E447"/>
      <c r="F447"/>
      <c r="G447"/>
      <c r="H447"/>
      <c r="I447"/>
      <c r="J447"/>
      <c r="K447"/>
      <c r="L447"/>
      <c r="M447"/>
      <c r="N447"/>
      <c r="O447"/>
      <c r="P447"/>
      <c r="Q447"/>
      <c r="R447"/>
      <c r="S447"/>
      <c r="T447"/>
      <c r="U447"/>
      <c r="V447"/>
      <c r="W447"/>
      <c r="X447"/>
      <c r="Y447"/>
      <c r="Z447"/>
      <c r="AA447"/>
      <c r="AB447"/>
      <c r="AC447"/>
    </row>
    <row r="448" spans="1:29" s="82" customFormat="1" x14ac:dyDescent="0.25">
      <c r="A448"/>
      <c r="B448"/>
      <c r="C448"/>
      <c r="D448"/>
      <c r="E448"/>
      <c r="F448"/>
      <c r="G448"/>
      <c r="H448"/>
      <c r="I448"/>
      <c r="J448"/>
      <c r="K448"/>
      <c r="L448"/>
      <c r="M448"/>
      <c r="N448"/>
      <c r="O448"/>
      <c r="P448"/>
      <c r="Q448"/>
      <c r="R448"/>
      <c r="S448"/>
      <c r="T448"/>
      <c r="U448"/>
      <c r="V448"/>
      <c r="W448"/>
      <c r="X448"/>
      <c r="Y448"/>
      <c r="Z448"/>
      <c r="AA448"/>
      <c r="AB448"/>
      <c r="AC448"/>
    </row>
    <row r="449" spans="1:29" s="82" customFormat="1" x14ac:dyDescent="0.25">
      <c r="A449"/>
      <c r="B449"/>
      <c r="C449"/>
      <c r="D449"/>
      <c r="E449"/>
      <c r="F449"/>
      <c r="G449"/>
      <c r="H449"/>
      <c r="I449"/>
      <c r="J449"/>
      <c r="K449"/>
      <c r="L449"/>
      <c r="M449"/>
      <c r="N449"/>
      <c r="O449"/>
      <c r="P449"/>
      <c r="Q449"/>
      <c r="R449"/>
      <c r="S449"/>
      <c r="T449"/>
      <c r="U449"/>
      <c r="V449"/>
      <c r="W449"/>
      <c r="X449"/>
      <c r="Y449"/>
      <c r="Z449"/>
      <c r="AA449"/>
      <c r="AB449"/>
      <c r="AC449"/>
    </row>
    <row r="450" spans="1:29" s="82" customFormat="1" x14ac:dyDescent="0.25">
      <c r="A450"/>
      <c r="B450"/>
      <c r="C450"/>
      <c r="D450"/>
      <c r="E450"/>
      <c r="F450"/>
      <c r="G450"/>
      <c r="H450"/>
      <c r="I450"/>
      <c r="J450"/>
      <c r="K450"/>
      <c r="L450"/>
      <c r="M450"/>
      <c r="N450"/>
      <c r="O450"/>
      <c r="P450"/>
      <c r="Q450"/>
      <c r="R450"/>
      <c r="S450"/>
      <c r="T450"/>
      <c r="U450"/>
      <c r="V450"/>
      <c r="W450"/>
      <c r="X450"/>
      <c r="Y450"/>
      <c r="Z450"/>
      <c r="AA450"/>
      <c r="AB450"/>
      <c r="AC450"/>
    </row>
    <row r="451" spans="1:29" s="82" customFormat="1" x14ac:dyDescent="0.25">
      <c r="A451"/>
      <c r="B451"/>
      <c r="C451"/>
      <c r="D451"/>
      <c r="E451"/>
      <c r="F451"/>
      <c r="G451"/>
      <c r="H451"/>
      <c r="I451"/>
      <c r="J451"/>
      <c r="K451"/>
      <c r="L451"/>
      <c r="M451"/>
      <c r="N451"/>
      <c r="O451"/>
      <c r="P451"/>
      <c r="Q451"/>
      <c r="R451"/>
      <c r="S451"/>
      <c r="T451"/>
      <c r="U451"/>
      <c r="V451"/>
      <c r="W451"/>
      <c r="X451"/>
      <c r="Y451"/>
      <c r="Z451"/>
      <c r="AA451"/>
      <c r="AB451"/>
      <c r="AC451"/>
    </row>
    <row r="452" spans="1:29" s="82" customFormat="1" x14ac:dyDescent="0.25">
      <c r="A452"/>
      <c r="B452"/>
      <c r="C452"/>
      <c r="D452"/>
      <c r="E452"/>
      <c r="F452"/>
      <c r="G452"/>
      <c r="H452"/>
      <c r="I452"/>
      <c r="J452"/>
      <c r="K452"/>
      <c r="L452"/>
      <c r="M452"/>
      <c r="N452"/>
      <c r="O452"/>
      <c r="P452"/>
      <c r="Q452"/>
      <c r="R452"/>
      <c r="S452"/>
      <c r="T452"/>
      <c r="U452"/>
      <c r="V452"/>
      <c r="W452"/>
      <c r="X452"/>
      <c r="Y452"/>
      <c r="Z452"/>
      <c r="AA452"/>
      <c r="AB452"/>
      <c r="AC452"/>
    </row>
    <row r="453" spans="1:29" s="82" customFormat="1" x14ac:dyDescent="0.25">
      <c r="A453"/>
      <c r="B453"/>
      <c r="C453"/>
      <c r="D453"/>
      <c r="E453"/>
      <c r="F453"/>
      <c r="G453"/>
      <c r="H453"/>
      <c r="I453"/>
      <c r="J453"/>
      <c r="K453"/>
      <c r="L453"/>
      <c r="M453"/>
      <c r="N453"/>
      <c r="O453"/>
      <c r="P453"/>
      <c r="Q453"/>
      <c r="R453"/>
      <c r="S453"/>
      <c r="T453"/>
      <c r="U453"/>
      <c r="V453"/>
      <c r="W453"/>
      <c r="X453"/>
      <c r="Y453"/>
      <c r="Z453"/>
      <c r="AA453"/>
      <c r="AB453"/>
      <c r="AC453"/>
    </row>
    <row r="454" spans="1:29" s="82" customFormat="1" x14ac:dyDescent="0.25">
      <c r="A454"/>
      <c r="B454"/>
      <c r="C454"/>
      <c r="D454"/>
      <c r="E454"/>
      <c r="F454"/>
      <c r="G454"/>
      <c r="H454"/>
      <c r="I454"/>
      <c r="J454"/>
      <c r="K454"/>
      <c r="L454"/>
      <c r="M454"/>
      <c r="N454"/>
      <c r="O454"/>
      <c r="P454"/>
      <c r="Q454"/>
      <c r="R454"/>
      <c r="S454"/>
      <c r="T454"/>
      <c r="U454"/>
      <c r="V454"/>
      <c r="W454"/>
      <c r="X454"/>
      <c r="Y454"/>
      <c r="Z454"/>
      <c r="AA454"/>
      <c r="AB454"/>
      <c r="AC454"/>
    </row>
    <row r="455" spans="1:29" s="82" customFormat="1" x14ac:dyDescent="0.25">
      <c r="A455"/>
      <c r="B455"/>
      <c r="C455"/>
      <c r="D455"/>
      <c r="E455"/>
      <c r="F455"/>
      <c r="G455"/>
      <c r="H455"/>
      <c r="I455"/>
      <c r="J455"/>
      <c r="K455"/>
      <c r="L455"/>
      <c r="M455"/>
      <c r="N455"/>
      <c r="O455"/>
      <c r="P455"/>
      <c r="Q455"/>
      <c r="R455"/>
      <c r="S455"/>
      <c r="T455"/>
      <c r="U455"/>
      <c r="V455"/>
      <c r="W455"/>
      <c r="X455"/>
      <c r="Y455"/>
      <c r="Z455"/>
      <c r="AA455"/>
      <c r="AB455"/>
      <c r="AC455"/>
    </row>
    <row r="456" spans="1:29" s="82" customFormat="1" x14ac:dyDescent="0.25">
      <c r="A456"/>
      <c r="B456"/>
      <c r="C456"/>
      <c r="D456"/>
      <c r="E456"/>
      <c r="F456"/>
      <c r="G456"/>
      <c r="H456"/>
      <c r="I456"/>
      <c r="J456"/>
      <c r="K456"/>
      <c r="L456"/>
      <c r="M456"/>
      <c r="N456"/>
      <c r="O456"/>
      <c r="P456"/>
      <c r="Q456"/>
      <c r="R456"/>
      <c r="S456"/>
      <c r="T456"/>
      <c r="U456"/>
      <c r="V456"/>
      <c r="W456"/>
      <c r="X456"/>
      <c r="Y456"/>
      <c r="Z456"/>
      <c r="AA456"/>
      <c r="AB456"/>
      <c r="AC456"/>
    </row>
    <row r="457" spans="1:29" s="82" customFormat="1" x14ac:dyDescent="0.25">
      <c r="A457"/>
      <c r="B457"/>
      <c r="C457"/>
      <c r="D457"/>
      <c r="E457"/>
      <c r="F457"/>
      <c r="G457"/>
      <c r="H457"/>
      <c r="I457"/>
      <c r="J457"/>
      <c r="K457"/>
      <c r="L457"/>
      <c r="M457"/>
      <c r="N457"/>
      <c r="O457"/>
      <c r="P457"/>
      <c r="Q457"/>
      <c r="R457"/>
      <c r="S457"/>
      <c r="T457"/>
      <c r="U457"/>
      <c r="V457"/>
      <c r="W457"/>
      <c r="X457"/>
      <c r="Y457"/>
      <c r="Z457"/>
      <c r="AA457"/>
      <c r="AB457"/>
      <c r="AC457"/>
    </row>
    <row r="458" spans="1:29" s="82" customFormat="1" x14ac:dyDescent="0.25">
      <c r="A458"/>
      <c r="B458"/>
      <c r="C458"/>
      <c r="D458"/>
      <c r="E458"/>
      <c r="F458"/>
      <c r="G458"/>
      <c r="H458"/>
      <c r="I458"/>
      <c r="J458"/>
      <c r="K458"/>
      <c r="L458"/>
      <c r="M458"/>
      <c r="N458"/>
      <c r="O458"/>
      <c r="P458"/>
      <c r="Q458"/>
      <c r="R458"/>
      <c r="S458"/>
      <c r="T458"/>
      <c r="U458"/>
      <c r="V458"/>
      <c r="W458"/>
      <c r="X458"/>
      <c r="Y458"/>
      <c r="Z458"/>
      <c r="AA458"/>
      <c r="AB458"/>
      <c r="AC458"/>
    </row>
    <row r="459" spans="1:29" s="82" customFormat="1" x14ac:dyDescent="0.25">
      <c r="A459"/>
      <c r="B459"/>
      <c r="C459"/>
      <c r="D459"/>
      <c r="E459"/>
      <c r="F459"/>
      <c r="G459"/>
      <c r="H459"/>
      <c r="I459"/>
      <c r="J459"/>
      <c r="K459"/>
      <c r="L459"/>
      <c r="M459"/>
      <c r="N459"/>
      <c r="O459"/>
      <c r="P459"/>
      <c r="Q459"/>
      <c r="R459"/>
      <c r="S459"/>
      <c r="T459"/>
      <c r="U459"/>
      <c r="V459"/>
      <c r="W459"/>
      <c r="X459"/>
      <c r="Y459"/>
      <c r="Z459"/>
      <c r="AA459"/>
      <c r="AB459"/>
      <c r="AC459"/>
    </row>
    <row r="460" spans="1:29" s="82" customFormat="1" x14ac:dyDescent="0.25">
      <c r="A460"/>
      <c r="B460"/>
      <c r="C460"/>
      <c r="D460"/>
      <c r="E460"/>
      <c r="F460"/>
      <c r="G460"/>
      <c r="H460"/>
      <c r="I460"/>
      <c r="J460"/>
      <c r="K460"/>
      <c r="L460"/>
      <c r="M460"/>
      <c r="N460"/>
      <c r="O460"/>
      <c r="P460"/>
      <c r="Q460"/>
      <c r="R460"/>
      <c r="S460"/>
      <c r="T460"/>
      <c r="U460"/>
      <c r="V460"/>
      <c r="W460"/>
      <c r="X460"/>
      <c r="Y460"/>
      <c r="Z460"/>
      <c r="AA460"/>
      <c r="AB460"/>
      <c r="AC460"/>
    </row>
    <row r="461" spans="1:29" s="82" customFormat="1" x14ac:dyDescent="0.25">
      <c r="A461"/>
      <c r="B461"/>
      <c r="C461"/>
      <c r="D461"/>
      <c r="E461"/>
      <c r="F461"/>
      <c r="G461"/>
      <c r="H461"/>
      <c r="I461"/>
      <c r="J461"/>
      <c r="K461"/>
      <c r="L461"/>
      <c r="M461"/>
      <c r="N461"/>
      <c r="O461"/>
      <c r="P461"/>
      <c r="Q461"/>
      <c r="R461"/>
      <c r="S461"/>
      <c r="T461"/>
      <c r="U461"/>
      <c r="V461"/>
      <c r="W461"/>
      <c r="X461"/>
      <c r="Y461"/>
      <c r="Z461"/>
      <c r="AA461"/>
      <c r="AB461"/>
      <c r="AC461"/>
    </row>
    <row r="462" spans="1:29" s="82" customFormat="1" x14ac:dyDescent="0.25">
      <c r="A462"/>
      <c r="B462"/>
      <c r="C462"/>
      <c r="D462"/>
      <c r="E462"/>
      <c r="F462"/>
      <c r="G462"/>
      <c r="H462"/>
      <c r="I462"/>
      <c r="J462"/>
      <c r="K462"/>
      <c r="L462"/>
      <c r="M462"/>
      <c r="N462"/>
      <c r="O462"/>
      <c r="P462"/>
      <c r="Q462"/>
      <c r="R462"/>
      <c r="S462"/>
      <c r="T462"/>
      <c r="U462"/>
      <c r="V462"/>
      <c r="W462"/>
      <c r="X462"/>
      <c r="Y462"/>
      <c r="Z462"/>
      <c r="AA462"/>
      <c r="AB462"/>
      <c r="AC462"/>
    </row>
    <row r="463" spans="1:29" s="82" customFormat="1" x14ac:dyDescent="0.25">
      <c r="A463"/>
      <c r="B463"/>
      <c r="C463"/>
      <c r="D463"/>
      <c r="E463"/>
      <c r="F463"/>
      <c r="G463"/>
      <c r="H463"/>
      <c r="I463"/>
      <c r="J463"/>
      <c r="K463"/>
      <c r="L463"/>
      <c r="M463"/>
      <c r="N463"/>
      <c r="O463"/>
      <c r="P463"/>
      <c r="Q463"/>
      <c r="R463"/>
      <c r="S463"/>
      <c r="T463"/>
      <c r="U463"/>
      <c r="V463"/>
      <c r="W463"/>
      <c r="X463"/>
      <c r="Y463"/>
      <c r="Z463"/>
      <c r="AA463"/>
      <c r="AB463"/>
      <c r="AC463"/>
    </row>
    <row r="464" spans="1:29" s="82" customFormat="1" x14ac:dyDescent="0.25">
      <c r="A464"/>
      <c r="B464"/>
      <c r="C464"/>
      <c r="D464"/>
      <c r="E464"/>
      <c r="F464"/>
      <c r="G464"/>
      <c r="H464"/>
      <c r="I464"/>
      <c r="J464"/>
      <c r="K464"/>
      <c r="L464"/>
      <c r="M464"/>
      <c r="N464"/>
      <c r="O464"/>
      <c r="P464"/>
      <c r="Q464"/>
      <c r="R464"/>
      <c r="S464"/>
      <c r="T464"/>
      <c r="U464"/>
      <c r="V464"/>
      <c r="W464"/>
      <c r="X464"/>
      <c r="Y464"/>
      <c r="Z464"/>
      <c r="AA464"/>
      <c r="AB464"/>
      <c r="AC464"/>
    </row>
    <row r="465" spans="1:29" s="82" customFormat="1" x14ac:dyDescent="0.25">
      <c r="A465"/>
      <c r="B465"/>
      <c r="C465"/>
      <c r="D465"/>
      <c r="E465"/>
      <c r="F465"/>
      <c r="G465"/>
      <c r="H465"/>
      <c r="I465"/>
      <c r="J465"/>
      <c r="K465"/>
      <c r="L465"/>
      <c r="M465"/>
      <c r="N465"/>
      <c r="O465"/>
      <c r="P465"/>
      <c r="Q465"/>
      <c r="R465"/>
      <c r="S465"/>
      <c r="T465"/>
      <c r="U465"/>
      <c r="V465"/>
      <c r="W465"/>
      <c r="X465"/>
      <c r="Y465"/>
      <c r="Z465"/>
      <c r="AA465"/>
      <c r="AB465"/>
      <c r="AC465"/>
    </row>
    <row r="466" spans="1:29" s="82" customFormat="1" x14ac:dyDescent="0.25">
      <c r="A466"/>
      <c r="B466"/>
      <c r="C466"/>
      <c r="D466"/>
      <c r="E466"/>
      <c r="F466"/>
      <c r="G466"/>
      <c r="H466"/>
      <c r="I466"/>
      <c r="J466"/>
      <c r="K466"/>
      <c r="L466"/>
      <c r="M466"/>
      <c r="N466"/>
      <c r="O466"/>
      <c r="P466"/>
      <c r="Q466"/>
      <c r="R466"/>
      <c r="S466"/>
      <c r="T466"/>
      <c r="U466"/>
      <c r="V466"/>
      <c r="W466"/>
      <c r="X466"/>
      <c r="Y466"/>
      <c r="Z466"/>
      <c r="AA466"/>
      <c r="AB466"/>
      <c r="AC466"/>
    </row>
    <row r="467" spans="1:29" s="82" customFormat="1" x14ac:dyDescent="0.25">
      <c r="A467"/>
      <c r="B467"/>
      <c r="C467"/>
      <c r="D467"/>
      <c r="E467"/>
      <c r="F467"/>
      <c r="G467"/>
      <c r="H467"/>
      <c r="I467"/>
      <c r="J467"/>
      <c r="K467"/>
      <c r="L467"/>
      <c r="M467"/>
      <c r="N467"/>
      <c r="O467"/>
      <c r="P467"/>
      <c r="Q467"/>
      <c r="R467"/>
      <c r="S467"/>
      <c r="T467"/>
      <c r="U467"/>
      <c r="V467"/>
      <c r="W467"/>
      <c r="X467"/>
      <c r="Y467"/>
      <c r="Z467"/>
      <c r="AA467"/>
      <c r="AB467"/>
      <c r="AC467"/>
    </row>
    <row r="468" spans="1:29" s="82" customFormat="1" x14ac:dyDescent="0.25">
      <c r="A468"/>
      <c r="B468"/>
      <c r="C468"/>
      <c r="D468"/>
      <c r="E468"/>
      <c r="F468"/>
      <c r="G468"/>
      <c r="H468"/>
      <c r="I468"/>
      <c r="J468"/>
      <c r="K468"/>
      <c r="L468"/>
      <c r="M468"/>
      <c r="N468"/>
      <c r="O468"/>
      <c r="P468"/>
      <c r="Q468"/>
      <c r="R468"/>
      <c r="S468"/>
      <c r="T468"/>
      <c r="U468"/>
      <c r="V468"/>
      <c r="W468"/>
      <c r="X468"/>
      <c r="Y468"/>
      <c r="Z468"/>
      <c r="AA468"/>
      <c r="AB468"/>
      <c r="AC468"/>
    </row>
    <row r="469" spans="1:29" s="82" customFormat="1" x14ac:dyDescent="0.25">
      <c r="A469"/>
      <c r="B469"/>
      <c r="C469"/>
      <c r="D469"/>
      <c r="E469"/>
      <c r="F469"/>
      <c r="G469"/>
      <c r="H469"/>
      <c r="I469"/>
      <c r="J469"/>
      <c r="K469"/>
      <c r="L469"/>
      <c r="M469"/>
      <c r="N469"/>
      <c r="O469"/>
      <c r="P469"/>
      <c r="Q469"/>
      <c r="R469"/>
      <c r="S469"/>
      <c r="T469"/>
      <c r="U469"/>
      <c r="V469"/>
      <c r="W469"/>
      <c r="X469"/>
      <c r="Y469"/>
      <c r="Z469"/>
      <c r="AA469"/>
      <c r="AB469"/>
      <c r="AC469"/>
    </row>
    <row r="470" spans="1:29" s="82" customFormat="1" x14ac:dyDescent="0.25">
      <c r="A470"/>
      <c r="B470"/>
      <c r="C470"/>
      <c r="D470"/>
      <c r="E470"/>
      <c r="F470"/>
      <c r="G470"/>
      <c r="H470"/>
      <c r="I470"/>
      <c r="J470"/>
      <c r="K470"/>
      <c r="L470"/>
      <c r="M470"/>
      <c r="N470"/>
      <c r="O470"/>
      <c r="P470"/>
      <c r="Q470"/>
      <c r="R470"/>
      <c r="S470"/>
      <c r="T470"/>
      <c r="U470"/>
      <c r="V470"/>
      <c r="W470"/>
      <c r="X470"/>
      <c r="Y470"/>
      <c r="Z470"/>
      <c r="AA470"/>
      <c r="AB470"/>
      <c r="AC470"/>
    </row>
    <row r="471" spans="1:29" s="82" customFormat="1" x14ac:dyDescent="0.25">
      <c r="A471"/>
      <c r="B471"/>
      <c r="C471"/>
      <c r="D471"/>
      <c r="E471"/>
      <c r="F471"/>
      <c r="G471"/>
      <c r="H471"/>
      <c r="I471"/>
      <c r="J471"/>
      <c r="K471"/>
      <c r="L471"/>
      <c r="M471"/>
      <c r="N471"/>
      <c r="O471"/>
      <c r="P471"/>
      <c r="Q471"/>
      <c r="R471"/>
      <c r="S471"/>
      <c r="T471"/>
      <c r="U471"/>
      <c r="V471"/>
      <c r="W471"/>
      <c r="X471"/>
      <c r="Y471"/>
      <c r="Z471"/>
      <c r="AA471"/>
      <c r="AB471"/>
      <c r="AC471"/>
    </row>
    <row r="472" spans="1:29" s="82" customFormat="1" x14ac:dyDescent="0.25">
      <c r="A472"/>
      <c r="B472"/>
      <c r="C472"/>
      <c r="D472"/>
      <c r="E472"/>
      <c r="F472"/>
      <c r="G472"/>
      <c r="H472"/>
      <c r="I472"/>
      <c r="J472"/>
      <c r="K472"/>
      <c r="L472"/>
      <c r="M472"/>
      <c r="N472"/>
      <c r="O472"/>
      <c r="P472"/>
      <c r="Q472"/>
      <c r="R472"/>
      <c r="S472"/>
      <c r="T472"/>
      <c r="U472"/>
      <c r="V472"/>
      <c r="W472"/>
      <c r="X472"/>
      <c r="Y472"/>
      <c r="Z472"/>
      <c r="AA472"/>
      <c r="AB472"/>
      <c r="AC472"/>
    </row>
    <row r="473" spans="1:29" s="82" customFormat="1" x14ac:dyDescent="0.25">
      <c r="A473"/>
      <c r="B473"/>
      <c r="C473"/>
      <c r="D473"/>
      <c r="E473"/>
      <c r="F473"/>
      <c r="G473"/>
      <c r="H473"/>
      <c r="I473"/>
      <c r="J473"/>
      <c r="K473"/>
      <c r="L473"/>
      <c r="M473"/>
      <c r="N473"/>
      <c r="O473"/>
      <c r="P473"/>
      <c r="Q473"/>
      <c r="R473"/>
      <c r="S473"/>
      <c r="T473"/>
      <c r="U473"/>
      <c r="V473"/>
      <c r="W473"/>
      <c r="X473"/>
      <c r="Y473"/>
      <c r="Z473"/>
      <c r="AA473"/>
      <c r="AB473"/>
      <c r="AC473"/>
    </row>
    <row r="474" spans="1:29" s="82" customFormat="1" x14ac:dyDescent="0.25">
      <c r="A474"/>
      <c r="B474"/>
      <c r="C474"/>
      <c r="D474"/>
      <c r="E474"/>
      <c r="F474"/>
      <c r="G474"/>
      <c r="H474"/>
      <c r="I474"/>
      <c r="J474"/>
      <c r="K474"/>
      <c r="L474"/>
      <c r="M474"/>
      <c r="N474"/>
      <c r="O474"/>
      <c r="P474"/>
      <c r="Q474"/>
      <c r="R474"/>
      <c r="S474"/>
      <c r="T474"/>
      <c r="U474"/>
      <c r="V474"/>
      <c r="W474"/>
      <c r="X474"/>
      <c r="Y474"/>
      <c r="Z474"/>
      <c r="AA474"/>
      <c r="AB474"/>
      <c r="AC474"/>
    </row>
    <row r="475" spans="1:29" s="82" customFormat="1" x14ac:dyDescent="0.25">
      <c r="A475"/>
      <c r="B475"/>
      <c r="C475"/>
      <c r="D475"/>
      <c r="E475"/>
      <c r="F475"/>
      <c r="G475"/>
      <c r="H475"/>
      <c r="I475"/>
      <c r="J475"/>
      <c r="K475"/>
      <c r="L475"/>
      <c r="M475"/>
      <c r="N475"/>
      <c r="O475"/>
      <c r="P475"/>
      <c r="Q475"/>
      <c r="R475"/>
      <c r="S475"/>
      <c r="T475"/>
      <c r="U475"/>
      <c r="V475"/>
      <c r="W475"/>
      <c r="X475"/>
      <c r="Y475"/>
      <c r="Z475"/>
      <c r="AA475"/>
      <c r="AB475"/>
      <c r="AC475"/>
    </row>
    <row r="476" spans="1:29" s="82" customFormat="1" x14ac:dyDescent="0.25">
      <c r="A476"/>
      <c r="B476"/>
      <c r="C476"/>
      <c r="D476"/>
      <c r="E476"/>
      <c r="F476"/>
      <c r="G476"/>
      <c r="H476"/>
      <c r="I476"/>
      <c r="J476"/>
      <c r="K476"/>
      <c r="L476"/>
      <c r="M476"/>
      <c r="N476"/>
      <c r="O476"/>
      <c r="P476"/>
      <c r="Q476"/>
      <c r="R476"/>
      <c r="S476"/>
      <c r="T476"/>
      <c r="U476"/>
      <c r="V476"/>
      <c r="W476"/>
      <c r="X476"/>
      <c r="Y476"/>
      <c r="Z476"/>
      <c r="AA476"/>
      <c r="AB476"/>
      <c r="AC476"/>
    </row>
    <row r="477" spans="1:29" s="82" customFormat="1" x14ac:dyDescent="0.25">
      <c r="A477"/>
      <c r="B477"/>
      <c r="C477"/>
      <c r="D477"/>
      <c r="E477"/>
      <c r="F477"/>
      <c r="G477"/>
      <c r="H477"/>
      <c r="I477"/>
      <c r="J477"/>
      <c r="K477"/>
      <c r="L477"/>
      <c r="M477"/>
      <c r="N477"/>
      <c r="O477"/>
      <c r="P477"/>
      <c r="Q477"/>
      <c r="R477"/>
      <c r="S477"/>
      <c r="T477"/>
      <c r="U477"/>
      <c r="V477"/>
      <c r="W477"/>
      <c r="X477"/>
      <c r="Y477"/>
      <c r="Z477"/>
      <c r="AA477"/>
      <c r="AB477"/>
      <c r="AC477"/>
    </row>
    <row r="478" spans="1:29" s="82" customFormat="1" x14ac:dyDescent="0.25">
      <c r="A478"/>
      <c r="B478"/>
      <c r="C478"/>
      <c r="D478"/>
      <c r="E478"/>
      <c r="F478"/>
      <c r="G478"/>
      <c r="H478"/>
      <c r="I478"/>
      <c r="J478"/>
      <c r="K478"/>
      <c r="L478"/>
      <c r="M478"/>
      <c r="N478"/>
      <c r="O478"/>
      <c r="P478"/>
      <c r="Q478"/>
      <c r="R478"/>
      <c r="S478"/>
      <c r="T478"/>
      <c r="U478"/>
      <c r="V478"/>
      <c r="W478"/>
      <c r="X478"/>
      <c r="Y478"/>
      <c r="Z478"/>
      <c r="AA478"/>
      <c r="AB478"/>
      <c r="AC478"/>
    </row>
    <row r="479" spans="1:29" s="82" customFormat="1" x14ac:dyDescent="0.25">
      <c r="A479"/>
      <c r="B479"/>
      <c r="C479"/>
      <c r="D479"/>
      <c r="E479"/>
      <c r="F479"/>
      <c r="G479"/>
      <c r="H479"/>
      <c r="I479"/>
      <c r="J479"/>
      <c r="K479"/>
      <c r="L479"/>
      <c r="M479"/>
      <c r="N479"/>
      <c r="O479"/>
      <c r="P479"/>
      <c r="Q479"/>
      <c r="R479"/>
      <c r="S479"/>
      <c r="T479"/>
      <c r="U479"/>
      <c r="V479"/>
      <c r="W479"/>
      <c r="X479"/>
      <c r="Y479"/>
      <c r="Z479"/>
      <c r="AA479"/>
      <c r="AB479"/>
      <c r="AC479"/>
    </row>
    <row r="480" spans="1:29" s="82" customFormat="1" x14ac:dyDescent="0.25">
      <c r="A480"/>
      <c r="B480"/>
      <c r="C480"/>
      <c r="D480"/>
      <c r="E480"/>
      <c r="F480"/>
      <c r="G480"/>
      <c r="H480"/>
      <c r="I480"/>
      <c r="J480"/>
      <c r="K480"/>
      <c r="L480"/>
      <c r="M480"/>
      <c r="N480"/>
      <c r="O480"/>
      <c r="P480"/>
      <c r="Q480"/>
      <c r="R480"/>
      <c r="S480"/>
      <c r="T480"/>
      <c r="U480"/>
      <c r="V480"/>
      <c r="W480"/>
      <c r="X480"/>
      <c r="Y480"/>
      <c r="Z480"/>
      <c r="AA480"/>
      <c r="AB480"/>
      <c r="AC480"/>
    </row>
    <row r="481" spans="1:29" s="82" customFormat="1" x14ac:dyDescent="0.25">
      <c r="A481"/>
      <c r="B481"/>
      <c r="C481"/>
      <c r="D481"/>
      <c r="E481"/>
      <c r="F481"/>
      <c r="G481"/>
      <c r="H481"/>
      <c r="I481"/>
      <c r="J481"/>
      <c r="K481"/>
      <c r="L481"/>
      <c r="M481"/>
      <c r="N481"/>
      <c r="O481"/>
      <c r="P481"/>
      <c r="Q481"/>
      <c r="R481"/>
      <c r="S481"/>
      <c r="T481"/>
      <c r="U481"/>
      <c r="V481"/>
      <c r="W481"/>
      <c r="X481"/>
      <c r="Y481"/>
      <c r="Z481"/>
      <c r="AA481"/>
      <c r="AB481"/>
      <c r="AC481"/>
    </row>
    <row r="482" spans="1:29" s="82" customFormat="1" x14ac:dyDescent="0.25">
      <c r="A482"/>
      <c r="B482"/>
      <c r="C482"/>
      <c r="D482"/>
      <c r="E482"/>
      <c r="F482"/>
      <c r="G482"/>
      <c r="H482"/>
      <c r="I482"/>
      <c r="J482"/>
      <c r="K482"/>
      <c r="L482"/>
      <c r="M482"/>
      <c r="N482"/>
      <c r="O482"/>
      <c r="P482"/>
      <c r="Q482"/>
      <c r="R482"/>
      <c r="S482"/>
      <c r="T482"/>
      <c r="U482"/>
      <c r="V482"/>
      <c r="W482"/>
      <c r="X482"/>
      <c r="Y482"/>
      <c r="Z482"/>
      <c r="AA482"/>
      <c r="AB482"/>
      <c r="AC482"/>
    </row>
    <row r="483" spans="1:29" s="82" customFormat="1" x14ac:dyDescent="0.25">
      <c r="A483"/>
      <c r="B483"/>
      <c r="C483"/>
      <c r="D483"/>
      <c r="E483"/>
      <c r="F483"/>
      <c r="G483"/>
      <c r="H483"/>
      <c r="I483"/>
      <c r="J483"/>
      <c r="K483"/>
      <c r="L483"/>
      <c r="M483"/>
      <c r="N483"/>
      <c r="O483"/>
      <c r="P483"/>
      <c r="Q483"/>
      <c r="R483"/>
      <c r="S483"/>
      <c r="T483"/>
      <c r="U483"/>
      <c r="V483"/>
      <c r="W483"/>
      <c r="X483"/>
      <c r="Y483"/>
      <c r="Z483"/>
      <c r="AA483"/>
      <c r="AB483"/>
      <c r="AC483"/>
    </row>
    <row r="484" spans="1:29" s="82" customFormat="1" x14ac:dyDescent="0.25">
      <c r="A484"/>
      <c r="B484"/>
      <c r="C484"/>
      <c r="D484"/>
      <c r="E484"/>
      <c r="F484"/>
      <c r="G484"/>
      <c r="H484"/>
      <c r="I484"/>
      <c r="J484"/>
      <c r="K484"/>
      <c r="L484"/>
      <c r="M484"/>
      <c r="N484"/>
      <c r="O484"/>
      <c r="P484"/>
      <c r="Q484"/>
      <c r="R484"/>
      <c r="S484"/>
      <c r="T484"/>
      <c r="U484"/>
      <c r="V484"/>
      <c r="W484"/>
      <c r="X484"/>
      <c r="Y484"/>
      <c r="Z484"/>
      <c r="AA484"/>
      <c r="AB484"/>
      <c r="AC484"/>
    </row>
    <row r="485" spans="1:29" s="82" customFormat="1" x14ac:dyDescent="0.25">
      <c r="A485"/>
      <c r="B485"/>
      <c r="C485"/>
      <c r="D485"/>
      <c r="E485"/>
      <c r="F485"/>
      <c r="G485"/>
      <c r="H485"/>
      <c r="I485"/>
      <c r="J485"/>
      <c r="K485"/>
      <c r="L485"/>
      <c r="M485"/>
      <c r="N485"/>
      <c r="O485"/>
      <c r="P485"/>
      <c r="Q485"/>
      <c r="R485"/>
      <c r="S485"/>
      <c r="T485"/>
      <c r="U485"/>
      <c r="V485"/>
      <c r="W485"/>
      <c r="X485"/>
      <c r="Y485"/>
      <c r="Z485"/>
      <c r="AA485"/>
      <c r="AB485"/>
      <c r="AC485"/>
    </row>
    <row r="486" spans="1:29" s="82" customFormat="1" x14ac:dyDescent="0.25">
      <c r="A486"/>
      <c r="B486"/>
      <c r="C486"/>
      <c r="D486"/>
      <c r="E486"/>
      <c r="F486"/>
      <c r="G486"/>
      <c r="H486"/>
      <c r="I486"/>
      <c r="J486"/>
      <c r="K486"/>
      <c r="L486"/>
      <c r="M486"/>
      <c r="N486"/>
      <c r="O486"/>
      <c r="P486"/>
      <c r="Q486"/>
      <c r="R486"/>
      <c r="S486"/>
      <c r="T486"/>
      <c r="U486"/>
      <c r="V486"/>
      <c r="W486"/>
      <c r="X486"/>
      <c r="Y486"/>
      <c r="Z486"/>
      <c r="AA486"/>
      <c r="AB486"/>
      <c r="AC486"/>
    </row>
    <row r="487" spans="1:29" s="82" customFormat="1" x14ac:dyDescent="0.25">
      <c r="A487"/>
      <c r="B487"/>
      <c r="C487"/>
      <c r="D487"/>
      <c r="E487"/>
      <c r="F487"/>
      <c r="G487"/>
      <c r="H487"/>
      <c r="I487"/>
      <c r="J487"/>
      <c r="K487"/>
      <c r="L487"/>
      <c r="M487"/>
      <c r="N487"/>
      <c r="O487"/>
      <c r="P487"/>
      <c r="Q487"/>
      <c r="R487"/>
      <c r="S487"/>
      <c r="T487"/>
      <c r="U487"/>
      <c r="V487"/>
      <c r="W487"/>
      <c r="X487"/>
      <c r="Y487"/>
      <c r="Z487"/>
      <c r="AA487"/>
      <c r="AB487"/>
      <c r="AC487"/>
    </row>
    <row r="488" spans="1:29" s="82" customFormat="1" x14ac:dyDescent="0.25">
      <c r="A488"/>
      <c r="B488"/>
      <c r="C488"/>
      <c r="D488"/>
      <c r="E488"/>
      <c r="F488"/>
      <c r="G488"/>
      <c r="H488"/>
      <c r="I488"/>
      <c r="J488"/>
      <c r="K488"/>
      <c r="L488"/>
      <c r="M488"/>
      <c r="N488"/>
      <c r="O488"/>
      <c r="P488"/>
      <c r="Q488"/>
      <c r="R488"/>
      <c r="S488"/>
      <c r="T488"/>
      <c r="U488"/>
      <c r="V488"/>
      <c r="W488"/>
      <c r="X488"/>
      <c r="Y488"/>
      <c r="Z488"/>
      <c r="AA488"/>
      <c r="AB488"/>
      <c r="AC488"/>
    </row>
    <row r="489" spans="1:29" s="82" customFormat="1" x14ac:dyDescent="0.25">
      <c r="A489"/>
      <c r="B489"/>
      <c r="C489"/>
      <c r="D489"/>
      <c r="E489"/>
      <c r="F489"/>
      <c r="G489"/>
      <c r="H489"/>
      <c r="I489"/>
      <c r="J489"/>
      <c r="K489"/>
      <c r="L489"/>
      <c r="M489"/>
      <c r="N489"/>
      <c r="O489"/>
      <c r="P489"/>
      <c r="Q489"/>
      <c r="R489"/>
      <c r="S489"/>
      <c r="T489"/>
      <c r="U489"/>
      <c r="V489"/>
      <c r="W489"/>
      <c r="X489"/>
      <c r="Y489"/>
      <c r="Z489"/>
      <c r="AA489"/>
      <c r="AB489"/>
      <c r="AC489"/>
    </row>
    <row r="490" spans="1:29" s="82" customFormat="1" x14ac:dyDescent="0.25">
      <c r="A490"/>
      <c r="B490"/>
      <c r="C490"/>
      <c r="D490"/>
      <c r="E490"/>
      <c r="F490"/>
      <c r="G490"/>
      <c r="H490"/>
      <c r="I490"/>
      <c r="J490"/>
      <c r="K490"/>
      <c r="L490"/>
      <c r="M490"/>
      <c r="N490"/>
      <c r="O490"/>
      <c r="P490"/>
      <c r="Q490"/>
      <c r="R490"/>
      <c r="S490"/>
      <c r="T490"/>
      <c r="U490"/>
      <c r="V490"/>
      <c r="W490"/>
      <c r="X490"/>
      <c r="Y490"/>
      <c r="Z490"/>
      <c r="AA490"/>
      <c r="AB490"/>
      <c r="AC490"/>
    </row>
    <row r="491" spans="1:29" s="82" customFormat="1" x14ac:dyDescent="0.25">
      <c r="A491"/>
      <c r="B491"/>
      <c r="C491"/>
      <c r="D491"/>
      <c r="E491"/>
      <c r="F491"/>
      <c r="G491"/>
      <c r="H491"/>
      <c r="I491"/>
      <c r="J491"/>
      <c r="K491"/>
      <c r="L491"/>
      <c r="M491"/>
      <c r="N491"/>
      <c r="O491"/>
      <c r="P491"/>
      <c r="Q491"/>
      <c r="R491"/>
      <c r="S491"/>
      <c r="T491"/>
      <c r="U491"/>
      <c r="V491"/>
      <c r="W491"/>
      <c r="X491"/>
      <c r="Y491"/>
      <c r="Z491"/>
      <c r="AA491"/>
      <c r="AB491"/>
      <c r="AC491"/>
    </row>
    <row r="492" spans="1:29" s="82" customFormat="1" x14ac:dyDescent="0.25">
      <c r="A492"/>
      <c r="B492"/>
      <c r="C492"/>
      <c r="D492"/>
      <c r="E492"/>
      <c r="F492"/>
      <c r="G492"/>
      <c r="H492"/>
      <c r="I492"/>
      <c r="J492"/>
      <c r="K492"/>
      <c r="L492"/>
      <c r="M492"/>
      <c r="N492"/>
      <c r="O492"/>
      <c r="P492"/>
      <c r="Q492"/>
      <c r="R492"/>
      <c r="S492"/>
      <c r="T492"/>
      <c r="U492"/>
      <c r="V492"/>
      <c r="W492"/>
      <c r="X492"/>
      <c r="Y492"/>
      <c r="Z492"/>
      <c r="AA492"/>
      <c r="AB492"/>
      <c r="AC492"/>
    </row>
    <row r="493" spans="1:29" s="82" customFormat="1" x14ac:dyDescent="0.25">
      <c r="A493"/>
      <c r="B493"/>
      <c r="C493"/>
      <c r="D493"/>
      <c r="E493"/>
      <c r="F493"/>
      <c r="G493"/>
      <c r="H493"/>
      <c r="I493"/>
      <c r="J493"/>
      <c r="K493"/>
      <c r="L493"/>
      <c r="M493"/>
      <c r="N493"/>
      <c r="O493"/>
      <c r="P493"/>
      <c r="Q493"/>
      <c r="R493"/>
      <c r="S493"/>
      <c r="T493"/>
      <c r="U493"/>
      <c r="V493"/>
      <c r="W493"/>
      <c r="X493"/>
      <c r="Y493"/>
      <c r="Z493"/>
      <c r="AA493"/>
      <c r="AB493"/>
      <c r="AC493"/>
    </row>
    <row r="494" spans="1:29" s="82" customFormat="1" x14ac:dyDescent="0.25">
      <c r="A494"/>
      <c r="B494"/>
      <c r="C494"/>
      <c r="D494"/>
      <c r="E494"/>
      <c r="F494"/>
      <c r="G494"/>
      <c r="H494"/>
      <c r="I494"/>
      <c r="J494"/>
      <c r="K494"/>
      <c r="L494"/>
      <c r="M494"/>
      <c r="N494"/>
      <c r="O494"/>
      <c r="P494"/>
      <c r="Q494"/>
      <c r="R494"/>
      <c r="S494"/>
      <c r="T494"/>
      <c r="U494"/>
      <c r="V494"/>
      <c r="W494"/>
      <c r="X494"/>
      <c r="Y494"/>
      <c r="Z494"/>
      <c r="AA494"/>
      <c r="AB494"/>
      <c r="AC494"/>
    </row>
    <row r="495" spans="1:29" s="82" customFormat="1" x14ac:dyDescent="0.25">
      <c r="A495"/>
      <c r="B495"/>
      <c r="C495"/>
      <c r="D495"/>
      <c r="E495"/>
      <c r="F495"/>
      <c r="G495"/>
      <c r="H495"/>
      <c r="I495"/>
      <c r="J495"/>
      <c r="K495"/>
      <c r="L495"/>
      <c r="M495"/>
      <c r="N495"/>
      <c r="O495"/>
      <c r="P495"/>
      <c r="Q495"/>
      <c r="R495"/>
      <c r="S495"/>
      <c r="T495"/>
      <c r="U495"/>
      <c r="V495"/>
      <c r="W495"/>
      <c r="X495"/>
      <c r="Y495"/>
      <c r="Z495"/>
      <c r="AA495"/>
      <c r="AB495"/>
      <c r="AC495"/>
    </row>
    <row r="496" spans="1:29" s="82" customFormat="1" x14ac:dyDescent="0.25">
      <c r="A496"/>
      <c r="B496"/>
      <c r="C496"/>
      <c r="D496"/>
      <c r="E496"/>
      <c r="F496"/>
      <c r="G496"/>
      <c r="H496"/>
      <c r="I496"/>
      <c r="J496"/>
      <c r="K496"/>
      <c r="L496"/>
      <c r="M496"/>
      <c r="N496"/>
      <c r="O496"/>
      <c r="P496"/>
      <c r="Q496"/>
      <c r="R496"/>
      <c r="S496"/>
      <c r="T496"/>
      <c r="U496"/>
      <c r="V496"/>
      <c r="W496"/>
      <c r="X496"/>
      <c r="Y496"/>
      <c r="Z496"/>
      <c r="AA496"/>
      <c r="AB496"/>
      <c r="AC496"/>
    </row>
    <row r="497" spans="1:29" s="82" customFormat="1" x14ac:dyDescent="0.25">
      <c r="A497"/>
      <c r="B497"/>
      <c r="C497"/>
      <c r="D497"/>
      <c r="E497"/>
      <c r="F497"/>
      <c r="G497"/>
      <c r="H497"/>
      <c r="I497"/>
      <c r="J497"/>
      <c r="K497"/>
      <c r="L497"/>
      <c r="M497"/>
      <c r="N497"/>
      <c r="O497"/>
      <c r="P497"/>
      <c r="Q497"/>
      <c r="R497"/>
      <c r="S497"/>
      <c r="T497"/>
      <c r="U497"/>
      <c r="V497"/>
      <c r="W497"/>
      <c r="X497"/>
      <c r="Y497"/>
      <c r="Z497"/>
      <c r="AA497"/>
      <c r="AB497"/>
      <c r="AC497"/>
    </row>
    <row r="498" spans="1:29" s="82" customFormat="1" x14ac:dyDescent="0.25">
      <c r="A498"/>
      <c r="B498"/>
      <c r="C498"/>
      <c r="D498"/>
      <c r="E498"/>
      <c r="F498"/>
      <c r="G498"/>
      <c r="H498"/>
      <c r="I498"/>
      <c r="J498"/>
      <c r="K498"/>
      <c r="L498"/>
      <c r="M498"/>
      <c r="N498"/>
      <c r="O498"/>
      <c r="P498"/>
      <c r="Q498"/>
      <c r="R498"/>
      <c r="S498"/>
      <c r="T498"/>
      <c r="U498"/>
      <c r="V498"/>
      <c r="W498"/>
      <c r="X498"/>
      <c r="Y498"/>
      <c r="Z498"/>
      <c r="AA498"/>
      <c r="AB498"/>
      <c r="AC498"/>
    </row>
    <row r="499" spans="1:29" s="82" customFormat="1" x14ac:dyDescent="0.25">
      <c r="A499"/>
      <c r="B499"/>
      <c r="C499"/>
      <c r="D499"/>
      <c r="E499"/>
      <c r="F499"/>
      <c r="G499"/>
      <c r="H499"/>
      <c r="I499"/>
      <c r="J499"/>
      <c r="K499"/>
      <c r="L499"/>
      <c r="M499"/>
      <c r="N499"/>
      <c r="O499"/>
      <c r="P499"/>
      <c r="Q499"/>
      <c r="R499"/>
      <c r="S499"/>
      <c r="T499"/>
      <c r="U499"/>
      <c r="V499"/>
      <c r="W499"/>
      <c r="X499"/>
      <c r="Y499"/>
      <c r="Z499"/>
      <c r="AA499"/>
      <c r="AB499"/>
      <c r="AC499"/>
    </row>
    <row r="500" spans="1:29" s="82" customFormat="1" x14ac:dyDescent="0.25">
      <c r="A500"/>
      <c r="B500"/>
      <c r="C500"/>
      <c r="D500"/>
      <c r="E500"/>
      <c r="F500"/>
      <c r="G500"/>
      <c r="H500"/>
      <c r="I500"/>
      <c r="J500"/>
      <c r="K500"/>
      <c r="L500"/>
      <c r="M500"/>
      <c r="N500"/>
      <c r="O500"/>
      <c r="P500"/>
      <c r="Q500"/>
      <c r="R500"/>
      <c r="S500"/>
      <c r="T500"/>
      <c r="U500"/>
      <c r="V500"/>
      <c r="W500"/>
      <c r="X500"/>
      <c r="Y500"/>
      <c r="Z500"/>
      <c r="AA500"/>
      <c r="AB500"/>
      <c r="AC500"/>
    </row>
    <row r="501" spans="1:29" s="82" customFormat="1" x14ac:dyDescent="0.25">
      <c r="A501"/>
      <c r="B501"/>
      <c r="C501"/>
      <c r="D501"/>
      <c r="E501"/>
      <c r="F501"/>
      <c r="G501"/>
      <c r="H501"/>
      <c r="I501"/>
      <c r="J501"/>
      <c r="K501"/>
      <c r="L501"/>
      <c r="M501"/>
      <c r="N501"/>
      <c r="O501"/>
      <c r="P501"/>
      <c r="Q501"/>
      <c r="R501"/>
      <c r="S501"/>
      <c r="T501"/>
      <c r="U501"/>
      <c r="V501"/>
      <c r="W501"/>
      <c r="X501"/>
      <c r="Y501"/>
      <c r="Z501"/>
      <c r="AA501"/>
      <c r="AB501"/>
      <c r="AC501"/>
    </row>
    <row r="502" spans="1:29" s="82" customFormat="1" x14ac:dyDescent="0.25">
      <c r="A502"/>
      <c r="B502"/>
      <c r="C502"/>
      <c r="D502"/>
      <c r="E502"/>
      <c r="F502"/>
      <c r="G502"/>
      <c r="H502"/>
      <c r="I502"/>
      <c r="J502"/>
      <c r="K502"/>
      <c r="L502"/>
      <c r="M502"/>
      <c r="N502"/>
      <c r="O502"/>
      <c r="P502"/>
      <c r="Q502"/>
      <c r="R502"/>
      <c r="S502"/>
      <c r="T502"/>
      <c r="U502"/>
      <c r="V502"/>
      <c r="W502"/>
      <c r="X502"/>
      <c r="Y502"/>
      <c r="Z502"/>
      <c r="AA502"/>
      <c r="AB502"/>
      <c r="AC502"/>
    </row>
    <row r="503" spans="1:29" s="82" customFormat="1" x14ac:dyDescent="0.25">
      <c r="A503"/>
      <c r="B503"/>
      <c r="C503"/>
      <c r="D503"/>
      <c r="E503"/>
      <c r="F503"/>
      <c r="G503"/>
      <c r="H503"/>
      <c r="I503"/>
      <c r="J503"/>
      <c r="K503"/>
      <c r="L503"/>
      <c r="M503"/>
      <c r="N503"/>
      <c r="O503"/>
      <c r="P503"/>
      <c r="Q503"/>
      <c r="R503"/>
      <c r="S503"/>
      <c r="T503"/>
      <c r="U503"/>
      <c r="V503"/>
      <c r="W503"/>
      <c r="X503"/>
      <c r="Y503"/>
      <c r="Z503"/>
      <c r="AA503"/>
      <c r="AB503"/>
      <c r="AC503"/>
    </row>
    <row r="504" spans="1:29" s="82" customFormat="1" x14ac:dyDescent="0.25">
      <c r="A504"/>
      <c r="B504"/>
      <c r="C504"/>
      <c r="D504"/>
      <c r="E504"/>
      <c r="F504"/>
      <c r="G504"/>
      <c r="H504"/>
      <c r="I504"/>
      <c r="J504"/>
      <c r="K504"/>
      <c r="L504"/>
      <c r="M504"/>
      <c r="N504"/>
      <c r="O504"/>
      <c r="P504"/>
      <c r="Q504"/>
      <c r="R504"/>
      <c r="S504"/>
      <c r="T504"/>
      <c r="U504"/>
      <c r="V504"/>
      <c r="W504"/>
      <c r="X504"/>
      <c r="Y504"/>
      <c r="Z504"/>
      <c r="AA504"/>
      <c r="AB504"/>
      <c r="AC504"/>
    </row>
    <row r="505" spans="1:29" s="82" customFormat="1" x14ac:dyDescent="0.25">
      <c r="A505"/>
      <c r="B505"/>
      <c r="C505"/>
      <c r="D505"/>
      <c r="E505"/>
      <c r="F505"/>
      <c r="G505"/>
      <c r="H505"/>
      <c r="I505"/>
      <c r="J505"/>
      <c r="K505"/>
      <c r="L505"/>
      <c r="M505"/>
      <c r="N505"/>
      <c r="O505"/>
      <c r="P505"/>
      <c r="Q505"/>
      <c r="R505"/>
      <c r="S505"/>
      <c r="T505"/>
      <c r="U505"/>
      <c r="V505"/>
      <c r="W505"/>
      <c r="X505"/>
      <c r="Y505"/>
      <c r="Z505"/>
      <c r="AA505"/>
      <c r="AB505"/>
      <c r="AC505"/>
    </row>
    <row r="506" spans="1:29" s="82" customFormat="1" x14ac:dyDescent="0.25">
      <c r="A506"/>
      <c r="B506"/>
      <c r="C506"/>
      <c r="D506"/>
      <c r="E506"/>
      <c r="F506"/>
      <c r="G506"/>
      <c r="H506"/>
      <c r="I506"/>
      <c r="J506"/>
      <c r="K506"/>
      <c r="L506"/>
      <c r="M506"/>
      <c r="N506"/>
      <c r="O506"/>
      <c r="P506"/>
      <c r="Q506"/>
      <c r="R506"/>
      <c r="S506"/>
      <c r="T506"/>
      <c r="U506"/>
      <c r="V506"/>
      <c r="W506"/>
      <c r="X506"/>
      <c r="Y506"/>
      <c r="Z506"/>
      <c r="AA506"/>
      <c r="AB506"/>
      <c r="AC506"/>
    </row>
    <row r="507" spans="1:29" s="82" customFormat="1" x14ac:dyDescent="0.25">
      <c r="A507"/>
      <c r="B507"/>
      <c r="C507"/>
      <c r="D507"/>
      <c r="E507"/>
      <c r="F507"/>
      <c r="G507"/>
      <c r="H507"/>
      <c r="I507"/>
      <c r="J507"/>
      <c r="K507"/>
      <c r="L507"/>
      <c r="M507"/>
      <c r="N507"/>
      <c r="O507"/>
      <c r="P507"/>
      <c r="Q507"/>
      <c r="R507"/>
      <c r="S507"/>
      <c r="T507"/>
      <c r="U507"/>
      <c r="V507"/>
      <c r="W507"/>
      <c r="X507"/>
      <c r="Y507"/>
      <c r="Z507"/>
      <c r="AA507"/>
      <c r="AB507"/>
      <c r="AC507"/>
    </row>
    <row r="508" spans="1:29" s="82" customFormat="1" x14ac:dyDescent="0.25">
      <c r="A508"/>
      <c r="B508"/>
      <c r="C508"/>
      <c r="D508"/>
      <c r="E508"/>
      <c r="F508"/>
      <c r="G508"/>
      <c r="H508"/>
      <c r="I508"/>
      <c r="J508"/>
      <c r="K508"/>
      <c r="L508"/>
      <c r="M508"/>
      <c r="N508"/>
      <c r="O508"/>
      <c r="P508"/>
      <c r="Q508"/>
      <c r="R508"/>
      <c r="S508"/>
      <c r="T508"/>
      <c r="U508"/>
      <c r="V508"/>
      <c r="W508"/>
      <c r="X508"/>
      <c r="Y508"/>
      <c r="Z508"/>
      <c r="AA508"/>
      <c r="AB508"/>
      <c r="AC508"/>
    </row>
    <row r="509" spans="1:29" s="82" customFormat="1" x14ac:dyDescent="0.25">
      <c r="A509"/>
      <c r="B509"/>
      <c r="C509"/>
      <c r="D509"/>
      <c r="E509"/>
      <c r="F509"/>
      <c r="G509"/>
      <c r="H509"/>
      <c r="I509"/>
      <c r="J509"/>
      <c r="K509"/>
      <c r="L509"/>
      <c r="M509"/>
      <c r="N509"/>
      <c r="O509"/>
      <c r="P509"/>
      <c r="Q509"/>
      <c r="R509"/>
      <c r="S509"/>
      <c r="T509"/>
      <c r="U509"/>
      <c r="V509"/>
      <c r="W509"/>
      <c r="X509"/>
      <c r="Y509"/>
      <c r="Z509"/>
      <c r="AA509"/>
      <c r="AB509"/>
      <c r="AC509"/>
    </row>
    <row r="510" spans="1:29" s="82" customFormat="1" x14ac:dyDescent="0.25">
      <c r="A510"/>
      <c r="B510"/>
      <c r="C510"/>
      <c r="D510"/>
      <c r="E510"/>
      <c r="F510"/>
      <c r="G510"/>
      <c r="H510"/>
      <c r="I510"/>
      <c r="J510"/>
      <c r="K510"/>
      <c r="L510"/>
      <c r="M510"/>
      <c r="N510"/>
      <c r="O510"/>
      <c r="P510"/>
      <c r="Q510"/>
      <c r="R510"/>
      <c r="S510"/>
      <c r="T510"/>
      <c r="U510"/>
      <c r="V510"/>
      <c r="W510"/>
      <c r="X510"/>
      <c r="Y510"/>
      <c r="Z510"/>
      <c r="AA510"/>
      <c r="AB510"/>
      <c r="AC510"/>
    </row>
    <row r="511" spans="1:29" s="82" customFormat="1" x14ac:dyDescent="0.25">
      <c r="A511"/>
      <c r="B511"/>
      <c r="C511"/>
      <c r="D511"/>
      <c r="E511"/>
      <c r="F511"/>
      <c r="G511"/>
      <c r="H511"/>
      <c r="I511"/>
      <c r="J511"/>
      <c r="K511"/>
      <c r="L511"/>
      <c r="M511"/>
      <c r="N511"/>
      <c r="O511"/>
      <c r="P511"/>
      <c r="Q511"/>
      <c r="R511"/>
      <c r="S511"/>
      <c r="T511"/>
      <c r="U511"/>
      <c r="V511"/>
      <c r="W511"/>
      <c r="X511"/>
      <c r="Y511"/>
      <c r="Z511"/>
      <c r="AA511"/>
      <c r="AB511"/>
      <c r="AC511"/>
    </row>
    <row r="512" spans="1:29" s="82" customFormat="1" x14ac:dyDescent="0.25">
      <c r="A512"/>
      <c r="B512"/>
      <c r="C512"/>
      <c r="D512"/>
      <c r="E512"/>
      <c r="F512"/>
      <c r="G512"/>
      <c r="H512"/>
      <c r="I512"/>
      <c r="J512"/>
      <c r="K512"/>
      <c r="L512"/>
      <c r="M512"/>
      <c r="N512"/>
      <c r="O512"/>
      <c r="P512"/>
      <c r="Q512"/>
      <c r="R512"/>
      <c r="S512"/>
      <c r="T512"/>
      <c r="U512"/>
      <c r="V512"/>
      <c r="W512"/>
      <c r="X512"/>
      <c r="Y512"/>
      <c r="Z512"/>
      <c r="AA512"/>
      <c r="AB512"/>
      <c r="AC512"/>
    </row>
    <row r="513" spans="1:29" s="82" customFormat="1" x14ac:dyDescent="0.25">
      <c r="A513"/>
      <c r="B513"/>
      <c r="C513"/>
      <c r="D513"/>
      <c r="E513"/>
      <c r="F513"/>
      <c r="G513"/>
      <c r="H513"/>
      <c r="I513"/>
      <c r="J513"/>
      <c r="K513"/>
      <c r="L513"/>
      <c r="M513"/>
      <c r="N513"/>
      <c r="O513"/>
      <c r="P513"/>
      <c r="Q513"/>
      <c r="R513"/>
      <c r="S513"/>
      <c r="T513"/>
      <c r="U513"/>
      <c r="V513"/>
      <c r="W513"/>
      <c r="X513"/>
      <c r="Y513"/>
      <c r="Z513"/>
      <c r="AA513"/>
      <c r="AB513"/>
      <c r="AC513"/>
    </row>
    <row r="514" spans="1:29" s="82" customFormat="1" x14ac:dyDescent="0.25">
      <c r="A514"/>
      <c r="B514"/>
      <c r="C514"/>
      <c r="D514"/>
      <c r="E514"/>
      <c r="F514"/>
      <c r="G514"/>
      <c r="H514"/>
      <c r="I514"/>
      <c r="J514"/>
      <c r="K514"/>
      <c r="L514"/>
      <c r="M514"/>
      <c r="N514"/>
      <c r="O514"/>
      <c r="P514"/>
      <c r="Q514"/>
      <c r="R514"/>
      <c r="S514"/>
      <c r="T514"/>
      <c r="U514"/>
      <c r="V514"/>
      <c r="W514"/>
      <c r="X514"/>
      <c r="Y514"/>
      <c r="Z514"/>
      <c r="AA514"/>
      <c r="AB514"/>
      <c r="AC514"/>
    </row>
    <row r="515" spans="1:29" s="82" customFormat="1" x14ac:dyDescent="0.25">
      <c r="A515"/>
      <c r="B515"/>
      <c r="C515"/>
      <c r="D515"/>
      <c r="E515"/>
      <c r="F515"/>
      <c r="G515"/>
      <c r="H515"/>
      <c r="I515"/>
      <c r="J515"/>
      <c r="K515"/>
      <c r="L515"/>
      <c r="M515"/>
      <c r="N515"/>
      <c r="O515"/>
      <c r="P515"/>
      <c r="Q515"/>
      <c r="R515"/>
      <c r="S515"/>
      <c r="T515"/>
      <c r="U515"/>
      <c r="V515"/>
      <c r="W515"/>
      <c r="X515"/>
      <c r="Y515"/>
      <c r="Z515"/>
      <c r="AA515"/>
      <c r="AB515"/>
      <c r="AC515"/>
    </row>
    <row r="516" spans="1:29" s="82" customFormat="1" x14ac:dyDescent="0.25">
      <c r="A516"/>
      <c r="B516"/>
      <c r="C516"/>
      <c r="D516"/>
      <c r="E516"/>
      <c r="F516"/>
      <c r="G516"/>
      <c r="H516"/>
      <c r="I516"/>
      <c r="J516"/>
      <c r="K516"/>
      <c r="L516"/>
      <c r="M516"/>
      <c r="N516"/>
      <c r="O516"/>
      <c r="P516"/>
      <c r="Q516"/>
      <c r="R516"/>
      <c r="S516"/>
      <c r="T516"/>
      <c r="U516"/>
      <c r="V516"/>
      <c r="W516"/>
      <c r="X516"/>
      <c r="Y516"/>
      <c r="Z516"/>
      <c r="AA516"/>
      <c r="AB516"/>
      <c r="AC516"/>
    </row>
    <row r="517" spans="1:29" s="82" customFormat="1" x14ac:dyDescent="0.25">
      <c r="A517"/>
      <c r="B517"/>
      <c r="C517"/>
      <c r="D517"/>
      <c r="E517"/>
      <c r="F517"/>
      <c r="G517"/>
      <c r="H517"/>
      <c r="I517"/>
      <c r="J517"/>
      <c r="K517"/>
      <c r="L517"/>
      <c r="M517"/>
      <c r="N517"/>
      <c r="O517"/>
      <c r="P517"/>
      <c r="Q517"/>
      <c r="R517"/>
      <c r="S517"/>
      <c r="T517"/>
      <c r="U517"/>
      <c r="V517"/>
      <c r="W517"/>
      <c r="X517"/>
      <c r="Y517"/>
      <c r="Z517"/>
      <c r="AA517"/>
      <c r="AB517"/>
      <c r="AC517"/>
    </row>
    <row r="518" spans="1:29" s="82" customFormat="1" x14ac:dyDescent="0.25">
      <c r="A518"/>
      <c r="B518"/>
      <c r="C518"/>
      <c r="D518"/>
      <c r="E518"/>
      <c r="F518"/>
      <c r="G518"/>
      <c r="H518"/>
      <c r="I518"/>
      <c r="J518"/>
      <c r="K518"/>
      <c r="L518"/>
      <c r="M518"/>
      <c r="N518"/>
      <c r="O518"/>
      <c r="P518"/>
      <c r="Q518"/>
      <c r="R518"/>
      <c r="S518"/>
      <c r="T518"/>
      <c r="U518"/>
      <c r="V518"/>
      <c r="W518"/>
      <c r="X518"/>
      <c r="Y518"/>
      <c r="Z518"/>
      <c r="AA518"/>
      <c r="AB518"/>
      <c r="AC518"/>
    </row>
    <row r="519" spans="1:29" s="82" customFormat="1" x14ac:dyDescent="0.25">
      <c r="A519"/>
      <c r="B519"/>
      <c r="C519"/>
      <c r="D519"/>
      <c r="E519"/>
      <c r="F519"/>
      <c r="G519"/>
      <c r="H519"/>
      <c r="I519"/>
      <c r="J519"/>
      <c r="K519"/>
      <c r="L519"/>
      <c r="M519"/>
      <c r="N519"/>
      <c r="O519"/>
      <c r="P519"/>
      <c r="Q519"/>
      <c r="R519"/>
      <c r="S519"/>
      <c r="T519"/>
      <c r="U519"/>
      <c r="V519"/>
      <c r="W519"/>
      <c r="X519"/>
      <c r="Y519"/>
      <c r="Z519"/>
      <c r="AA519"/>
      <c r="AB519"/>
      <c r="AC519"/>
    </row>
    <row r="520" spans="1:29" s="82" customFormat="1" x14ac:dyDescent="0.25">
      <c r="A520"/>
      <c r="B520"/>
      <c r="C520"/>
      <c r="D520"/>
      <c r="E520"/>
      <c r="F520"/>
      <c r="G520"/>
      <c r="H520"/>
      <c r="I520"/>
      <c r="J520"/>
      <c r="K520"/>
      <c r="L520"/>
      <c r="M520"/>
      <c r="N520"/>
      <c r="O520"/>
      <c r="P520"/>
      <c r="Q520"/>
      <c r="R520"/>
      <c r="S520"/>
      <c r="T520"/>
      <c r="U520"/>
      <c r="V520"/>
      <c r="W520"/>
      <c r="X520"/>
      <c r="Y520"/>
      <c r="Z520"/>
      <c r="AA520"/>
      <c r="AB520"/>
      <c r="AC520"/>
    </row>
    <row r="521" spans="1:29" s="82" customFormat="1" x14ac:dyDescent="0.25">
      <c r="A521"/>
      <c r="B521"/>
      <c r="C521"/>
      <c r="D521"/>
      <c r="E521"/>
      <c r="F521"/>
      <c r="G521"/>
      <c r="H521"/>
      <c r="I521"/>
      <c r="J521"/>
      <c r="K521"/>
      <c r="L521"/>
      <c r="M521"/>
      <c r="N521"/>
      <c r="O521"/>
      <c r="P521"/>
      <c r="Q521"/>
      <c r="R521"/>
      <c r="S521"/>
      <c r="T521"/>
      <c r="U521"/>
      <c r="V521"/>
      <c r="W521"/>
      <c r="X521"/>
      <c r="Y521"/>
      <c r="Z521"/>
      <c r="AA521"/>
      <c r="AB521"/>
      <c r="AC521"/>
    </row>
    <row r="522" spans="1:29" s="82" customFormat="1" x14ac:dyDescent="0.25">
      <c r="A522"/>
      <c r="B522"/>
      <c r="C522"/>
      <c r="D522"/>
      <c r="E522"/>
      <c r="F522"/>
      <c r="G522"/>
      <c r="H522"/>
      <c r="I522"/>
      <c r="J522"/>
      <c r="K522"/>
      <c r="L522"/>
      <c r="M522"/>
      <c r="N522"/>
      <c r="O522"/>
      <c r="P522"/>
      <c r="Q522"/>
      <c r="R522"/>
      <c r="S522"/>
      <c r="T522"/>
      <c r="U522"/>
      <c r="V522"/>
      <c r="W522"/>
      <c r="X522"/>
      <c r="Y522"/>
      <c r="Z522"/>
      <c r="AA522"/>
      <c r="AB522"/>
      <c r="AC522"/>
    </row>
    <row r="523" spans="1:29" s="82" customFormat="1" x14ac:dyDescent="0.25">
      <c r="A523"/>
      <c r="B523"/>
      <c r="C523"/>
      <c r="D523"/>
      <c r="E523"/>
      <c r="F523"/>
      <c r="G523"/>
      <c r="H523"/>
      <c r="I523"/>
      <c r="J523"/>
      <c r="K523"/>
      <c r="L523"/>
      <c r="M523"/>
      <c r="N523"/>
      <c r="O523"/>
      <c r="P523"/>
      <c r="Q523"/>
      <c r="R523"/>
      <c r="S523"/>
      <c r="T523"/>
      <c r="U523"/>
      <c r="V523"/>
      <c r="W523"/>
      <c r="X523"/>
      <c r="Y523"/>
      <c r="Z523"/>
      <c r="AA523"/>
      <c r="AB523"/>
      <c r="AC523"/>
    </row>
    <row r="524" spans="1:29" s="82" customFormat="1" x14ac:dyDescent="0.25">
      <c r="A524"/>
      <c r="B524"/>
      <c r="C524"/>
      <c r="D524"/>
      <c r="E524"/>
      <c r="F524"/>
      <c r="G524"/>
      <c r="H524"/>
      <c r="I524"/>
      <c r="J524"/>
      <c r="K524"/>
      <c r="L524"/>
      <c r="M524"/>
      <c r="N524"/>
      <c r="O524"/>
      <c r="P524"/>
      <c r="Q524"/>
      <c r="R524"/>
      <c r="S524"/>
      <c r="T524"/>
      <c r="U524"/>
      <c r="V524"/>
      <c r="W524"/>
      <c r="X524"/>
      <c r="Y524"/>
      <c r="Z524"/>
      <c r="AA524"/>
      <c r="AB524"/>
      <c r="AC524"/>
    </row>
    <row r="525" spans="1:29" s="82" customFormat="1" x14ac:dyDescent="0.25">
      <c r="A525"/>
      <c r="B525"/>
      <c r="C525"/>
      <c r="D525"/>
      <c r="E525"/>
      <c r="F525"/>
      <c r="G525"/>
      <c r="H525"/>
      <c r="I525"/>
      <c r="J525"/>
      <c r="K525"/>
      <c r="L525"/>
      <c r="M525"/>
      <c r="N525"/>
      <c r="O525"/>
      <c r="P525"/>
      <c r="Q525"/>
      <c r="R525"/>
      <c r="S525"/>
      <c r="T525"/>
      <c r="U525"/>
      <c r="V525"/>
      <c r="W525"/>
      <c r="X525"/>
      <c r="Y525"/>
      <c r="Z525"/>
      <c r="AA525"/>
      <c r="AB525"/>
      <c r="AC525"/>
    </row>
    <row r="526" spans="1:29" s="82" customFormat="1" x14ac:dyDescent="0.25">
      <c r="A526"/>
      <c r="B526"/>
      <c r="C526"/>
      <c r="D526"/>
      <c r="E526"/>
      <c r="F526"/>
      <c r="G526"/>
      <c r="H526"/>
      <c r="I526"/>
      <c r="J526"/>
      <c r="K526"/>
      <c r="L526"/>
      <c r="M526"/>
      <c r="N526"/>
      <c r="O526"/>
      <c r="P526"/>
      <c r="Q526"/>
      <c r="R526"/>
      <c r="S526"/>
      <c r="T526"/>
      <c r="U526"/>
      <c r="V526"/>
      <c r="W526"/>
      <c r="X526"/>
      <c r="Y526"/>
      <c r="Z526"/>
      <c r="AA526"/>
      <c r="AB526"/>
      <c r="AC526"/>
    </row>
    <row r="527" spans="1:29" s="82" customFormat="1" x14ac:dyDescent="0.25">
      <c r="A527"/>
      <c r="B527"/>
      <c r="C527"/>
      <c r="D527"/>
      <c r="E527"/>
      <c r="F527"/>
      <c r="G527"/>
      <c r="H527"/>
      <c r="I527"/>
      <c r="J527"/>
      <c r="K527"/>
      <c r="L527"/>
      <c r="M527"/>
      <c r="N527"/>
      <c r="O527"/>
      <c r="P527"/>
      <c r="Q527"/>
      <c r="R527"/>
      <c r="S527"/>
      <c r="T527"/>
      <c r="U527"/>
      <c r="V527"/>
      <c r="W527"/>
      <c r="X527"/>
      <c r="Y527"/>
      <c r="Z527"/>
      <c r="AA527"/>
      <c r="AB527"/>
      <c r="AC527"/>
    </row>
    <row r="528" spans="1:29" s="82" customFormat="1" x14ac:dyDescent="0.25">
      <c r="A528"/>
      <c r="B528"/>
      <c r="C528"/>
      <c r="D528"/>
      <c r="E528"/>
      <c r="F528"/>
      <c r="G528"/>
      <c r="H528"/>
      <c r="I528"/>
      <c r="J528"/>
      <c r="K528"/>
      <c r="L528"/>
      <c r="M528"/>
      <c r="N528"/>
      <c r="O528"/>
      <c r="P528"/>
      <c r="Q528"/>
      <c r="R528"/>
      <c r="S528"/>
      <c r="T528"/>
      <c r="U528"/>
      <c r="V528"/>
      <c r="W528"/>
      <c r="X528"/>
      <c r="Y528"/>
      <c r="Z528"/>
      <c r="AA528"/>
      <c r="AB528"/>
      <c r="AC528"/>
    </row>
    <row r="529" spans="1:29" s="82" customFormat="1" x14ac:dyDescent="0.25">
      <c r="A529"/>
      <c r="B529"/>
      <c r="C529"/>
      <c r="D529"/>
      <c r="E529"/>
      <c r="F529"/>
      <c r="G529"/>
      <c r="H529"/>
      <c r="I529"/>
      <c r="J529"/>
      <c r="K529"/>
      <c r="L529"/>
      <c r="M529"/>
      <c r="N529"/>
      <c r="O529"/>
      <c r="P529"/>
      <c r="Q529"/>
      <c r="R529"/>
      <c r="S529"/>
      <c r="T529"/>
      <c r="U529"/>
      <c r="V529"/>
      <c r="W529"/>
      <c r="X529"/>
      <c r="Y529"/>
      <c r="Z529"/>
      <c r="AA529"/>
      <c r="AB529"/>
      <c r="AC529"/>
    </row>
    <row r="530" spans="1:29" s="82" customFormat="1" x14ac:dyDescent="0.25">
      <c r="A530"/>
      <c r="B530"/>
      <c r="C530"/>
      <c r="D530"/>
      <c r="E530"/>
      <c r="F530"/>
      <c r="G530"/>
      <c r="H530"/>
      <c r="I530"/>
      <c r="J530"/>
      <c r="K530"/>
      <c r="L530"/>
      <c r="M530"/>
      <c r="N530"/>
      <c r="O530"/>
      <c r="P530"/>
      <c r="Q530"/>
      <c r="R530"/>
      <c r="S530"/>
      <c r="T530"/>
      <c r="U530"/>
      <c r="V530"/>
      <c r="W530"/>
      <c r="X530"/>
      <c r="Y530"/>
      <c r="Z530"/>
      <c r="AA530"/>
      <c r="AB530"/>
      <c r="AC530"/>
    </row>
    <row r="531" spans="1:29" s="82" customFormat="1" x14ac:dyDescent="0.25">
      <c r="A531"/>
      <c r="B531"/>
      <c r="C531"/>
      <c r="D531"/>
      <c r="E531"/>
      <c r="F531"/>
      <c r="G531"/>
      <c r="H531"/>
      <c r="I531"/>
      <c r="J531"/>
      <c r="K531"/>
      <c r="L531"/>
      <c r="M531"/>
      <c r="N531"/>
      <c r="O531"/>
      <c r="P531"/>
      <c r="Q531"/>
      <c r="R531"/>
      <c r="S531"/>
      <c r="T531"/>
      <c r="U531"/>
      <c r="V531"/>
      <c r="W531"/>
      <c r="X531"/>
      <c r="Y531"/>
      <c r="Z531"/>
      <c r="AA531"/>
      <c r="AB531"/>
      <c r="AC531"/>
    </row>
    <row r="532" spans="1:29" s="82" customFormat="1" x14ac:dyDescent="0.25">
      <c r="A532"/>
      <c r="B532"/>
      <c r="C532"/>
      <c r="D532"/>
      <c r="E532"/>
      <c r="F532"/>
      <c r="G532"/>
      <c r="H532"/>
      <c r="I532"/>
      <c r="J532"/>
      <c r="K532"/>
      <c r="L532"/>
      <c r="M532"/>
      <c r="N532"/>
      <c r="O532"/>
      <c r="P532"/>
      <c r="Q532"/>
      <c r="R532"/>
      <c r="S532"/>
      <c r="T532"/>
      <c r="U532"/>
      <c r="V532"/>
      <c r="W532"/>
      <c r="X532"/>
      <c r="Y532"/>
      <c r="Z532"/>
      <c r="AA532"/>
      <c r="AB532"/>
      <c r="AC532"/>
    </row>
    <row r="533" spans="1:29" s="82" customFormat="1" x14ac:dyDescent="0.25">
      <c r="A533"/>
      <c r="B533"/>
      <c r="C533"/>
      <c r="D533"/>
      <c r="E533"/>
      <c r="F533"/>
      <c r="G533"/>
      <c r="H533"/>
      <c r="I533"/>
      <c r="J533"/>
      <c r="K533"/>
      <c r="L533"/>
      <c r="M533"/>
      <c r="N533"/>
      <c r="O533"/>
      <c r="P533"/>
      <c r="Q533"/>
      <c r="R533"/>
      <c r="S533"/>
      <c r="T533"/>
      <c r="U533"/>
      <c r="V533"/>
      <c r="W533"/>
      <c r="X533"/>
      <c r="Y533"/>
      <c r="Z533"/>
      <c r="AA533"/>
      <c r="AB533"/>
      <c r="AC533"/>
    </row>
    <row r="534" spans="1:29" s="82" customFormat="1" x14ac:dyDescent="0.25">
      <c r="A534"/>
      <c r="B534"/>
      <c r="C534"/>
      <c r="D534"/>
      <c r="E534"/>
      <c r="F534"/>
      <c r="G534"/>
      <c r="H534"/>
      <c r="I534"/>
      <c r="J534"/>
      <c r="K534"/>
      <c r="L534"/>
      <c r="M534"/>
      <c r="N534"/>
      <c r="O534"/>
      <c r="P534"/>
      <c r="Q534"/>
      <c r="R534"/>
      <c r="S534"/>
      <c r="T534"/>
      <c r="U534"/>
      <c r="V534"/>
      <c r="W534"/>
      <c r="X534"/>
      <c r="Y534"/>
      <c r="Z534"/>
      <c r="AA534"/>
      <c r="AB534"/>
      <c r="AC534"/>
    </row>
    <row r="535" spans="1:29" s="82" customFormat="1" x14ac:dyDescent="0.25">
      <c r="A535"/>
      <c r="B535"/>
      <c r="C535"/>
      <c r="D535"/>
      <c r="E535"/>
      <c r="F535"/>
      <c r="G535"/>
      <c r="H535"/>
      <c r="I535"/>
      <c r="J535"/>
      <c r="K535"/>
      <c r="L535"/>
      <c r="M535"/>
      <c r="N535"/>
      <c r="O535"/>
      <c r="P535"/>
      <c r="Q535"/>
      <c r="R535"/>
      <c r="S535"/>
      <c r="T535"/>
      <c r="U535"/>
      <c r="V535"/>
      <c r="W535"/>
      <c r="X535"/>
      <c r="Y535"/>
      <c r="Z535"/>
      <c r="AA535"/>
      <c r="AB535"/>
      <c r="AC535"/>
    </row>
    <row r="536" spans="1:29" s="82" customFormat="1" x14ac:dyDescent="0.25">
      <c r="A536"/>
      <c r="B536"/>
      <c r="C536"/>
      <c r="D536"/>
      <c r="E536"/>
      <c r="F536"/>
      <c r="G536"/>
      <c r="H536"/>
      <c r="I536"/>
      <c r="J536"/>
      <c r="K536"/>
      <c r="L536"/>
      <c r="M536"/>
      <c r="N536"/>
      <c r="O536"/>
      <c r="P536"/>
      <c r="Q536"/>
      <c r="R536"/>
      <c r="S536"/>
      <c r="T536"/>
      <c r="U536"/>
      <c r="V536"/>
      <c r="W536"/>
      <c r="X536"/>
      <c r="Y536"/>
      <c r="Z536"/>
      <c r="AA536"/>
      <c r="AB536"/>
      <c r="AC536"/>
    </row>
    <row r="537" spans="1:29" s="82" customFormat="1" x14ac:dyDescent="0.25">
      <c r="A537"/>
      <c r="B537"/>
      <c r="C537"/>
      <c r="D537"/>
      <c r="E537"/>
      <c r="F537"/>
      <c r="G537"/>
      <c r="H537"/>
      <c r="I537"/>
      <c r="J537"/>
      <c r="K537"/>
      <c r="L537"/>
      <c r="M537"/>
      <c r="N537"/>
      <c r="O537"/>
      <c r="P537"/>
      <c r="Q537"/>
      <c r="R537"/>
      <c r="S537"/>
      <c r="T537"/>
      <c r="U537"/>
      <c r="V537"/>
      <c r="W537"/>
      <c r="X537"/>
      <c r="Y537"/>
      <c r="Z537"/>
      <c r="AA537"/>
      <c r="AB537"/>
      <c r="AC537"/>
    </row>
    <row r="538" spans="1:29" s="82" customFormat="1" x14ac:dyDescent="0.25">
      <c r="A538"/>
      <c r="B538"/>
      <c r="C538"/>
      <c r="D538"/>
      <c r="E538"/>
      <c r="F538"/>
      <c r="G538"/>
      <c r="H538"/>
      <c r="I538"/>
      <c r="J538"/>
      <c r="K538"/>
      <c r="L538"/>
      <c r="M538"/>
      <c r="N538"/>
      <c r="O538"/>
      <c r="P538"/>
      <c r="Q538"/>
      <c r="R538"/>
      <c r="S538"/>
      <c r="T538"/>
      <c r="U538"/>
      <c r="V538"/>
      <c r="W538"/>
      <c r="X538"/>
      <c r="Y538"/>
      <c r="Z538"/>
      <c r="AA538"/>
      <c r="AB538"/>
      <c r="AC538"/>
    </row>
    <row r="539" spans="1:29" s="82" customFormat="1" x14ac:dyDescent="0.25">
      <c r="A539"/>
      <c r="B539"/>
      <c r="C539"/>
      <c r="D539"/>
      <c r="E539"/>
      <c r="F539"/>
      <c r="G539"/>
      <c r="H539"/>
      <c r="I539"/>
      <c r="J539"/>
      <c r="K539"/>
      <c r="L539"/>
      <c r="M539"/>
      <c r="N539"/>
      <c r="O539"/>
      <c r="P539"/>
      <c r="Q539"/>
      <c r="R539"/>
      <c r="S539"/>
      <c r="T539"/>
      <c r="U539"/>
      <c r="V539"/>
      <c r="W539"/>
      <c r="X539"/>
      <c r="Y539"/>
      <c r="Z539"/>
      <c r="AA539"/>
      <c r="AB539"/>
      <c r="AC539"/>
    </row>
    <row r="540" spans="1:29" s="82" customFormat="1" x14ac:dyDescent="0.25">
      <c r="A540"/>
      <c r="B540"/>
      <c r="C540"/>
      <c r="D540"/>
      <c r="E540"/>
      <c r="F540"/>
      <c r="G540"/>
      <c r="H540"/>
      <c r="I540"/>
      <c r="J540"/>
      <c r="K540"/>
      <c r="L540"/>
      <c r="M540"/>
      <c r="N540"/>
      <c r="O540"/>
      <c r="P540"/>
      <c r="Q540"/>
      <c r="R540"/>
      <c r="S540"/>
      <c r="T540"/>
      <c r="U540"/>
      <c r="V540"/>
      <c r="W540"/>
      <c r="X540"/>
      <c r="Y540"/>
      <c r="Z540"/>
      <c r="AA540"/>
      <c r="AB540"/>
      <c r="AC540"/>
    </row>
    <row r="541" spans="1:29" s="82" customFormat="1" x14ac:dyDescent="0.25">
      <c r="A541"/>
      <c r="B541"/>
      <c r="C541"/>
      <c r="D541"/>
      <c r="E541"/>
      <c r="F541"/>
      <c r="G541"/>
      <c r="H541"/>
      <c r="I541"/>
      <c r="J541"/>
      <c r="K541"/>
      <c r="L541"/>
      <c r="M541"/>
      <c r="N541"/>
      <c r="O541"/>
      <c r="P541"/>
      <c r="Q541"/>
      <c r="R541"/>
      <c r="S541"/>
      <c r="T541"/>
      <c r="U541"/>
      <c r="V541"/>
      <c r="W541"/>
      <c r="X541"/>
      <c r="Y541"/>
      <c r="Z541"/>
      <c r="AA541"/>
      <c r="AB541"/>
      <c r="AC541"/>
    </row>
    <row r="542" spans="1:29" s="82" customFormat="1" x14ac:dyDescent="0.25">
      <c r="A542"/>
      <c r="B542"/>
      <c r="C542"/>
      <c r="D542"/>
      <c r="E542"/>
      <c r="F542"/>
      <c r="G542"/>
      <c r="H542"/>
      <c r="I542"/>
      <c r="J542"/>
      <c r="K542"/>
      <c r="L542"/>
      <c r="M542"/>
      <c r="N542"/>
      <c r="O542"/>
      <c r="P542"/>
      <c r="Q542"/>
      <c r="R542"/>
      <c r="S542"/>
      <c r="T542"/>
      <c r="U542"/>
      <c r="V542"/>
      <c r="W542"/>
      <c r="X542"/>
      <c r="Y542"/>
      <c r="Z542"/>
      <c r="AA542"/>
      <c r="AB542"/>
      <c r="AC542"/>
    </row>
    <row r="543" spans="1:29" s="82" customFormat="1" x14ac:dyDescent="0.25">
      <c r="A543"/>
      <c r="B543"/>
      <c r="C543"/>
      <c r="D543"/>
      <c r="E543"/>
      <c r="F543"/>
      <c r="G543"/>
      <c r="H543"/>
      <c r="I543"/>
      <c r="J543"/>
      <c r="K543"/>
      <c r="L543"/>
      <c r="M543"/>
      <c r="N543"/>
      <c r="O543"/>
      <c r="P543"/>
      <c r="Q543"/>
      <c r="R543"/>
      <c r="S543"/>
      <c r="T543"/>
      <c r="U543"/>
      <c r="V543"/>
      <c r="W543"/>
      <c r="X543"/>
      <c r="Y543"/>
      <c r="Z543"/>
      <c r="AA543"/>
      <c r="AB543"/>
      <c r="AC543"/>
    </row>
    <row r="544" spans="1:29" s="82" customFormat="1" x14ac:dyDescent="0.25">
      <c r="A544"/>
      <c r="B544"/>
      <c r="C544"/>
      <c r="D544"/>
      <c r="E544"/>
      <c r="F544"/>
      <c r="G544"/>
      <c r="H544"/>
      <c r="I544"/>
      <c r="J544"/>
      <c r="K544"/>
      <c r="L544"/>
      <c r="M544"/>
      <c r="N544"/>
      <c r="O544"/>
      <c r="P544"/>
      <c r="Q544"/>
      <c r="R544"/>
      <c r="S544"/>
      <c r="T544"/>
      <c r="U544"/>
      <c r="V544"/>
      <c r="W544"/>
      <c r="X544"/>
      <c r="Y544"/>
      <c r="Z544"/>
      <c r="AA544"/>
      <c r="AB544"/>
      <c r="AC544"/>
    </row>
    <row r="545" spans="1:29" s="82" customFormat="1" x14ac:dyDescent="0.25">
      <c r="A545"/>
      <c r="B545"/>
      <c r="C545"/>
      <c r="D545"/>
      <c r="E545"/>
      <c r="F545"/>
      <c r="G545"/>
      <c r="H545"/>
      <c r="I545"/>
      <c r="J545"/>
      <c r="K545"/>
      <c r="L545"/>
      <c r="M545"/>
      <c r="N545"/>
      <c r="O545"/>
      <c r="P545"/>
      <c r="Q545"/>
      <c r="R545"/>
      <c r="S545"/>
      <c r="T545"/>
      <c r="U545"/>
      <c r="V545"/>
      <c r="W545"/>
      <c r="X545"/>
      <c r="Y545"/>
      <c r="Z545"/>
      <c r="AA545"/>
      <c r="AB545"/>
      <c r="AC545"/>
    </row>
    <row r="546" spans="1:29" s="82" customFormat="1" x14ac:dyDescent="0.25">
      <c r="A546"/>
      <c r="B546"/>
      <c r="C546"/>
      <c r="D546"/>
      <c r="E546"/>
      <c r="F546"/>
      <c r="G546"/>
      <c r="H546"/>
      <c r="I546"/>
      <c r="J546"/>
      <c r="K546"/>
      <c r="L546"/>
      <c r="M546"/>
      <c r="N546"/>
      <c r="O546"/>
      <c r="P546"/>
      <c r="Q546"/>
      <c r="R546"/>
      <c r="S546"/>
      <c r="T546"/>
      <c r="U546"/>
      <c r="V546"/>
      <c r="W546"/>
      <c r="X546"/>
      <c r="Y546"/>
      <c r="Z546"/>
      <c r="AA546"/>
      <c r="AB546"/>
      <c r="AC546"/>
    </row>
    <row r="547" spans="1:29" s="82" customFormat="1" x14ac:dyDescent="0.25">
      <c r="A547"/>
      <c r="B547"/>
      <c r="C547"/>
      <c r="D547"/>
      <c r="E547"/>
      <c r="F547"/>
      <c r="G547"/>
      <c r="H547"/>
      <c r="I547"/>
      <c r="J547"/>
      <c r="K547"/>
      <c r="L547"/>
      <c r="M547"/>
      <c r="N547"/>
      <c r="O547"/>
      <c r="P547"/>
      <c r="Q547"/>
      <c r="R547"/>
      <c r="S547"/>
      <c r="T547"/>
      <c r="U547"/>
      <c r="V547"/>
      <c r="W547"/>
      <c r="X547"/>
      <c r="Y547"/>
      <c r="Z547"/>
      <c r="AA547"/>
      <c r="AB547"/>
      <c r="AC547"/>
    </row>
    <row r="548" spans="1:29" s="82" customFormat="1" x14ac:dyDescent="0.25">
      <c r="A548"/>
      <c r="B548"/>
      <c r="C548"/>
      <c r="D548"/>
      <c r="E548"/>
      <c r="F548"/>
      <c r="G548"/>
      <c r="H548"/>
      <c r="I548"/>
      <c r="J548"/>
      <c r="K548"/>
      <c r="L548"/>
      <c r="M548"/>
      <c r="N548"/>
      <c r="O548"/>
      <c r="P548"/>
      <c r="Q548"/>
      <c r="R548"/>
      <c r="S548"/>
      <c r="T548"/>
      <c r="U548"/>
      <c r="V548"/>
      <c r="W548"/>
      <c r="X548"/>
      <c r="Y548"/>
      <c r="Z548"/>
      <c r="AA548"/>
      <c r="AB548"/>
      <c r="AC548"/>
    </row>
    <row r="549" spans="1:29" s="82" customFormat="1" x14ac:dyDescent="0.25">
      <c r="A549"/>
      <c r="B549"/>
      <c r="C549"/>
      <c r="D549"/>
      <c r="E549"/>
      <c r="F549"/>
      <c r="G549"/>
      <c r="H549"/>
      <c r="I549"/>
      <c r="J549"/>
      <c r="K549"/>
      <c r="L549"/>
      <c r="M549"/>
      <c r="N549"/>
      <c r="O549"/>
      <c r="P549"/>
      <c r="Q549"/>
      <c r="R549"/>
      <c r="S549"/>
      <c r="T549"/>
      <c r="U549"/>
      <c r="V549"/>
      <c r="W549"/>
      <c r="X549"/>
      <c r="Y549"/>
      <c r="Z549"/>
      <c r="AA549"/>
      <c r="AB549"/>
      <c r="AC549"/>
    </row>
    <row r="550" spans="1:29" s="82" customFormat="1" x14ac:dyDescent="0.25">
      <c r="A550"/>
      <c r="B550"/>
      <c r="C550"/>
      <c r="D550"/>
      <c r="E550"/>
      <c r="F550"/>
      <c r="G550"/>
      <c r="H550"/>
      <c r="I550"/>
      <c r="J550"/>
      <c r="K550"/>
      <c r="L550"/>
      <c r="M550"/>
      <c r="N550"/>
      <c r="O550"/>
      <c r="P550"/>
      <c r="Q550"/>
      <c r="R550"/>
      <c r="S550"/>
      <c r="T550"/>
      <c r="U550"/>
      <c r="V550"/>
      <c r="W550"/>
      <c r="X550"/>
      <c r="Y550"/>
      <c r="Z550"/>
      <c r="AA550"/>
      <c r="AB550"/>
      <c r="AC550"/>
    </row>
    <row r="551" spans="1:29" s="82" customFormat="1" x14ac:dyDescent="0.25">
      <c r="A551"/>
      <c r="B551"/>
      <c r="C551"/>
      <c r="D551"/>
      <c r="E551"/>
      <c r="F551"/>
      <c r="G551"/>
      <c r="H551"/>
      <c r="I551"/>
      <c r="J551"/>
      <c r="K551"/>
      <c r="L551"/>
      <c r="M551"/>
      <c r="N551"/>
      <c r="O551"/>
      <c r="P551"/>
      <c r="Q551"/>
      <c r="R551"/>
      <c r="S551"/>
      <c r="T551"/>
      <c r="U551"/>
      <c r="V551"/>
      <c r="W551"/>
      <c r="X551"/>
      <c r="Y551"/>
      <c r="Z551"/>
      <c r="AA551"/>
      <c r="AB551"/>
      <c r="AC551"/>
    </row>
    <row r="552" spans="1:29" s="82" customFormat="1" x14ac:dyDescent="0.25">
      <c r="A552"/>
      <c r="B552"/>
      <c r="C552"/>
      <c r="D552"/>
      <c r="E552"/>
      <c r="F552"/>
      <c r="G552"/>
      <c r="H552"/>
      <c r="I552"/>
      <c r="J552"/>
      <c r="K552"/>
      <c r="L552"/>
      <c r="M552"/>
      <c r="N552"/>
      <c r="O552"/>
      <c r="P552"/>
      <c r="Q552"/>
      <c r="R552"/>
      <c r="S552"/>
      <c r="T552"/>
      <c r="U552"/>
      <c r="V552"/>
      <c r="W552"/>
      <c r="X552"/>
      <c r="Y552"/>
      <c r="Z552"/>
      <c r="AA552"/>
      <c r="AB552"/>
      <c r="AC552"/>
    </row>
    <row r="553" spans="1:29" s="82" customFormat="1" x14ac:dyDescent="0.25">
      <c r="A553"/>
      <c r="B553"/>
      <c r="C553"/>
      <c r="D553"/>
      <c r="E553"/>
      <c r="F553"/>
      <c r="G553"/>
      <c r="H553"/>
      <c r="I553"/>
      <c r="J553"/>
      <c r="K553"/>
      <c r="L553"/>
      <c r="M553"/>
      <c r="N553"/>
      <c r="O553"/>
      <c r="P553"/>
      <c r="Q553"/>
      <c r="R553"/>
      <c r="S553"/>
      <c r="T553"/>
      <c r="U553"/>
      <c r="V553"/>
      <c r="W553"/>
      <c r="X553"/>
      <c r="Y553"/>
      <c r="Z553"/>
      <c r="AA553"/>
      <c r="AB553"/>
      <c r="AC553"/>
    </row>
    <row r="554" spans="1:29" s="82" customFormat="1" x14ac:dyDescent="0.25">
      <c r="A554"/>
      <c r="B554"/>
      <c r="C554"/>
      <c r="D554"/>
      <c r="E554"/>
      <c r="F554"/>
      <c r="G554"/>
      <c r="H554"/>
      <c r="I554"/>
      <c r="J554"/>
      <c r="K554"/>
      <c r="L554"/>
      <c r="M554"/>
      <c r="N554"/>
      <c r="O554"/>
      <c r="P554"/>
      <c r="Q554"/>
      <c r="R554"/>
      <c r="S554"/>
      <c r="T554"/>
      <c r="U554"/>
      <c r="V554"/>
      <c r="W554"/>
      <c r="X554"/>
      <c r="Y554"/>
      <c r="Z554"/>
      <c r="AA554"/>
      <c r="AB554"/>
      <c r="AC554"/>
    </row>
    <row r="555" spans="1:29" s="82" customFormat="1" x14ac:dyDescent="0.25">
      <c r="A555"/>
      <c r="B555"/>
      <c r="C555"/>
      <c r="D555"/>
      <c r="E555"/>
      <c r="F555"/>
      <c r="G555"/>
      <c r="H555"/>
      <c r="I555"/>
      <c r="J555"/>
      <c r="K555"/>
      <c r="L555"/>
      <c r="M555"/>
      <c r="N555"/>
      <c r="O555"/>
      <c r="P555"/>
      <c r="Q555"/>
      <c r="R555"/>
      <c r="S555"/>
      <c r="T555"/>
      <c r="U555"/>
      <c r="V555"/>
      <c r="W555"/>
      <c r="X555"/>
      <c r="Y555"/>
      <c r="Z555"/>
      <c r="AA555"/>
      <c r="AB555"/>
      <c r="AC555"/>
    </row>
    <row r="556" spans="1:29" s="82" customFormat="1" x14ac:dyDescent="0.25">
      <c r="A556"/>
      <c r="B556"/>
      <c r="C556"/>
      <c r="D556"/>
      <c r="E556"/>
      <c r="F556"/>
      <c r="G556"/>
      <c r="H556"/>
      <c r="I556"/>
      <c r="J556"/>
      <c r="K556"/>
      <c r="L556"/>
      <c r="M556"/>
      <c r="N556"/>
      <c r="O556"/>
      <c r="P556"/>
      <c r="Q556"/>
      <c r="R556"/>
      <c r="S556"/>
      <c r="T556"/>
      <c r="U556"/>
      <c r="V556"/>
      <c r="W556"/>
      <c r="X556"/>
      <c r="Y556"/>
      <c r="Z556"/>
      <c r="AA556"/>
      <c r="AB556"/>
      <c r="AC556"/>
    </row>
    <row r="557" spans="1:29" s="82" customFormat="1" x14ac:dyDescent="0.25">
      <c r="A557"/>
      <c r="B557"/>
      <c r="C557"/>
      <c r="D557"/>
      <c r="E557"/>
      <c r="F557"/>
      <c r="G557"/>
      <c r="H557"/>
      <c r="I557"/>
      <c r="J557"/>
      <c r="K557"/>
      <c r="L557"/>
      <c r="M557"/>
      <c r="N557"/>
      <c r="O557"/>
      <c r="P557"/>
      <c r="Q557"/>
      <c r="R557"/>
      <c r="S557"/>
      <c r="T557"/>
      <c r="U557"/>
      <c r="V557"/>
      <c r="W557"/>
      <c r="X557"/>
      <c r="Y557"/>
      <c r="Z557"/>
      <c r="AA557"/>
      <c r="AB557"/>
      <c r="AC557"/>
    </row>
    <row r="558" spans="1:29" s="82" customFormat="1" x14ac:dyDescent="0.25">
      <c r="A558"/>
      <c r="B558"/>
      <c r="C558"/>
      <c r="D558"/>
      <c r="E558"/>
      <c r="F558"/>
      <c r="G558"/>
      <c r="H558"/>
      <c r="I558"/>
      <c r="J558"/>
      <c r="K558"/>
      <c r="L558"/>
      <c r="M558"/>
      <c r="N558"/>
      <c r="O558"/>
      <c r="P558"/>
      <c r="Q558"/>
      <c r="R558"/>
      <c r="S558"/>
      <c r="T558"/>
      <c r="U558"/>
      <c r="V558"/>
      <c r="W558"/>
      <c r="X558"/>
      <c r="Y558"/>
      <c r="Z558"/>
      <c r="AA558"/>
      <c r="AB558"/>
      <c r="AC558"/>
    </row>
    <row r="559" spans="1:29" s="82" customFormat="1" x14ac:dyDescent="0.25">
      <c r="A559"/>
      <c r="B559"/>
      <c r="C559"/>
      <c r="D559"/>
      <c r="E559"/>
      <c r="F559"/>
      <c r="G559"/>
      <c r="H559"/>
      <c r="I559"/>
      <c r="J559"/>
      <c r="K559"/>
      <c r="L559"/>
      <c r="M559"/>
      <c r="N559"/>
      <c r="O559"/>
      <c r="P559"/>
      <c r="Q559"/>
      <c r="R559"/>
      <c r="S559"/>
      <c r="T559"/>
      <c r="U559"/>
      <c r="V559"/>
      <c r="W559"/>
      <c r="X559"/>
      <c r="Y559"/>
      <c r="Z559"/>
      <c r="AA559"/>
      <c r="AB559"/>
      <c r="AC559"/>
    </row>
    <row r="560" spans="1:29" s="82" customFormat="1" x14ac:dyDescent="0.25">
      <c r="A560"/>
      <c r="B560"/>
      <c r="C560"/>
      <c r="D560"/>
      <c r="E560"/>
      <c r="F560"/>
      <c r="G560"/>
      <c r="H560"/>
      <c r="I560"/>
      <c r="J560"/>
      <c r="K560"/>
      <c r="L560"/>
      <c r="M560"/>
      <c r="N560"/>
      <c r="O560"/>
      <c r="P560"/>
      <c r="Q560"/>
      <c r="R560"/>
      <c r="S560"/>
      <c r="T560"/>
      <c r="U560"/>
      <c r="V560"/>
      <c r="W560"/>
      <c r="X560"/>
      <c r="Y560"/>
      <c r="Z560"/>
      <c r="AA560"/>
      <c r="AB560"/>
      <c r="AC560"/>
    </row>
    <row r="561" spans="1:29" s="82" customFormat="1" x14ac:dyDescent="0.25">
      <c r="A561"/>
      <c r="B561"/>
      <c r="C561"/>
      <c r="D561"/>
      <c r="E561"/>
      <c r="F561"/>
      <c r="G561"/>
      <c r="H561"/>
      <c r="I561"/>
      <c r="J561"/>
      <c r="K561"/>
      <c r="L561"/>
      <c r="M561"/>
      <c r="N561"/>
      <c r="O561"/>
      <c r="P561"/>
      <c r="Q561"/>
      <c r="R561"/>
      <c r="S561"/>
      <c r="T561"/>
      <c r="U561"/>
      <c r="V561"/>
      <c r="W561"/>
      <c r="X561"/>
      <c r="Y561"/>
      <c r="Z561"/>
      <c r="AA561"/>
      <c r="AB561"/>
      <c r="AC561"/>
    </row>
    <row r="562" spans="1:29" s="82" customFormat="1" x14ac:dyDescent="0.25">
      <c r="A562"/>
      <c r="B562"/>
      <c r="C562"/>
      <c r="D562"/>
      <c r="E562"/>
      <c r="F562"/>
      <c r="G562"/>
      <c r="H562"/>
      <c r="I562"/>
      <c r="J562"/>
      <c r="K562"/>
      <c r="L562"/>
      <c r="M562"/>
      <c r="N562"/>
      <c r="O562"/>
      <c r="P562"/>
      <c r="Q562"/>
      <c r="R562"/>
      <c r="S562"/>
      <c r="T562"/>
      <c r="U562"/>
      <c r="V562"/>
      <c r="W562"/>
      <c r="X562"/>
      <c r="Y562"/>
      <c r="Z562"/>
      <c r="AA562"/>
      <c r="AB562"/>
      <c r="AC562"/>
    </row>
    <row r="563" spans="1:29" s="82" customFormat="1" x14ac:dyDescent="0.25">
      <c r="A563"/>
      <c r="B563"/>
      <c r="C563"/>
      <c r="D563"/>
      <c r="E563"/>
      <c r="F563"/>
      <c r="G563"/>
      <c r="H563"/>
      <c r="I563"/>
      <c r="J563"/>
      <c r="K563"/>
      <c r="L563"/>
      <c r="M563"/>
      <c r="N563"/>
      <c r="O563"/>
      <c r="P563"/>
      <c r="Q563"/>
      <c r="R563"/>
      <c r="S563"/>
      <c r="T563"/>
      <c r="U563"/>
      <c r="V563"/>
      <c r="W563"/>
      <c r="X563"/>
      <c r="Y563"/>
      <c r="Z563"/>
      <c r="AA563"/>
      <c r="AB563"/>
      <c r="AC563"/>
    </row>
    <row r="564" spans="1:29" s="82" customFormat="1" x14ac:dyDescent="0.25">
      <c r="A564"/>
      <c r="B564"/>
      <c r="C564"/>
      <c r="D564"/>
      <c r="E564"/>
      <c r="F564"/>
      <c r="G564"/>
      <c r="H564"/>
      <c r="I564"/>
      <c r="J564"/>
      <c r="K564"/>
      <c r="L564"/>
      <c r="M564"/>
      <c r="N564"/>
      <c r="O564"/>
      <c r="P564"/>
      <c r="Q564"/>
      <c r="R564"/>
      <c r="S564"/>
      <c r="T564"/>
      <c r="U564"/>
      <c r="V564"/>
      <c r="W564"/>
      <c r="X564"/>
      <c r="Y564"/>
      <c r="Z564"/>
      <c r="AA564"/>
      <c r="AB564"/>
      <c r="AC564"/>
    </row>
    <row r="565" spans="1:29" s="82" customFormat="1" x14ac:dyDescent="0.25">
      <c r="A565"/>
      <c r="B565"/>
      <c r="C565"/>
      <c r="D565"/>
      <c r="E565"/>
      <c r="F565"/>
      <c r="G565"/>
      <c r="H565"/>
      <c r="I565"/>
      <c r="J565"/>
      <c r="K565"/>
      <c r="L565"/>
      <c r="M565"/>
      <c r="N565"/>
      <c r="O565"/>
      <c r="P565"/>
      <c r="Q565"/>
      <c r="R565"/>
      <c r="S565"/>
      <c r="T565"/>
      <c r="U565"/>
      <c r="V565"/>
      <c r="W565"/>
      <c r="X565"/>
      <c r="Y565"/>
      <c r="Z565"/>
      <c r="AA565"/>
      <c r="AB565"/>
      <c r="AC565"/>
    </row>
    <row r="566" spans="1:29" s="82" customFormat="1" x14ac:dyDescent="0.25">
      <c r="A566"/>
      <c r="B566"/>
      <c r="C566"/>
      <c r="D566"/>
      <c r="E566"/>
      <c r="F566"/>
      <c r="G566"/>
      <c r="H566"/>
      <c r="I566"/>
      <c r="J566"/>
      <c r="K566"/>
      <c r="L566"/>
      <c r="M566"/>
      <c r="N566"/>
      <c r="O566"/>
      <c r="P566"/>
      <c r="Q566"/>
      <c r="R566"/>
      <c r="S566"/>
      <c r="T566"/>
      <c r="U566"/>
      <c r="V566"/>
      <c r="W566"/>
      <c r="X566"/>
      <c r="Y566"/>
      <c r="Z566"/>
      <c r="AA566"/>
      <c r="AB566"/>
      <c r="AC566"/>
    </row>
    <row r="567" spans="1:29" s="82" customFormat="1" x14ac:dyDescent="0.25">
      <c r="A567"/>
      <c r="B567"/>
      <c r="C567"/>
      <c r="D567"/>
      <c r="E567"/>
      <c r="F567"/>
      <c r="G567"/>
      <c r="H567"/>
      <c r="I567"/>
      <c r="J567"/>
      <c r="K567"/>
      <c r="L567"/>
      <c r="M567"/>
      <c r="N567"/>
      <c r="O567"/>
      <c r="P567"/>
      <c r="Q567"/>
      <c r="R567"/>
      <c r="S567"/>
      <c r="T567"/>
      <c r="U567"/>
      <c r="V567"/>
      <c r="W567"/>
      <c r="X567"/>
      <c r="Y567"/>
      <c r="Z567"/>
      <c r="AA567"/>
      <c r="AB567"/>
      <c r="AC567"/>
    </row>
    <row r="568" spans="1:29" s="82" customFormat="1" x14ac:dyDescent="0.25">
      <c r="A568"/>
      <c r="B568"/>
      <c r="C568"/>
      <c r="D568"/>
      <c r="E568"/>
      <c r="F568"/>
      <c r="G568"/>
      <c r="H568"/>
      <c r="I568"/>
      <c r="J568"/>
      <c r="K568"/>
      <c r="L568"/>
      <c r="M568"/>
      <c r="N568"/>
      <c r="O568"/>
      <c r="P568"/>
      <c r="Q568"/>
      <c r="R568"/>
      <c r="S568"/>
      <c r="T568"/>
      <c r="U568"/>
      <c r="V568"/>
      <c r="W568"/>
      <c r="X568"/>
      <c r="Y568"/>
      <c r="Z568"/>
      <c r="AA568"/>
      <c r="AB568"/>
      <c r="AC568"/>
    </row>
    <row r="569" spans="1:29" s="82" customFormat="1" x14ac:dyDescent="0.25">
      <c r="A569"/>
      <c r="B569"/>
      <c r="C569"/>
      <c r="D569"/>
      <c r="E569"/>
      <c r="F569"/>
      <c r="G569"/>
      <c r="H569"/>
      <c r="I569"/>
      <c r="J569"/>
      <c r="K569"/>
      <c r="L569"/>
      <c r="M569"/>
      <c r="N569"/>
      <c r="O569"/>
      <c r="P569"/>
      <c r="Q569"/>
      <c r="R569"/>
      <c r="S569"/>
      <c r="T569"/>
      <c r="U569"/>
      <c r="V569"/>
      <c r="W569"/>
      <c r="X569"/>
      <c r="Y569"/>
      <c r="Z569"/>
      <c r="AA569"/>
      <c r="AB569"/>
      <c r="AC569"/>
    </row>
    <row r="570" spans="1:29" s="82" customFormat="1" x14ac:dyDescent="0.25">
      <c r="A570"/>
      <c r="B570"/>
      <c r="C570"/>
      <c r="D570"/>
      <c r="E570"/>
      <c r="F570"/>
      <c r="G570"/>
      <c r="H570"/>
      <c r="I570"/>
      <c r="J570"/>
      <c r="K570"/>
      <c r="L570"/>
      <c r="M570"/>
      <c r="N570"/>
      <c r="O570"/>
      <c r="P570"/>
      <c r="Q570"/>
      <c r="R570"/>
      <c r="S570"/>
      <c r="T570"/>
      <c r="U570"/>
      <c r="V570"/>
      <c r="W570"/>
      <c r="X570"/>
      <c r="Y570"/>
      <c r="Z570"/>
      <c r="AA570"/>
      <c r="AB570"/>
      <c r="AC570"/>
    </row>
    <row r="571" spans="1:29" s="82" customFormat="1" x14ac:dyDescent="0.25">
      <c r="A571"/>
      <c r="B571"/>
      <c r="C571"/>
      <c r="D571"/>
      <c r="E571"/>
      <c r="F571"/>
      <c r="G571"/>
      <c r="H571"/>
      <c r="I571"/>
      <c r="J571"/>
      <c r="K571"/>
      <c r="L571"/>
      <c r="M571"/>
      <c r="N571"/>
      <c r="O571"/>
      <c r="P571"/>
      <c r="Q571"/>
      <c r="R571"/>
      <c r="S571"/>
      <c r="T571"/>
      <c r="U571"/>
      <c r="V571"/>
      <c r="W571"/>
      <c r="X571"/>
      <c r="Y571"/>
      <c r="Z571"/>
      <c r="AA571"/>
      <c r="AB571"/>
      <c r="AC571"/>
    </row>
    <row r="572" spans="1:29" s="82" customFormat="1" x14ac:dyDescent="0.25">
      <c r="A572"/>
      <c r="B572"/>
      <c r="C572"/>
      <c r="D572"/>
      <c r="E572"/>
      <c r="F572"/>
      <c r="G572"/>
      <c r="H572"/>
      <c r="I572"/>
      <c r="J572"/>
      <c r="K572"/>
      <c r="L572"/>
      <c r="M572"/>
      <c r="N572"/>
      <c r="O572"/>
      <c r="P572"/>
      <c r="Q572"/>
      <c r="R572"/>
      <c r="S572"/>
      <c r="T572"/>
      <c r="U572"/>
      <c r="V572"/>
      <c r="W572"/>
      <c r="X572"/>
      <c r="Y572"/>
      <c r="Z572"/>
      <c r="AA572"/>
      <c r="AB572"/>
      <c r="AC572"/>
    </row>
    <row r="573" spans="1:29" s="82" customFormat="1" x14ac:dyDescent="0.25">
      <c r="A573"/>
      <c r="B573"/>
      <c r="C573"/>
      <c r="D573"/>
      <c r="E573"/>
      <c r="F573"/>
      <c r="G573"/>
      <c r="H573"/>
      <c r="I573"/>
      <c r="J573"/>
      <c r="K573"/>
      <c r="L573"/>
      <c r="M573"/>
      <c r="N573"/>
      <c r="O573"/>
      <c r="P573"/>
      <c r="Q573"/>
      <c r="R573"/>
      <c r="S573"/>
      <c r="T573"/>
      <c r="U573"/>
      <c r="V573"/>
      <c r="W573"/>
      <c r="X573"/>
      <c r="Y573"/>
      <c r="Z573"/>
      <c r="AA573"/>
      <c r="AB573"/>
      <c r="AC573"/>
    </row>
    <row r="574" spans="1:29" s="82" customFormat="1" x14ac:dyDescent="0.25">
      <c r="A574"/>
      <c r="B574"/>
      <c r="C574"/>
      <c r="D574"/>
      <c r="E574"/>
      <c r="F574"/>
      <c r="G574"/>
      <c r="H574"/>
      <c r="I574"/>
      <c r="J574"/>
      <c r="K574"/>
      <c r="L574"/>
      <c r="M574"/>
      <c r="N574"/>
      <c r="O574"/>
      <c r="P574"/>
      <c r="Q574"/>
      <c r="R574"/>
      <c r="S574"/>
      <c r="T574"/>
      <c r="U574"/>
      <c r="V574"/>
      <c r="W574"/>
      <c r="X574"/>
      <c r="Y574"/>
      <c r="Z574"/>
      <c r="AA574"/>
      <c r="AB574"/>
      <c r="AC574"/>
    </row>
    <row r="575" spans="1:29" s="82" customFormat="1" x14ac:dyDescent="0.25">
      <c r="A575"/>
      <c r="B575"/>
      <c r="C575"/>
      <c r="D575"/>
      <c r="E575"/>
      <c r="F575"/>
      <c r="G575"/>
      <c r="H575"/>
      <c r="I575"/>
      <c r="J575"/>
      <c r="K575"/>
      <c r="L575"/>
      <c r="M575"/>
      <c r="N575"/>
      <c r="O575"/>
      <c r="P575"/>
      <c r="Q575"/>
      <c r="R575"/>
      <c r="S575"/>
      <c r="T575"/>
      <c r="U575"/>
      <c r="V575"/>
      <c r="W575"/>
      <c r="X575"/>
      <c r="Y575"/>
      <c r="Z575"/>
      <c r="AA575"/>
      <c r="AB575"/>
      <c r="AC575"/>
    </row>
    <row r="576" spans="1:29" s="82" customFormat="1" x14ac:dyDescent="0.25">
      <c r="A576"/>
      <c r="B576"/>
      <c r="C576"/>
      <c r="D576"/>
      <c r="E576"/>
      <c r="F576"/>
      <c r="G576"/>
      <c r="H576"/>
      <c r="I576"/>
      <c r="J576"/>
      <c r="K576"/>
      <c r="L576"/>
      <c r="M576"/>
      <c r="N576"/>
      <c r="O576"/>
      <c r="P576"/>
      <c r="Q576"/>
      <c r="R576"/>
      <c r="S576"/>
      <c r="T576"/>
      <c r="U576"/>
      <c r="V576"/>
      <c r="W576"/>
      <c r="X576"/>
      <c r="Y576"/>
      <c r="Z576"/>
      <c r="AA576"/>
      <c r="AB576"/>
      <c r="AC576"/>
    </row>
    <row r="577" spans="1:29" s="82" customFormat="1" x14ac:dyDescent="0.25">
      <c r="A577"/>
      <c r="B577"/>
      <c r="C577"/>
      <c r="D577"/>
      <c r="E577"/>
      <c r="F577"/>
      <c r="G577"/>
      <c r="H577"/>
      <c r="I577"/>
      <c r="J577"/>
      <c r="K577"/>
      <c r="L577"/>
      <c r="M577"/>
      <c r="N577"/>
      <c r="O577"/>
      <c r="P577"/>
      <c r="Q577"/>
      <c r="R577"/>
      <c r="S577"/>
      <c r="T577"/>
      <c r="U577"/>
      <c r="V577"/>
      <c r="W577"/>
      <c r="X577"/>
      <c r="Y577"/>
      <c r="Z577"/>
      <c r="AA577"/>
      <c r="AB577"/>
      <c r="AC577"/>
    </row>
    <row r="578" spans="1:29" s="82" customFormat="1" x14ac:dyDescent="0.25">
      <c r="A578"/>
      <c r="B578"/>
      <c r="C578"/>
      <c r="D578"/>
      <c r="E578"/>
      <c r="F578"/>
      <c r="G578"/>
      <c r="H578"/>
      <c r="I578"/>
      <c r="J578"/>
      <c r="K578"/>
      <c r="L578"/>
      <c r="M578"/>
      <c r="N578"/>
      <c r="O578"/>
      <c r="P578"/>
      <c r="Q578"/>
      <c r="R578"/>
      <c r="S578"/>
      <c r="T578"/>
      <c r="U578"/>
      <c r="V578"/>
      <c r="W578"/>
      <c r="X578"/>
      <c r="Y578"/>
      <c r="Z578"/>
      <c r="AA578"/>
      <c r="AB578"/>
      <c r="AC578"/>
    </row>
    <row r="579" spans="1:29" s="82" customFormat="1" x14ac:dyDescent="0.25">
      <c r="A579"/>
      <c r="B579"/>
      <c r="C579"/>
      <c r="D579"/>
      <c r="E579"/>
      <c r="F579"/>
      <c r="G579"/>
      <c r="H579"/>
      <c r="I579"/>
      <c r="J579"/>
      <c r="K579"/>
      <c r="L579"/>
      <c r="M579"/>
      <c r="N579"/>
      <c r="O579"/>
      <c r="P579"/>
      <c r="Q579"/>
      <c r="R579"/>
      <c r="S579"/>
      <c r="T579"/>
      <c r="U579"/>
      <c r="V579"/>
      <c r="W579"/>
      <c r="X579"/>
      <c r="Y579"/>
      <c r="Z579"/>
      <c r="AA579"/>
      <c r="AB579"/>
      <c r="AC579"/>
    </row>
    <row r="580" spans="1:29" s="82" customFormat="1" x14ac:dyDescent="0.25">
      <c r="A580"/>
      <c r="B580"/>
      <c r="C580"/>
      <c r="D580"/>
      <c r="E580"/>
      <c r="F580"/>
      <c r="G580"/>
      <c r="H580"/>
      <c r="I580"/>
      <c r="J580"/>
      <c r="K580"/>
      <c r="L580"/>
      <c r="M580"/>
      <c r="N580"/>
      <c r="O580"/>
      <c r="P580"/>
      <c r="Q580"/>
      <c r="R580"/>
      <c r="S580"/>
      <c r="T580"/>
      <c r="U580"/>
      <c r="V580"/>
      <c r="W580"/>
      <c r="X580"/>
      <c r="Y580"/>
      <c r="Z580"/>
      <c r="AA580"/>
      <c r="AB580"/>
      <c r="AC580"/>
    </row>
    <row r="581" spans="1:29" s="82" customFormat="1" x14ac:dyDescent="0.25">
      <c r="A581"/>
      <c r="B581"/>
      <c r="C581"/>
      <c r="D581"/>
      <c r="E581"/>
      <c r="F581"/>
      <c r="G581"/>
      <c r="H581"/>
      <c r="I581"/>
      <c r="J581"/>
      <c r="K581"/>
      <c r="L581"/>
      <c r="M581"/>
      <c r="N581"/>
      <c r="O581"/>
      <c r="P581"/>
      <c r="Q581"/>
      <c r="R581"/>
      <c r="S581"/>
      <c r="T581"/>
      <c r="U581"/>
      <c r="V581"/>
      <c r="W581"/>
      <c r="X581"/>
      <c r="Y581"/>
      <c r="Z581"/>
      <c r="AA581"/>
      <c r="AB581"/>
      <c r="AC581"/>
    </row>
    <row r="582" spans="1:29" s="82" customFormat="1" x14ac:dyDescent="0.25">
      <c r="A582"/>
      <c r="B582"/>
      <c r="C582"/>
      <c r="D582"/>
      <c r="E582"/>
      <c r="F582"/>
      <c r="G582"/>
      <c r="H582"/>
      <c r="I582"/>
      <c r="J582"/>
      <c r="K582"/>
      <c r="L582"/>
      <c r="M582"/>
      <c r="N582"/>
      <c r="O582"/>
      <c r="P582"/>
      <c r="Q582"/>
      <c r="R582"/>
      <c r="S582"/>
      <c r="T582"/>
      <c r="U582"/>
      <c r="V582"/>
      <c r="W582"/>
      <c r="X582"/>
      <c r="Y582"/>
      <c r="Z582"/>
      <c r="AA582"/>
      <c r="AB582"/>
      <c r="AC582"/>
    </row>
    <row r="583" spans="1:29" s="82" customFormat="1" x14ac:dyDescent="0.25">
      <c r="A583"/>
      <c r="B583"/>
      <c r="C583"/>
      <c r="D583"/>
      <c r="E583"/>
      <c r="F583"/>
      <c r="G583"/>
      <c r="H583"/>
      <c r="I583"/>
      <c r="J583"/>
      <c r="K583"/>
      <c r="L583"/>
      <c r="M583"/>
      <c r="N583"/>
      <c r="O583"/>
      <c r="P583"/>
      <c r="Q583"/>
      <c r="R583"/>
      <c r="S583"/>
      <c r="T583"/>
      <c r="U583"/>
      <c r="V583"/>
      <c r="W583"/>
      <c r="X583"/>
      <c r="Y583"/>
      <c r="Z583"/>
      <c r="AA583"/>
      <c r="AB583"/>
      <c r="AC583"/>
    </row>
    <row r="584" spans="1:29" s="82" customFormat="1" x14ac:dyDescent="0.25">
      <c r="A584"/>
      <c r="B584"/>
      <c r="C584"/>
      <c r="D584"/>
      <c r="E584"/>
      <c r="F584"/>
      <c r="G584"/>
      <c r="H584"/>
      <c r="I584"/>
      <c r="J584"/>
      <c r="K584"/>
      <c r="L584"/>
      <c r="M584"/>
      <c r="N584"/>
      <c r="O584"/>
      <c r="P584"/>
      <c r="Q584"/>
      <c r="R584"/>
      <c r="S584"/>
      <c r="T584"/>
      <c r="U584"/>
      <c r="V584"/>
      <c r="W584"/>
      <c r="X584"/>
      <c r="Y584"/>
      <c r="Z584"/>
      <c r="AA584"/>
      <c r="AB584"/>
      <c r="AC584"/>
    </row>
    <row r="585" spans="1:29" s="82" customFormat="1" x14ac:dyDescent="0.25">
      <c r="A585"/>
      <c r="B585"/>
      <c r="C585"/>
      <c r="D585"/>
      <c r="E585"/>
      <c r="F585"/>
      <c r="G585"/>
      <c r="H585"/>
      <c r="I585"/>
      <c r="J585"/>
      <c r="K585"/>
      <c r="L585"/>
      <c r="M585"/>
      <c r="N585"/>
      <c r="O585"/>
      <c r="P585"/>
      <c r="Q585"/>
      <c r="R585"/>
      <c r="S585"/>
      <c r="T585"/>
      <c r="U585"/>
      <c r="V585"/>
      <c r="W585"/>
      <c r="X585"/>
      <c r="Y585"/>
      <c r="Z585"/>
      <c r="AA585"/>
      <c r="AB585"/>
      <c r="AC585"/>
    </row>
    <row r="586" spans="1:29" s="82" customFormat="1" x14ac:dyDescent="0.25">
      <c r="A586"/>
      <c r="B586"/>
      <c r="C586"/>
      <c r="D586"/>
      <c r="E586"/>
      <c r="F586"/>
      <c r="G586"/>
      <c r="H586"/>
      <c r="I586"/>
      <c r="J586"/>
      <c r="K586"/>
      <c r="L586"/>
      <c r="M586"/>
      <c r="N586"/>
      <c r="O586"/>
      <c r="P586"/>
      <c r="Q586"/>
      <c r="R586"/>
      <c r="S586"/>
      <c r="T586"/>
      <c r="U586"/>
      <c r="V586"/>
      <c r="W586"/>
      <c r="X586"/>
      <c r="Y586"/>
      <c r="Z586"/>
      <c r="AA586"/>
      <c r="AB586"/>
      <c r="AC586"/>
    </row>
    <row r="587" spans="1:29" s="82" customFormat="1" x14ac:dyDescent="0.25">
      <c r="A587"/>
      <c r="B587"/>
      <c r="C587"/>
      <c r="D587"/>
      <c r="E587"/>
      <c r="F587"/>
      <c r="G587"/>
      <c r="H587"/>
      <c r="I587"/>
      <c r="J587"/>
      <c r="K587"/>
      <c r="L587"/>
      <c r="M587"/>
      <c r="N587"/>
      <c r="O587"/>
      <c r="P587"/>
      <c r="Q587"/>
      <c r="R587"/>
      <c r="S587"/>
      <c r="T587"/>
      <c r="U587"/>
      <c r="V587"/>
      <c r="W587"/>
      <c r="X587"/>
      <c r="Y587"/>
      <c r="Z587"/>
      <c r="AA587"/>
      <c r="AB587"/>
      <c r="AC587"/>
    </row>
    <row r="588" spans="1:29" s="82" customFormat="1" x14ac:dyDescent="0.25">
      <c r="A588"/>
      <c r="B588"/>
      <c r="C588"/>
      <c r="D588"/>
      <c r="E588"/>
      <c r="F588"/>
      <c r="G588"/>
      <c r="H588"/>
      <c r="I588"/>
      <c r="J588"/>
      <c r="K588"/>
      <c r="L588"/>
      <c r="M588"/>
      <c r="N588"/>
      <c r="O588"/>
      <c r="P588"/>
      <c r="Q588"/>
      <c r="R588"/>
      <c r="S588"/>
      <c r="T588"/>
      <c r="U588"/>
      <c r="V588"/>
      <c r="W588"/>
      <c r="X588"/>
      <c r="Y588"/>
      <c r="Z588"/>
      <c r="AA588"/>
      <c r="AB588"/>
      <c r="AC588"/>
    </row>
    <row r="589" spans="1:29" s="82" customFormat="1" x14ac:dyDescent="0.25">
      <c r="A589"/>
      <c r="B589"/>
      <c r="C589"/>
      <c r="D589"/>
      <c r="E589"/>
      <c r="F589"/>
      <c r="G589"/>
      <c r="H589"/>
      <c r="I589"/>
      <c r="J589"/>
      <c r="K589"/>
      <c r="L589"/>
      <c r="M589"/>
      <c r="N589"/>
      <c r="O589"/>
      <c r="P589"/>
      <c r="Q589"/>
      <c r="R589"/>
      <c r="S589"/>
      <c r="T589"/>
      <c r="U589"/>
      <c r="V589"/>
      <c r="W589"/>
      <c r="X589"/>
      <c r="Y589"/>
      <c r="Z589"/>
      <c r="AA589"/>
      <c r="AB589"/>
      <c r="AC589"/>
    </row>
    <row r="590" spans="1:29" s="82" customFormat="1" x14ac:dyDescent="0.25">
      <c r="A590"/>
      <c r="B590"/>
      <c r="C590"/>
      <c r="D590"/>
      <c r="E590"/>
      <c r="F590"/>
      <c r="G590"/>
      <c r="H590"/>
      <c r="I590"/>
      <c r="J590"/>
      <c r="K590"/>
      <c r="L590"/>
      <c r="M590"/>
      <c r="N590"/>
      <c r="O590"/>
      <c r="P590"/>
      <c r="Q590"/>
      <c r="R590"/>
      <c r="S590"/>
      <c r="T590"/>
      <c r="U590"/>
      <c r="V590"/>
      <c r="W590"/>
      <c r="X590"/>
      <c r="Y590"/>
      <c r="Z590"/>
      <c r="AA590"/>
      <c r="AB590"/>
      <c r="AC590"/>
    </row>
    <row r="591" spans="1:29" s="82" customFormat="1" x14ac:dyDescent="0.25">
      <c r="A591"/>
      <c r="B591"/>
      <c r="C591"/>
      <c r="D591"/>
      <c r="E591"/>
      <c r="F591"/>
      <c r="G591"/>
      <c r="H591"/>
      <c r="I591"/>
      <c r="J591"/>
      <c r="K591"/>
      <c r="L591"/>
      <c r="M591"/>
      <c r="N591"/>
      <c r="O591"/>
      <c r="P591"/>
      <c r="Q591"/>
      <c r="R591"/>
      <c r="S591"/>
      <c r="T591"/>
      <c r="U591"/>
      <c r="V591"/>
      <c r="W591"/>
      <c r="X591"/>
      <c r="Y591"/>
      <c r="Z591"/>
      <c r="AA591"/>
      <c r="AB591"/>
      <c r="AC591"/>
    </row>
    <row r="592" spans="1:29" s="82" customFormat="1" x14ac:dyDescent="0.25">
      <c r="A592"/>
      <c r="B592"/>
      <c r="C592"/>
      <c r="D592"/>
      <c r="E592"/>
      <c r="F592"/>
      <c r="G592"/>
      <c r="H592"/>
      <c r="I592"/>
      <c r="J592"/>
      <c r="K592"/>
      <c r="L592"/>
      <c r="M592"/>
      <c r="N592"/>
      <c r="O592"/>
      <c r="P592"/>
      <c r="Q592"/>
      <c r="R592"/>
      <c r="S592"/>
      <c r="T592"/>
      <c r="U592"/>
      <c r="V592"/>
      <c r="W592"/>
      <c r="X592"/>
      <c r="Y592"/>
      <c r="Z592"/>
      <c r="AA592"/>
      <c r="AB592"/>
      <c r="AC592"/>
    </row>
    <row r="593" spans="1:29" s="82" customFormat="1" x14ac:dyDescent="0.25">
      <c r="A593"/>
      <c r="B593"/>
      <c r="C593"/>
      <c r="D593"/>
      <c r="E593"/>
      <c r="F593"/>
      <c r="G593"/>
      <c r="H593"/>
      <c r="I593"/>
      <c r="J593"/>
      <c r="K593"/>
      <c r="L593"/>
      <c r="M593"/>
      <c r="N593"/>
      <c r="O593"/>
      <c r="P593"/>
      <c r="Q593"/>
      <c r="R593"/>
      <c r="S593"/>
      <c r="T593"/>
      <c r="U593"/>
      <c r="V593"/>
      <c r="W593"/>
      <c r="X593"/>
      <c r="Y593"/>
      <c r="Z593"/>
      <c r="AA593"/>
      <c r="AB593"/>
      <c r="AC593"/>
    </row>
    <row r="594" spans="1:29" s="82" customFormat="1" x14ac:dyDescent="0.25">
      <c r="A594"/>
      <c r="B594"/>
      <c r="C594"/>
      <c r="D594"/>
      <c r="E594"/>
      <c r="F594"/>
      <c r="G594"/>
      <c r="H594"/>
      <c r="I594"/>
      <c r="J594"/>
      <c r="K594"/>
      <c r="L594"/>
      <c r="M594"/>
      <c r="N594"/>
      <c r="O594"/>
      <c r="P594"/>
      <c r="Q594"/>
      <c r="R594"/>
      <c r="S594"/>
      <c r="T594"/>
      <c r="U594"/>
      <c r="V594"/>
      <c r="W594"/>
      <c r="X594"/>
      <c r="Y594"/>
      <c r="Z594"/>
      <c r="AA594"/>
      <c r="AB594"/>
      <c r="AC594"/>
    </row>
    <row r="595" spans="1:29" s="82" customFormat="1" x14ac:dyDescent="0.25">
      <c r="A595"/>
      <c r="B595"/>
      <c r="C595"/>
      <c r="D595"/>
      <c r="E595"/>
      <c r="F595"/>
      <c r="G595"/>
      <c r="H595"/>
      <c r="I595"/>
      <c r="J595"/>
      <c r="K595"/>
      <c r="L595"/>
      <c r="M595"/>
      <c r="N595"/>
      <c r="O595"/>
      <c r="P595"/>
      <c r="Q595"/>
      <c r="R595"/>
      <c r="S595"/>
      <c r="T595"/>
      <c r="U595"/>
      <c r="V595"/>
      <c r="W595"/>
      <c r="X595"/>
      <c r="Y595"/>
      <c r="Z595"/>
      <c r="AA595"/>
      <c r="AB595"/>
      <c r="AC595"/>
    </row>
    <row r="596" spans="1:29" s="82" customFormat="1" x14ac:dyDescent="0.25">
      <c r="A596"/>
      <c r="B596"/>
      <c r="C596"/>
      <c r="D596"/>
      <c r="E596"/>
      <c r="F596"/>
      <c r="G596"/>
      <c r="H596"/>
      <c r="I596"/>
      <c r="J596"/>
      <c r="K596"/>
      <c r="L596"/>
      <c r="M596"/>
      <c r="N596"/>
      <c r="O596"/>
      <c r="P596"/>
      <c r="Q596"/>
      <c r="R596"/>
      <c r="S596"/>
      <c r="T596"/>
      <c r="U596"/>
      <c r="V596"/>
      <c r="W596"/>
      <c r="X596"/>
      <c r="Y596"/>
      <c r="Z596"/>
      <c r="AA596"/>
      <c r="AB596"/>
      <c r="AC596"/>
    </row>
    <row r="597" spans="1:29" s="82" customFormat="1" x14ac:dyDescent="0.25">
      <c r="A597"/>
      <c r="B597"/>
      <c r="C597"/>
      <c r="D597"/>
      <c r="E597"/>
      <c r="F597"/>
      <c r="G597"/>
      <c r="H597"/>
      <c r="I597"/>
      <c r="J597"/>
      <c r="K597"/>
      <c r="L597"/>
      <c r="M597"/>
      <c r="N597"/>
      <c r="O597"/>
      <c r="P597"/>
      <c r="Q597"/>
      <c r="R597"/>
      <c r="S597"/>
      <c r="T597"/>
      <c r="U597"/>
      <c r="V597"/>
      <c r="W597"/>
      <c r="X597"/>
      <c r="Y597"/>
      <c r="Z597"/>
      <c r="AA597"/>
      <c r="AB597"/>
      <c r="AC597"/>
    </row>
    <row r="598" spans="1:29" s="82" customFormat="1" x14ac:dyDescent="0.25">
      <c r="A598"/>
      <c r="B598"/>
      <c r="C598"/>
      <c r="D598"/>
      <c r="E598"/>
      <c r="F598"/>
      <c r="G598"/>
      <c r="H598"/>
      <c r="I598"/>
      <c r="J598"/>
      <c r="K598"/>
      <c r="L598"/>
      <c r="M598"/>
      <c r="N598"/>
      <c r="O598"/>
      <c r="P598"/>
      <c r="Q598"/>
      <c r="R598"/>
      <c r="S598"/>
      <c r="T598"/>
      <c r="U598"/>
      <c r="V598"/>
      <c r="W598"/>
      <c r="X598"/>
      <c r="Y598"/>
      <c r="Z598"/>
      <c r="AA598"/>
      <c r="AB598"/>
      <c r="AC598"/>
    </row>
    <row r="599" spans="1:29" s="82" customFormat="1" x14ac:dyDescent="0.25">
      <c r="A599"/>
      <c r="B599"/>
      <c r="C599"/>
      <c r="D599"/>
      <c r="E599"/>
      <c r="F599"/>
      <c r="G599"/>
      <c r="H599"/>
      <c r="I599"/>
      <c r="J599"/>
      <c r="K599"/>
      <c r="L599"/>
      <c r="M599"/>
      <c r="N599"/>
      <c r="O599"/>
      <c r="P599"/>
      <c r="Q599"/>
      <c r="R599"/>
      <c r="S599"/>
      <c r="T599"/>
      <c r="U599"/>
      <c r="V599"/>
      <c r="W599"/>
      <c r="X599"/>
      <c r="Y599"/>
      <c r="Z599"/>
      <c r="AA599"/>
      <c r="AB599"/>
      <c r="AC599"/>
    </row>
    <row r="600" spans="1:29" s="82" customFormat="1" x14ac:dyDescent="0.25">
      <c r="A600"/>
      <c r="B600"/>
      <c r="C600"/>
      <c r="D600"/>
      <c r="E600"/>
      <c r="F600"/>
      <c r="G600"/>
      <c r="H600"/>
      <c r="I600"/>
      <c r="J600"/>
      <c r="K600"/>
      <c r="L600"/>
      <c r="M600"/>
      <c r="N600"/>
      <c r="O600"/>
      <c r="P600"/>
      <c r="Q600"/>
      <c r="R600"/>
      <c r="S600"/>
      <c r="T600"/>
      <c r="U600"/>
      <c r="V600"/>
      <c r="W600"/>
      <c r="X600"/>
      <c r="Y600"/>
      <c r="Z600"/>
      <c r="AA600"/>
      <c r="AB600"/>
      <c r="AC600"/>
    </row>
    <row r="601" spans="1:29" s="82" customFormat="1" x14ac:dyDescent="0.25">
      <c r="A601"/>
      <c r="B601"/>
      <c r="C601"/>
      <c r="D601"/>
      <c r="E601"/>
      <c r="F601"/>
      <c r="G601"/>
      <c r="H601"/>
      <c r="I601"/>
      <c r="J601"/>
      <c r="K601"/>
      <c r="L601"/>
      <c r="M601"/>
      <c r="N601"/>
      <c r="O601"/>
      <c r="P601"/>
      <c r="Q601"/>
      <c r="R601"/>
      <c r="S601"/>
      <c r="T601"/>
      <c r="U601"/>
      <c r="V601"/>
      <c r="W601"/>
      <c r="X601"/>
      <c r="Y601"/>
      <c r="Z601"/>
      <c r="AA601"/>
      <c r="AB601"/>
      <c r="AC601"/>
    </row>
    <row r="602" spans="1:29" s="82" customFormat="1" x14ac:dyDescent="0.25">
      <c r="A602"/>
      <c r="B602"/>
      <c r="C602"/>
      <c r="D602"/>
      <c r="E602"/>
      <c r="F602"/>
      <c r="G602"/>
      <c r="H602"/>
      <c r="I602"/>
      <c r="J602"/>
      <c r="K602"/>
      <c r="L602"/>
      <c r="M602"/>
      <c r="N602"/>
      <c r="O602"/>
      <c r="P602"/>
      <c r="Q602"/>
      <c r="R602"/>
      <c r="S602"/>
      <c r="T602"/>
      <c r="U602"/>
      <c r="V602"/>
      <c r="W602"/>
      <c r="X602"/>
      <c r="Y602"/>
      <c r="Z602"/>
      <c r="AA602"/>
      <c r="AB602"/>
      <c r="AC602"/>
    </row>
    <row r="603" spans="1:29" s="82" customFormat="1" x14ac:dyDescent="0.25">
      <c r="A603"/>
      <c r="B603"/>
      <c r="C603"/>
      <c r="D603"/>
      <c r="E603"/>
      <c r="F603"/>
      <c r="G603"/>
      <c r="H603"/>
      <c r="I603"/>
      <c r="J603"/>
      <c r="K603"/>
      <c r="L603"/>
      <c r="M603"/>
      <c r="N603"/>
      <c r="O603"/>
      <c r="P603"/>
      <c r="Q603"/>
      <c r="R603"/>
      <c r="S603"/>
      <c r="T603"/>
      <c r="U603"/>
      <c r="V603"/>
      <c r="W603"/>
      <c r="X603"/>
      <c r="Y603"/>
      <c r="Z603"/>
      <c r="AA603"/>
      <c r="AB603"/>
      <c r="AC603"/>
    </row>
    <row r="604" spans="1:29" s="82" customFormat="1" x14ac:dyDescent="0.25">
      <c r="A604"/>
      <c r="B604"/>
      <c r="C604"/>
      <c r="D604"/>
      <c r="E604"/>
      <c r="F604"/>
      <c r="G604"/>
      <c r="H604"/>
      <c r="I604"/>
      <c r="J604"/>
      <c r="K604"/>
      <c r="L604"/>
      <c r="M604"/>
      <c r="N604"/>
      <c r="O604"/>
      <c r="P604"/>
      <c r="Q604"/>
      <c r="R604"/>
      <c r="S604"/>
      <c r="T604"/>
      <c r="U604"/>
      <c r="V604"/>
      <c r="W604"/>
      <c r="X604"/>
      <c r="Y604"/>
      <c r="Z604"/>
      <c r="AA604"/>
      <c r="AB604"/>
      <c r="AC604"/>
    </row>
    <row r="605" spans="1:29" s="82" customFormat="1" x14ac:dyDescent="0.25">
      <c r="A605"/>
      <c r="B605"/>
      <c r="C605"/>
      <c r="D605"/>
      <c r="E605"/>
      <c r="F605"/>
      <c r="G605"/>
      <c r="H605"/>
      <c r="I605"/>
      <c r="J605"/>
      <c r="K605"/>
      <c r="L605"/>
      <c r="M605"/>
      <c r="N605"/>
      <c r="O605"/>
      <c r="P605"/>
      <c r="Q605"/>
      <c r="R605"/>
      <c r="S605"/>
      <c r="T605"/>
      <c r="U605"/>
      <c r="V605"/>
      <c r="W605"/>
      <c r="X605"/>
      <c r="Y605"/>
      <c r="Z605"/>
      <c r="AA605"/>
      <c r="AB605"/>
      <c r="AC605"/>
    </row>
    <row r="606" spans="1:29" s="82" customFormat="1" x14ac:dyDescent="0.25">
      <c r="A606"/>
      <c r="B606"/>
      <c r="C606"/>
      <c r="D606"/>
      <c r="E606"/>
      <c r="F606"/>
      <c r="G606"/>
      <c r="H606"/>
      <c r="I606"/>
      <c r="J606"/>
      <c r="K606"/>
      <c r="L606"/>
      <c r="M606"/>
      <c r="N606"/>
      <c r="O606"/>
      <c r="P606"/>
      <c r="Q606"/>
      <c r="R606"/>
      <c r="S606"/>
      <c r="T606"/>
      <c r="U606"/>
      <c r="V606"/>
      <c r="W606"/>
      <c r="X606"/>
      <c r="Y606"/>
      <c r="Z606"/>
      <c r="AA606"/>
      <c r="AB606"/>
      <c r="AC606"/>
    </row>
    <row r="607" spans="1:29" s="82" customFormat="1" x14ac:dyDescent="0.25">
      <c r="A607"/>
      <c r="B607"/>
      <c r="C607"/>
      <c r="D607"/>
      <c r="E607"/>
      <c r="F607"/>
      <c r="G607"/>
      <c r="H607"/>
      <c r="I607"/>
      <c r="J607"/>
      <c r="K607"/>
      <c r="L607"/>
      <c r="M607"/>
      <c r="N607"/>
      <c r="O607"/>
      <c r="P607"/>
      <c r="Q607"/>
      <c r="R607"/>
      <c r="S607"/>
      <c r="T607"/>
      <c r="U607"/>
      <c r="V607"/>
      <c r="W607"/>
      <c r="X607"/>
      <c r="Y607"/>
      <c r="Z607"/>
      <c r="AA607"/>
      <c r="AB607"/>
      <c r="AC607"/>
    </row>
    <row r="608" spans="1:29" s="82" customFormat="1" x14ac:dyDescent="0.25">
      <c r="A608"/>
      <c r="B608"/>
      <c r="C608"/>
      <c r="D608"/>
      <c r="E608"/>
      <c r="F608"/>
      <c r="G608"/>
      <c r="H608"/>
      <c r="I608"/>
      <c r="J608"/>
      <c r="K608"/>
      <c r="L608"/>
      <c r="M608"/>
      <c r="N608"/>
      <c r="O608"/>
      <c r="P608"/>
      <c r="Q608"/>
      <c r="R608"/>
      <c r="S608"/>
      <c r="T608"/>
      <c r="U608"/>
      <c r="V608"/>
      <c r="W608"/>
      <c r="X608"/>
      <c r="Y608"/>
      <c r="Z608"/>
      <c r="AA608"/>
      <c r="AB608"/>
      <c r="AC608"/>
    </row>
    <row r="609" spans="1:29" s="82" customFormat="1" x14ac:dyDescent="0.25">
      <c r="A609"/>
      <c r="B609"/>
      <c r="C609"/>
      <c r="D609"/>
      <c r="E609"/>
      <c r="F609"/>
      <c r="G609"/>
      <c r="H609"/>
      <c r="I609"/>
      <c r="J609"/>
      <c r="K609"/>
      <c r="L609"/>
      <c r="M609"/>
      <c r="N609"/>
      <c r="O609"/>
      <c r="P609"/>
      <c r="Q609"/>
      <c r="R609"/>
      <c r="S609"/>
      <c r="T609"/>
      <c r="U609"/>
      <c r="V609"/>
      <c r="W609"/>
      <c r="X609"/>
      <c r="Y609"/>
      <c r="Z609"/>
      <c r="AA609"/>
      <c r="AB609"/>
      <c r="AC609"/>
    </row>
    <row r="610" spans="1:29" s="82" customFormat="1" x14ac:dyDescent="0.25">
      <c r="A610"/>
      <c r="B610"/>
      <c r="C610"/>
      <c r="D610"/>
      <c r="E610"/>
      <c r="F610"/>
      <c r="G610"/>
      <c r="H610"/>
      <c r="I610"/>
      <c r="J610"/>
      <c r="K610"/>
      <c r="L610"/>
      <c r="M610"/>
      <c r="N610"/>
      <c r="O610"/>
      <c r="P610"/>
      <c r="Q610"/>
      <c r="R610"/>
      <c r="S610"/>
      <c r="T610"/>
      <c r="U610"/>
      <c r="V610"/>
      <c r="W610"/>
      <c r="X610"/>
      <c r="Y610"/>
      <c r="Z610"/>
      <c r="AA610"/>
      <c r="AB610"/>
      <c r="AC610"/>
    </row>
    <row r="611" spans="1:29" s="82" customFormat="1" x14ac:dyDescent="0.25">
      <c r="A611"/>
      <c r="B611"/>
      <c r="C611"/>
      <c r="D611"/>
      <c r="E611"/>
      <c r="F611"/>
      <c r="G611"/>
      <c r="H611"/>
      <c r="I611"/>
      <c r="J611"/>
      <c r="K611"/>
      <c r="L611"/>
      <c r="M611"/>
      <c r="N611"/>
      <c r="O611"/>
      <c r="P611"/>
      <c r="Q611"/>
      <c r="R611"/>
      <c r="S611"/>
      <c r="T611"/>
      <c r="U611"/>
      <c r="V611"/>
      <c r="W611"/>
      <c r="X611"/>
      <c r="Y611"/>
      <c r="Z611"/>
      <c r="AA611"/>
      <c r="AB611"/>
      <c r="AC611"/>
    </row>
    <row r="612" spans="1:29" s="82" customFormat="1" x14ac:dyDescent="0.25">
      <c r="A612"/>
      <c r="B612"/>
      <c r="C612"/>
      <c r="D612"/>
      <c r="E612"/>
      <c r="F612"/>
      <c r="G612"/>
      <c r="H612"/>
      <c r="I612"/>
      <c r="J612"/>
      <c r="K612"/>
      <c r="L612"/>
      <c r="M612"/>
      <c r="N612"/>
      <c r="O612"/>
      <c r="P612"/>
      <c r="Q612"/>
      <c r="R612"/>
      <c r="S612"/>
      <c r="T612"/>
      <c r="U612"/>
      <c r="V612"/>
      <c r="W612"/>
      <c r="X612"/>
      <c r="Y612"/>
      <c r="Z612"/>
      <c r="AA612"/>
      <c r="AB612"/>
      <c r="AC612"/>
    </row>
    <row r="613" spans="1:29" s="82" customFormat="1" x14ac:dyDescent="0.25">
      <c r="A613"/>
      <c r="B613"/>
      <c r="C613"/>
      <c r="D613"/>
      <c r="E613"/>
      <c r="F613"/>
      <c r="G613"/>
      <c r="H613"/>
      <c r="I613"/>
      <c r="J613"/>
      <c r="K613"/>
      <c r="L613"/>
      <c r="M613"/>
      <c r="N613"/>
      <c r="O613"/>
      <c r="P613"/>
      <c r="Q613"/>
      <c r="R613"/>
      <c r="S613"/>
      <c r="T613"/>
      <c r="U613"/>
      <c r="V613"/>
      <c r="W613"/>
      <c r="X613"/>
      <c r="Y613"/>
      <c r="Z613"/>
      <c r="AA613"/>
      <c r="AB613"/>
      <c r="AC613"/>
    </row>
    <row r="614" spans="1:29" s="82" customFormat="1" x14ac:dyDescent="0.25">
      <c r="A614"/>
      <c r="B614"/>
      <c r="C614"/>
      <c r="D614"/>
      <c r="E614"/>
      <c r="F614"/>
      <c r="G614"/>
      <c r="H614"/>
      <c r="I614"/>
      <c r="J614"/>
      <c r="K614"/>
      <c r="L614"/>
      <c r="M614"/>
      <c r="N614"/>
      <c r="O614"/>
      <c r="P614"/>
      <c r="Q614"/>
      <c r="R614"/>
      <c r="S614"/>
      <c r="T614"/>
      <c r="U614"/>
      <c r="V614"/>
      <c r="W614"/>
      <c r="X614"/>
      <c r="Y614"/>
      <c r="Z614"/>
      <c r="AA614"/>
      <c r="AB614"/>
      <c r="AC614"/>
    </row>
    <row r="615" spans="1:29" s="82" customFormat="1" x14ac:dyDescent="0.25">
      <c r="A615"/>
      <c r="B615"/>
      <c r="C615"/>
      <c r="D615"/>
      <c r="E615"/>
      <c r="F615"/>
      <c r="G615"/>
      <c r="H615"/>
      <c r="I615"/>
      <c r="J615"/>
      <c r="K615"/>
      <c r="L615"/>
      <c r="M615"/>
      <c r="N615"/>
      <c r="O615"/>
      <c r="P615"/>
      <c r="Q615"/>
      <c r="R615"/>
      <c r="S615"/>
      <c r="T615"/>
      <c r="U615"/>
      <c r="V615"/>
      <c r="W615"/>
      <c r="X615"/>
      <c r="Y615"/>
      <c r="Z615"/>
      <c r="AA615"/>
      <c r="AB615"/>
      <c r="AC615"/>
    </row>
    <row r="616" spans="1:29" s="82" customFormat="1" x14ac:dyDescent="0.25">
      <c r="A616"/>
      <c r="B616"/>
      <c r="C616"/>
      <c r="D616"/>
      <c r="E616"/>
      <c r="F616"/>
      <c r="G616"/>
      <c r="H616"/>
      <c r="I616"/>
      <c r="J616"/>
      <c r="K616"/>
      <c r="L616"/>
      <c r="M616"/>
      <c r="N616"/>
      <c r="O616"/>
      <c r="P616"/>
      <c r="Q616"/>
      <c r="R616"/>
      <c r="S616"/>
      <c r="T616"/>
      <c r="U616"/>
      <c r="V616"/>
      <c r="W616"/>
      <c r="X616"/>
      <c r="Y616"/>
      <c r="Z616"/>
      <c r="AA616"/>
      <c r="AB616"/>
      <c r="AC616"/>
    </row>
    <row r="617" spans="1:29" s="82" customFormat="1" x14ac:dyDescent="0.25">
      <c r="A617"/>
      <c r="B617"/>
      <c r="C617"/>
      <c r="D617"/>
      <c r="E617"/>
      <c r="F617"/>
      <c r="G617"/>
      <c r="H617"/>
      <c r="I617"/>
      <c r="J617"/>
      <c r="K617"/>
      <c r="L617"/>
      <c r="M617"/>
      <c r="N617"/>
      <c r="O617"/>
      <c r="P617"/>
      <c r="Q617"/>
      <c r="R617"/>
      <c r="S617"/>
      <c r="T617"/>
      <c r="U617"/>
      <c r="V617"/>
      <c r="W617"/>
      <c r="X617"/>
      <c r="Y617"/>
      <c r="Z617"/>
      <c r="AA617"/>
      <c r="AB617"/>
      <c r="AC617"/>
    </row>
    <row r="618" spans="1:29" s="82" customFormat="1" x14ac:dyDescent="0.25">
      <c r="A618"/>
      <c r="B618"/>
      <c r="C618"/>
      <c r="D618"/>
      <c r="E618"/>
      <c r="F618"/>
      <c r="G618"/>
      <c r="H618"/>
      <c r="I618"/>
      <c r="J618"/>
      <c r="K618"/>
      <c r="L618"/>
      <c r="M618"/>
      <c r="N618"/>
      <c r="O618"/>
      <c r="P618"/>
      <c r="Q618"/>
      <c r="R618"/>
      <c r="S618"/>
      <c r="T618"/>
      <c r="U618"/>
      <c r="V618"/>
      <c r="W618"/>
      <c r="X618"/>
      <c r="Y618"/>
      <c r="Z618"/>
      <c r="AA618"/>
      <c r="AB618"/>
      <c r="AC618"/>
    </row>
    <row r="619" spans="1:29" s="82" customFormat="1" x14ac:dyDescent="0.25">
      <c r="A619"/>
      <c r="B619"/>
      <c r="C619"/>
      <c r="D619"/>
      <c r="E619"/>
      <c r="F619"/>
      <c r="G619"/>
      <c r="H619"/>
      <c r="I619"/>
      <c r="J619"/>
      <c r="K619"/>
      <c r="L619"/>
      <c r="M619"/>
      <c r="N619"/>
      <c r="O619"/>
      <c r="P619"/>
      <c r="Q619"/>
      <c r="R619"/>
      <c r="S619"/>
      <c r="T619"/>
      <c r="U619"/>
      <c r="V619"/>
      <c r="W619"/>
      <c r="X619"/>
      <c r="Y619"/>
      <c r="Z619"/>
      <c r="AA619"/>
      <c r="AB619"/>
      <c r="AC619"/>
    </row>
    <row r="620" spans="1:29" s="82" customFormat="1" x14ac:dyDescent="0.25">
      <c r="A620"/>
      <c r="B620"/>
      <c r="C620"/>
      <c r="D620"/>
      <c r="E620"/>
      <c r="F620"/>
      <c r="G620"/>
      <c r="H620"/>
      <c r="I620"/>
      <c r="J620"/>
      <c r="K620"/>
      <c r="L620"/>
      <c r="M620"/>
      <c r="N620"/>
      <c r="O620"/>
      <c r="P620"/>
      <c r="Q620"/>
      <c r="R620"/>
      <c r="S620"/>
      <c r="T620"/>
      <c r="U620"/>
      <c r="V620"/>
      <c r="W620"/>
      <c r="X620"/>
      <c r="Y620"/>
      <c r="Z620"/>
      <c r="AA620"/>
      <c r="AB620"/>
      <c r="AC620"/>
    </row>
    <row r="621" spans="1:29" s="82" customFormat="1" x14ac:dyDescent="0.25">
      <c r="A621"/>
      <c r="B621"/>
      <c r="C621"/>
      <c r="D621"/>
      <c r="E621"/>
      <c r="F621"/>
      <c r="G621"/>
      <c r="H621"/>
      <c r="I621"/>
      <c r="J621"/>
      <c r="K621"/>
      <c r="L621"/>
      <c r="M621"/>
      <c r="N621"/>
      <c r="O621"/>
      <c r="P621"/>
      <c r="Q621"/>
      <c r="R621"/>
      <c r="S621"/>
      <c r="T621"/>
      <c r="U621"/>
      <c r="V621"/>
      <c r="W621"/>
      <c r="X621"/>
      <c r="Y621"/>
      <c r="Z621"/>
      <c r="AA621"/>
      <c r="AB621"/>
      <c r="AC621"/>
    </row>
    <row r="622" spans="1:29" s="82" customFormat="1" x14ac:dyDescent="0.25">
      <c r="A622"/>
      <c r="B622"/>
      <c r="C622"/>
      <c r="D622"/>
      <c r="E622"/>
      <c r="F622"/>
      <c r="G622"/>
      <c r="H622"/>
      <c r="I622"/>
      <c r="J622"/>
      <c r="K622"/>
      <c r="L622"/>
      <c r="M622"/>
      <c r="N622"/>
      <c r="O622"/>
      <c r="P622"/>
      <c r="Q622"/>
      <c r="R622"/>
      <c r="S622"/>
      <c r="T622"/>
      <c r="U622"/>
      <c r="V622"/>
      <c r="W622"/>
      <c r="X622"/>
      <c r="Y622"/>
      <c r="Z622"/>
      <c r="AA622"/>
      <c r="AB622"/>
      <c r="AC622"/>
    </row>
    <row r="623" spans="1:29" s="82" customFormat="1" x14ac:dyDescent="0.25">
      <c r="A623"/>
      <c r="B623"/>
      <c r="C623"/>
      <c r="D623"/>
      <c r="E623"/>
      <c r="F623"/>
      <c r="G623"/>
      <c r="H623"/>
      <c r="I623"/>
      <c r="J623"/>
      <c r="K623"/>
      <c r="L623"/>
      <c r="M623"/>
      <c r="N623"/>
      <c r="O623"/>
      <c r="P623"/>
      <c r="Q623"/>
      <c r="R623"/>
      <c r="S623"/>
      <c r="T623"/>
      <c r="U623"/>
      <c r="V623"/>
      <c r="W623"/>
      <c r="X623"/>
      <c r="Y623"/>
      <c r="Z623"/>
      <c r="AA623"/>
      <c r="AB623"/>
      <c r="AC623"/>
    </row>
    <row r="624" spans="1:29" s="82" customFormat="1" x14ac:dyDescent="0.25">
      <c r="A624"/>
      <c r="B624"/>
      <c r="C624"/>
      <c r="D624"/>
      <c r="E624"/>
      <c r="F624"/>
      <c r="G624"/>
      <c r="H624"/>
      <c r="I624"/>
      <c r="J624"/>
      <c r="K624"/>
      <c r="L624"/>
      <c r="M624"/>
      <c r="N624"/>
      <c r="O624"/>
      <c r="P624"/>
      <c r="Q624"/>
      <c r="R624"/>
      <c r="S624"/>
      <c r="T624"/>
      <c r="U624"/>
      <c r="V624"/>
      <c r="W624"/>
      <c r="X624"/>
      <c r="Y624"/>
      <c r="Z624"/>
      <c r="AA624"/>
      <c r="AB624"/>
      <c r="AC624"/>
    </row>
    <row r="625" spans="1:29" s="82" customFormat="1" x14ac:dyDescent="0.25">
      <c r="A625"/>
      <c r="B625"/>
      <c r="C625"/>
      <c r="D625"/>
      <c r="E625"/>
      <c r="F625"/>
      <c r="G625"/>
      <c r="H625"/>
      <c r="I625"/>
      <c r="J625"/>
      <c r="K625"/>
      <c r="L625"/>
      <c r="M625"/>
      <c r="N625"/>
      <c r="O625"/>
      <c r="P625"/>
      <c r="Q625"/>
      <c r="R625"/>
      <c r="S625"/>
      <c r="T625"/>
      <c r="U625"/>
      <c r="V625"/>
      <c r="W625"/>
      <c r="X625"/>
      <c r="Y625"/>
      <c r="Z625"/>
      <c r="AA625"/>
      <c r="AB625"/>
      <c r="AC625"/>
    </row>
    <row r="626" spans="1:29" s="82" customFormat="1" x14ac:dyDescent="0.25">
      <c r="A626"/>
      <c r="B626"/>
      <c r="C626"/>
      <c r="D626"/>
      <c r="E626"/>
      <c r="F626"/>
      <c r="G626"/>
      <c r="H626"/>
      <c r="I626"/>
      <c r="J626"/>
      <c r="K626"/>
      <c r="L626"/>
      <c r="M626"/>
      <c r="N626"/>
      <c r="O626"/>
      <c r="P626"/>
      <c r="Q626"/>
      <c r="R626"/>
      <c r="S626"/>
      <c r="T626"/>
      <c r="U626"/>
      <c r="V626"/>
      <c r="W626"/>
      <c r="X626"/>
      <c r="Y626"/>
      <c r="Z626"/>
      <c r="AA626"/>
      <c r="AB626"/>
      <c r="AC626"/>
    </row>
    <row r="627" spans="1:29" s="82" customFormat="1" x14ac:dyDescent="0.25">
      <c r="A627"/>
      <c r="B627"/>
      <c r="C627"/>
      <c r="D627"/>
      <c r="E627"/>
      <c r="F627"/>
      <c r="G627"/>
      <c r="H627"/>
      <c r="I627"/>
      <c r="J627"/>
      <c r="K627"/>
      <c r="L627"/>
      <c r="M627"/>
      <c r="N627"/>
      <c r="O627"/>
      <c r="P627"/>
      <c r="Q627"/>
      <c r="R627"/>
      <c r="S627"/>
      <c r="T627"/>
      <c r="U627"/>
      <c r="V627"/>
      <c r="W627"/>
      <c r="X627"/>
      <c r="Y627"/>
      <c r="Z627"/>
      <c r="AA627"/>
      <c r="AB627"/>
      <c r="AC627"/>
    </row>
    <row r="628" spans="1:29" s="82" customFormat="1" x14ac:dyDescent="0.25">
      <c r="A628"/>
      <c r="B628"/>
      <c r="C628"/>
      <c r="D628"/>
      <c r="E628"/>
      <c r="F628"/>
      <c r="G628"/>
      <c r="H628"/>
      <c r="I628"/>
      <c r="J628"/>
      <c r="K628"/>
      <c r="L628"/>
      <c r="M628"/>
      <c r="N628"/>
      <c r="O628"/>
      <c r="P628"/>
      <c r="Q628"/>
      <c r="R628"/>
      <c r="S628"/>
      <c r="T628"/>
      <c r="U628"/>
      <c r="V628"/>
      <c r="W628"/>
      <c r="X628"/>
      <c r="Y628"/>
      <c r="Z628"/>
      <c r="AA628"/>
      <c r="AB628"/>
      <c r="AC628"/>
    </row>
    <row r="629" spans="1:29" s="82" customFormat="1" x14ac:dyDescent="0.25">
      <c r="A629"/>
      <c r="B629"/>
      <c r="C629"/>
      <c r="D629"/>
      <c r="E629"/>
      <c r="F629"/>
      <c r="G629"/>
      <c r="H629"/>
      <c r="I629"/>
      <c r="J629"/>
      <c r="K629"/>
      <c r="L629"/>
      <c r="M629"/>
      <c r="N629"/>
      <c r="O629"/>
      <c r="P629"/>
      <c r="Q629"/>
      <c r="R629"/>
      <c r="S629"/>
      <c r="T629"/>
      <c r="U629"/>
      <c r="V629"/>
      <c r="W629"/>
      <c r="X629"/>
      <c r="Y629"/>
      <c r="Z629"/>
      <c r="AA629"/>
      <c r="AB629"/>
      <c r="AC629"/>
    </row>
    <row r="630" spans="1:29" s="82" customFormat="1" x14ac:dyDescent="0.25">
      <c r="A630"/>
      <c r="B630"/>
      <c r="C630"/>
      <c r="D630"/>
      <c r="E630"/>
      <c r="F630"/>
      <c r="G630"/>
      <c r="H630"/>
      <c r="I630"/>
      <c r="J630"/>
      <c r="K630"/>
      <c r="L630"/>
      <c r="M630"/>
      <c r="N630"/>
      <c r="O630"/>
      <c r="P630"/>
      <c r="Q630"/>
      <c r="R630"/>
      <c r="S630"/>
      <c r="T630"/>
      <c r="U630"/>
      <c r="V630"/>
      <c r="W630"/>
      <c r="X630"/>
      <c r="Y630"/>
      <c r="Z630"/>
      <c r="AA630"/>
      <c r="AB630"/>
      <c r="AC630"/>
    </row>
    <row r="631" spans="1:29" s="82" customFormat="1" x14ac:dyDescent="0.25">
      <c r="A631"/>
      <c r="B631"/>
      <c r="C631"/>
      <c r="D631"/>
      <c r="E631"/>
      <c r="F631"/>
      <c r="G631"/>
      <c r="H631"/>
      <c r="I631"/>
      <c r="J631"/>
      <c r="K631"/>
      <c r="L631"/>
      <c r="M631"/>
      <c r="N631"/>
      <c r="O631"/>
      <c r="P631"/>
      <c r="Q631"/>
      <c r="R631"/>
      <c r="S631"/>
      <c r="T631"/>
      <c r="U631"/>
      <c r="V631"/>
      <c r="W631"/>
      <c r="X631"/>
      <c r="Y631"/>
      <c r="Z631"/>
      <c r="AA631"/>
      <c r="AB631"/>
      <c r="AC631"/>
    </row>
    <row r="632" spans="1:29" s="82" customFormat="1" x14ac:dyDescent="0.25">
      <c r="A632"/>
      <c r="B632"/>
      <c r="C632"/>
      <c r="D632"/>
      <c r="E632"/>
      <c r="F632"/>
      <c r="G632"/>
      <c r="H632"/>
      <c r="I632"/>
      <c r="J632"/>
      <c r="K632"/>
      <c r="L632"/>
      <c r="M632"/>
      <c r="N632"/>
      <c r="O632"/>
      <c r="P632"/>
      <c r="Q632"/>
      <c r="R632"/>
      <c r="S632"/>
      <c r="T632"/>
      <c r="U632"/>
      <c r="V632"/>
      <c r="W632"/>
      <c r="X632"/>
      <c r="Y632"/>
      <c r="Z632"/>
      <c r="AA632"/>
      <c r="AB632"/>
      <c r="AC632"/>
    </row>
    <row r="633" spans="1:29" s="82" customFormat="1" x14ac:dyDescent="0.25">
      <c r="A633"/>
      <c r="B633"/>
      <c r="C633"/>
      <c r="D633"/>
      <c r="E633"/>
      <c r="F633"/>
      <c r="G633"/>
      <c r="H633"/>
      <c r="I633"/>
      <c r="J633"/>
      <c r="K633"/>
      <c r="L633"/>
      <c r="M633"/>
      <c r="N633"/>
      <c r="O633"/>
      <c r="P633"/>
      <c r="Q633"/>
      <c r="R633"/>
      <c r="S633"/>
      <c r="T633"/>
      <c r="U633"/>
      <c r="V633"/>
      <c r="W633"/>
      <c r="X633"/>
      <c r="Y633"/>
      <c r="Z633"/>
      <c r="AA633"/>
      <c r="AB633"/>
      <c r="AC633"/>
    </row>
    <row r="634" spans="1:29" s="82" customFormat="1" x14ac:dyDescent="0.25">
      <c r="A634"/>
      <c r="B634"/>
      <c r="C634"/>
      <c r="D634"/>
      <c r="E634"/>
      <c r="F634"/>
      <c r="G634"/>
      <c r="H634"/>
      <c r="I634"/>
      <c r="J634"/>
      <c r="K634"/>
      <c r="L634"/>
      <c r="M634"/>
      <c r="N634"/>
      <c r="O634"/>
      <c r="P634"/>
      <c r="Q634"/>
      <c r="R634"/>
      <c r="S634"/>
      <c r="T634"/>
      <c r="U634"/>
      <c r="V634"/>
      <c r="W634"/>
      <c r="X634"/>
      <c r="Y634"/>
      <c r="Z634"/>
      <c r="AA634"/>
      <c r="AB634"/>
      <c r="AC634"/>
    </row>
    <row r="635" spans="1:29" s="82" customFormat="1" x14ac:dyDescent="0.25">
      <c r="A635"/>
      <c r="B635"/>
      <c r="C635"/>
      <c r="D635"/>
      <c r="E635"/>
      <c r="F635"/>
      <c r="G635"/>
      <c r="H635"/>
      <c r="I635"/>
      <c r="J635"/>
      <c r="K635"/>
      <c r="L635"/>
      <c r="M635"/>
      <c r="N635"/>
      <c r="O635"/>
      <c r="P635"/>
      <c r="Q635"/>
      <c r="R635"/>
      <c r="S635"/>
      <c r="T635"/>
      <c r="U635"/>
      <c r="V635"/>
      <c r="W635"/>
      <c r="X635"/>
      <c r="Y635"/>
      <c r="Z635"/>
      <c r="AA635"/>
      <c r="AB635"/>
      <c r="AC635"/>
    </row>
    <row r="636" spans="1:29" s="82" customFormat="1" x14ac:dyDescent="0.25">
      <c r="A636"/>
      <c r="B636"/>
      <c r="C636"/>
      <c r="D636"/>
      <c r="E636"/>
      <c r="F636"/>
      <c r="G636"/>
      <c r="H636"/>
      <c r="I636"/>
      <c r="J636"/>
      <c r="K636"/>
      <c r="L636"/>
      <c r="M636"/>
      <c r="N636"/>
      <c r="O636"/>
      <c r="P636"/>
      <c r="Q636"/>
      <c r="R636"/>
      <c r="S636"/>
      <c r="T636"/>
      <c r="U636"/>
      <c r="V636"/>
      <c r="W636"/>
      <c r="X636"/>
      <c r="Y636"/>
      <c r="Z636"/>
      <c r="AA636"/>
      <c r="AB636"/>
      <c r="AC636"/>
    </row>
    <row r="637" spans="1:29" s="82" customFormat="1" x14ac:dyDescent="0.25">
      <c r="A637"/>
      <c r="B637"/>
      <c r="C637"/>
      <c r="D637"/>
      <c r="E637"/>
      <c r="F637"/>
      <c r="G637"/>
      <c r="H637"/>
      <c r="I637"/>
      <c r="J637"/>
      <c r="K637"/>
      <c r="L637"/>
      <c r="M637"/>
      <c r="N637"/>
      <c r="O637"/>
      <c r="P637"/>
      <c r="Q637"/>
      <c r="R637"/>
      <c r="S637"/>
      <c r="T637"/>
      <c r="U637"/>
      <c r="V637"/>
      <c r="W637"/>
      <c r="X637"/>
      <c r="Y637"/>
      <c r="Z637"/>
      <c r="AA637"/>
      <c r="AB637"/>
      <c r="AC637"/>
    </row>
    <row r="638" spans="1:29" s="82" customFormat="1" x14ac:dyDescent="0.25">
      <c r="A638"/>
      <c r="B638"/>
      <c r="C638"/>
      <c r="D638"/>
      <c r="E638"/>
      <c r="F638"/>
      <c r="G638"/>
      <c r="H638"/>
      <c r="I638"/>
      <c r="J638"/>
      <c r="K638"/>
      <c r="L638"/>
      <c r="M638"/>
      <c r="N638"/>
      <c r="O638"/>
      <c r="P638"/>
      <c r="Q638"/>
      <c r="R638"/>
      <c r="S638"/>
      <c r="T638"/>
      <c r="U638"/>
      <c r="V638"/>
      <c r="W638"/>
      <c r="X638"/>
      <c r="Y638"/>
      <c r="Z638"/>
      <c r="AA638"/>
      <c r="AB638"/>
      <c r="AC638"/>
    </row>
    <row r="639" spans="1:29" s="82" customFormat="1" x14ac:dyDescent="0.25">
      <c r="A639"/>
      <c r="B639"/>
      <c r="C639"/>
      <c r="D639"/>
      <c r="E639"/>
      <c r="F639"/>
      <c r="G639"/>
      <c r="H639"/>
      <c r="I639"/>
      <c r="J639"/>
      <c r="K639"/>
      <c r="L639"/>
      <c r="M639"/>
      <c r="N639"/>
      <c r="O639"/>
      <c r="P639"/>
      <c r="Q639"/>
      <c r="R639"/>
      <c r="S639"/>
      <c r="T639"/>
      <c r="U639"/>
      <c r="V639"/>
      <c r="W639"/>
      <c r="X639"/>
      <c r="Y639"/>
      <c r="Z639"/>
      <c r="AA639"/>
      <c r="AB639"/>
      <c r="AC639"/>
    </row>
    <row r="640" spans="1:29" s="82" customFormat="1" x14ac:dyDescent="0.25">
      <c r="A640"/>
      <c r="B640"/>
      <c r="C640"/>
      <c r="D640"/>
      <c r="E640"/>
      <c r="F640"/>
      <c r="G640"/>
      <c r="H640"/>
      <c r="I640"/>
      <c r="J640"/>
      <c r="K640"/>
      <c r="L640"/>
      <c r="M640"/>
      <c r="N640"/>
      <c r="O640"/>
      <c r="P640"/>
      <c r="Q640"/>
      <c r="R640"/>
      <c r="S640"/>
      <c r="T640"/>
      <c r="U640"/>
      <c r="V640"/>
      <c r="W640"/>
      <c r="X640"/>
      <c r="Y640"/>
      <c r="Z640"/>
      <c r="AA640"/>
      <c r="AB640"/>
      <c r="AC640"/>
    </row>
    <row r="641" spans="1:29" s="82" customFormat="1" x14ac:dyDescent="0.25">
      <c r="A641"/>
      <c r="B641"/>
      <c r="C641"/>
      <c r="D641"/>
      <c r="E641"/>
      <c r="F641"/>
      <c r="G641"/>
      <c r="H641"/>
      <c r="I641"/>
      <c r="J641"/>
      <c r="K641"/>
      <c r="L641"/>
      <c r="M641"/>
      <c r="N641"/>
      <c r="O641"/>
      <c r="P641"/>
      <c r="Q641"/>
      <c r="R641"/>
      <c r="S641"/>
      <c r="T641"/>
      <c r="U641"/>
      <c r="V641"/>
      <c r="W641"/>
      <c r="X641"/>
      <c r="Y641"/>
      <c r="Z641"/>
      <c r="AA641"/>
      <c r="AB641"/>
      <c r="AC641"/>
    </row>
    <row r="642" spans="1:29" s="82" customFormat="1" x14ac:dyDescent="0.25">
      <c r="A642"/>
      <c r="B642"/>
      <c r="C642"/>
      <c r="D642"/>
      <c r="E642"/>
      <c r="F642"/>
      <c r="G642"/>
      <c r="H642"/>
      <c r="I642"/>
      <c r="J642"/>
      <c r="K642"/>
      <c r="L642"/>
      <c r="M642"/>
      <c r="N642"/>
      <c r="O642"/>
      <c r="P642"/>
      <c r="Q642"/>
      <c r="R642"/>
      <c r="S642"/>
      <c r="T642"/>
      <c r="U642"/>
      <c r="V642"/>
      <c r="W642"/>
      <c r="X642"/>
      <c r="Y642"/>
      <c r="Z642"/>
      <c r="AA642"/>
      <c r="AB642"/>
      <c r="AC642"/>
    </row>
    <row r="643" spans="1:29" s="82" customFormat="1" x14ac:dyDescent="0.25">
      <c r="A643"/>
      <c r="B643"/>
      <c r="C643"/>
      <c r="D643"/>
      <c r="E643"/>
      <c r="F643"/>
      <c r="G643"/>
      <c r="H643"/>
      <c r="I643"/>
      <c r="J643"/>
      <c r="K643"/>
      <c r="L643"/>
      <c r="M643"/>
      <c r="N643"/>
      <c r="O643"/>
      <c r="P643"/>
      <c r="Q643"/>
      <c r="R643"/>
      <c r="S643"/>
      <c r="T643"/>
      <c r="U643"/>
      <c r="V643"/>
      <c r="W643"/>
      <c r="X643"/>
      <c r="Y643"/>
      <c r="Z643"/>
      <c r="AA643"/>
      <c r="AB643"/>
      <c r="AC643"/>
    </row>
    <row r="644" spans="1:29" s="82" customFormat="1" x14ac:dyDescent="0.25">
      <c r="A644"/>
      <c r="B644"/>
      <c r="C644"/>
      <c r="D644"/>
      <c r="E644"/>
      <c r="F644"/>
      <c r="G644"/>
      <c r="H644"/>
      <c r="I644"/>
      <c r="J644"/>
      <c r="K644"/>
      <c r="L644"/>
      <c r="M644"/>
      <c r="N644"/>
      <c r="O644"/>
      <c r="P644"/>
      <c r="Q644"/>
      <c r="R644"/>
      <c r="S644"/>
      <c r="T644"/>
      <c r="U644"/>
      <c r="V644"/>
      <c r="W644"/>
      <c r="X644"/>
      <c r="Y644"/>
      <c r="Z644"/>
      <c r="AA644"/>
      <c r="AB644"/>
      <c r="AC644"/>
    </row>
    <row r="645" spans="1:29" s="82" customFormat="1" x14ac:dyDescent="0.25">
      <c r="A645"/>
      <c r="B645"/>
      <c r="C645"/>
      <c r="D645"/>
      <c r="E645"/>
      <c r="F645"/>
      <c r="G645"/>
      <c r="H645"/>
      <c r="I645"/>
      <c r="J645"/>
      <c r="K645"/>
      <c r="L645"/>
      <c r="M645"/>
      <c r="N645"/>
      <c r="O645"/>
      <c r="P645"/>
      <c r="Q645"/>
      <c r="R645"/>
      <c r="S645"/>
      <c r="T645"/>
      <c r="U645"/>
      <c r="V645"/>
      <c r="W645"/>
      <c r="X645"/>
      <c r="Y645"/>
      <c r="Z645"/>
      <c r="AA645"/>
      <c r="AB645"/>
      <c r="AC645"/>
    </row>
    <row r="646" spans="1:29" s="82" customFormat="1" x14ac:dyDescent="0.25">
      <c r="A646"/>
      <c r="B646"/>
      <c r="C646"/>
      <c r="D646"/>
      <c r="E646"/>
      <c r="F646"/>
      <c r="G646"/>
      <c r="H646"/>
      <c r="I646"/>
      <c r="J646"/>
      <c r="K646"/>
      <c r="L646"/>
      <c r="M646"/>
      <c r="N646"/>
      <c r="O646"/>
      <c r="P646"/>
      <c r="Q646"/>
      <c r="R646"/>
      <c r="S646"/>
      <c r="T646"/>
      <c r="U646"/>
      <c r="V646"/>
      <c r="W646"/>
      <c r="X646"/>
      <c r="Y646"/>
      <c r="Z646"/>
      <c r="AA646"/>
      <c r="AB646"/>
      <c r="AC646"/>
    </row>
    <row r="647" spans="1:29" s="82" customFormat="1" x14ac:dyDescent="0.25">
      <c r="A647"/>
      <c r="B647"/>
      <c r="C647"/>
      <c r="D647"/>
      <c r="E647"/>
      <c r="F647"/>
      <c r="G647"/>
      <c r="H647"/>
      <c r="I647"/>
      <c r="J647"/>
      <c r="K647"/>
      <c r="L647"/>
      <c r="M647"/>
      <c r="N647"/>
      <c r="O647"/>
      <c r="P647"/>
      <c r="Q647"/>
      <c r="R647"/>
      <c r="S647"/>
      <c r="T647"/>
      <c r="U647"/>
      <c r="V647"/>
      <c r="W647"/>
      <c r="X647"/>
      <c r="Y647"/>
      <c r="Z647"/>
      <c r="AA647"/>
      <c r="AB647"/>
      <c r="AC647"/>
    </row>
    <row r="648" spans="1:29" s="82" customFormat="1" x14ac:dyDescent="0.25">
      <c r="A648"/>
      <c r="B648"/>
      <c r="C648"/>
      <c r="D648"/>
      <c r="E648"/>
      <c r="F648"/>
      <c r="G648"/>
      <c r="H648"/>
      <c r="I648"/>
      <c r="J648"/>
      <c r="K648"/>
      <c r="L648"/>
      <c r="M648"/>
      <c r="N648"/>
      <c r="O648"/>
      <c r="P648"/>
      <c r="Q648"/>
      <c r="R648"/>
      <c r="S648"/>
      <c r="T648"/>
      <c r="U648"/>
      <c r="V648"/>
      <c r="W648"/>
      <c r="X648"/>
      <c r="Y648"/>
      <c r="Z648"/>
      <c r="AA648"/>
      <c r="AB648"/>
      <c r="AC648"/>
    </row>
    <row r="649" spans="1:29" s="82" customFormat="1" x14ac:dyDescent="0.25">
      <c r="A649"/>
      <c r="B649"/>
      <c r="C649"/>
      <c r="D649"/>
      <c r="E649"/>
      <c r="F649"/>
      <c r="G649"/>
      <c r="H649"/>
      <c r="I649"/>
      <c r="J649"/>
      <c r="K649"/>
      <c r="L649"/>
      <c r="M649"/>
      <c r="N649"/>
      <c r="O649"/>
      <c r="P649"/>
      <c r="Q649"/>
      <c r="R649"/>
      <c r="S649"/>
      <c r="T649"/>
      <c r="U649"/>
      <c r="V649"/>
      <c r="W649"/>
      <c r="X649"/>
      <c r="Y649"/>
      <c r="Z649"/>
      <c r="AA649"/>
      <c r="AB649"/>
      <c r="AC649"/>
    </row>
    <row r="650" spans="1:29" s="82" customFormat="1" x14ac:dyDescent="0.25">
      <c r="A650"/>
      <c r="B650"/>
      <c r="C650"/>
      <c r="D650"/>
      <c r="E650"/>
      <c r="F650"/>
      <c r="G650"/>
      <c r="H650"/>
      <c r="I650"/>
      <c r="J650"/>
      <c r="K650"/>
      <c r="L650"/>
      <c r="M650"/>
      <c r="N650"/>
      <c r="O650"/>
      <c r="P650"/>
      <c r="Q650"/>
      <c r="R650"/>
      <c r="S650"/>
      <c r="T650"/>
      <c r="U650"/>
      <c r="V650"/>
      <c r="W650"/>
      <c r="X650"/>
      <c r="Y650"/>
      <c r="Z650"/>
      <c r="AA650"/>
      <c r="AB650"/>
      <c r="AC650"/>
    </row>
    <row r="651" spans="1:29" s="82" customFormat="1" x14ac:dyDescent="0.25">
      <c r="A651"/>
      <c r="B651"/>
      <c r="C651"/>
      <c r="D651"/>
      <c r="E651"/>
      <c r="F651"/>
      <c r="G651"/>
      <c r="H651"/>
      <c r="I651"/>
      <c r="J651"/>
      <c r="K651"/>
      <c r="L651"/>
      <c r="M651"/>
      <c r="N651"/>
      <c r="O651"/>
      <c r="P651"/>
      <c r="Q651"/>
      <c r="R651"/>
      <c r="S651"/>
      <c r="T651"/>
      <c r="U651"/>
      <c r="V651"/>
      <c r="W651"/>
      <c r="X651"/>
      <c r="Y651"/>
      <c r="Z651"/>
      <c r="AA651"/>
      <c r="AB651"/>
      <c r="AC651"/>
    </row>
    <row r="652" spans="1:29" s="82" customFormat="1" x14ac:dyDescent="0.25">
      <c r="A652"/>
      <c r="B652"/>
      <c r="C652"/>
      <c r="D652"/>
      <c r="E652"/>
      <c r="F652"/>
      <c r="G652"/>
      <c r="H652"/>
      <c r="I652"/>
      <c r="J652"/>
      <c r="K652"/>
      <c r="L652"/>
      <c r="M652"/>
      <c r="N652"/>
      <c r="O652"/>
      <c r="P652"/>
      <c r="Q652"/>
      <c r="R652"/>
      <c r="S652"/>
      <c r="T652"/>
      <c r="U652"/>
      <c r="V652"/>
      <c r="W652"/>
      <c r="X652"/>
      <c r="Y652"/>
      <c r="Z652"/>
      <c r="AA652"/>
      <c r="AB652"/>
      <c r="AC652"/>
    </row>
    <row r="653" spans="1:29" s="82" customFormat="1" x14ac:dyDescent="0.25">
      <c r="A653"/>
      <c r="B653"/>
      <c r="C653"/>
      <c r="D653"/>
      <c r="E653"/>
      <c r="F653"/>
      <c r="G653"/>
      <c r="H653"/>
      <c r="I653"/>
      <c r="J653"/>
      <c r="K653"/>
      <c r="L653"/>
      <c r="M653"/>
      <c r="N653"/>
      <c r="O653"/>
      <c r="P653"/>
      <c r="Q653"/>
      <c r="R653"/>
      <c r="S653"/>
      <c r="T653"/>
      <c r="U653"/>
      <c r="V653"/>
      <c r="W653"/>
      <c r="X653"/>
      <c r="Y653"/>
      <c r="Z653"/>
      <c r="AA653"/>
      <c r="AB653"/>
      <c r="AC653"/>
    </row>
    <row r="654" spans="1:29" s="82" customFormat="1" x14ac:dyDescent="0.25">
      <c r="A654"/>
      <c r="B654"/>
      <c r="C654"/>
      <c r="D654"/>
      <c r="E654"/>
      <c r="F654"/>
      <c r="G654"/>
      <c r="H654"/>
      <c r="I654"/>
      <c r="J654"/>
      <c r="K654"/>
      <c r="L654"/>
      <c r="M654"/>
      <c r="N654"/>
      <c r="O654"/>
      <c r="P654"/>
      <c r="Q654"/>
      <c r="R654"/>
      <c r="S654"/>
      <c r="T654"/>
      <c r="U654"/>
      <c r="V654"/>
      <c r="W654"/>
      <c r="X654"/>
      <c r="Y654"/>
      <c r="Z654"/>
      <c r="AA654"/>
      <c r="AB654"/>
      <c r="AC654"/>
    </row>
    <row r="655" spans="1:29" s="82" customFormat="1" x14ac:dyDescent="0.25">
      <c r="A655"/>
      <c r="B655"/>
      <c r="C655"/>
      <c r="D655"/>
      <c r="E655"/>
      <c r="F655"/>
      <c r="G655"/>
      <c r="H655"/>
      <c r="I655"/>
      <c r="J655"/>
      <c r="K655"/>
      <c r="L655"/>
      <c r="M655"/>
      <c r="N655"/>
      <c r="O655"/>
      <c r="P655"/>
      <c r="Q655"/>
      <c r="R655"/>
      <c r="S655"/>
      <c r="T655"/>
      <c r="U655"/>
      <c r="V655"/>
      <c r="W655"/>
      <c r="X655"/>
      <c r="Y655"/>
      <c r="Z655"/>
      <c r="AA655"/>
      <c r="AB655"/>
      <c r="AC655"/>
    </row>
    <row r="656" spans="1:29" s="82" customFormat="1" x14ac:dyDescent="0.25">
      <c r="A656"/>
      <c r="B656"/>
      <c r="C656"/>
      <c r="D656"/>
      <c r="E656"/>
      <c r="F656"/>
      <c r="G656"/>
      <c r="H656"/>
      <c r="I656"/>
      <c r="J656"/>
      <c r="K656"/>
      <c r="L656"/>
      <c r="M656"/>
      <c r="N656"/>
      <c r="O656"/>
      <c r="P656"/>
      <c r="Q656"/>
      <c r="R656"/>
      <c r="S656"/>
      <c r="T656"/>
      <c r="U656"/>
      <c r="V656"/>
      <c r="W656"/>
      <c r="X656"/>
      <c r="Y656"/>
      <c r="Z656"/>
      <c r="AA656"/>
      <c r="AB656"/>
      <c r="AC656"/>
    </row>
    <row r="657" spans="1:29" s="82" customFormat="1" x14ac:dyDescent="0.25">
      <c r="A657"/>
      <c r="B657"/>
      <c r="C657"/>
      <c r="D657"/>
      <c r="E657"/>
      <c r="F657"/>
      <c r="G657"/>
      <c r="H657"/>
      <c r="I657"/>
      <c r="J657"/>
      <c r="K657"/>
      <c r="L657"/>
      <c r="M657"/>
      <c r="N657"/>
      <c r="O657"/>
      <c r="P657"/>
      <c r="Q657"/>
      <c r="R657"/>
      <c r="S657"/>
      <c r="T657"/>
      <c r="U657"/>
      <c r="V657"/>
      <c r="W657"/>
      <c r="X657"/>
      <c r="Y657"/>
      <c r="Z657"/>
      <c r="AA657"/>
      <c r="AB657"/>
      <c r="AC657"/>
    </row>
    <row r="658" spans="1:29" s="82" customFormat="1" x14ac:dyDescent="0.25">
      <c r="A658"/>
      <c r="B658"/>
      <c r="C658"/>
      <c r="D658"/>
      <c r="E658"/>
      <c r="F658"/>
      <c r="G658"/>
      <c r="H658"/>
      <c r="I658"/>
      <c r="J658"/>
      <c r="K658"/>
      <c r="L658"/>
      <c r="M658"/>
      <c r="N658"/>
      <c r="O658"/>
      <c r="P658"/>
      <c r="Q658"/>
      <c r="R658"/>
      <c r="S658"/>
      <c r="T658"/>
      <c r="U658"/>
      <c r="V658"/>
      <c r="W658"/>
      <c r="X658"/>
      <c r="Y658"/>
      <c r="Z658"/>
      <c r="AA658"/>
      <c r="AB658"/>
      <c r="AC658"/>
    </row>
    <row r="659" spans="1:29" s="82" customFormat="1" x14ac:dyDescent="0.25">
      <c r="A659"/>
      <c r="B659"/>
      <c r="C659"/>
      <c r="D659"/>
      <c r="E659"/>
      <c r="F659"/>
      <c r="G659"/>
      <c r="H659"/>
      <c r="I659"/>
      <c r="J659"/>
      <c r="K659"/>
      <c r="L659"/>
      <c r="M659"/>
      <c r="N659"/>
      <c r="O659"/>
      <c r="P659"/>
      <c r="Q659"/>
      <c r="R659"/>
      <c r="S659"/>
      <c r="T659"/>
      <c r="U659"/>
      <c r="V659"/>
      <c r="W659"/>
      <c r="X659"/>
      <c r="Y659"/>
      <c r="Z659"/>
      <c r="AA659"/>
      <c r="AB659"/>
      <c r="AC659"/>
    </row>
    <row r="660" spans="1:29" s="82" customFormat="1" x14ac:dyDescent="0.25">
      <c r="A660"/>
      <c r="B660"/>
      <c r="C660"/>
      <c r="D660"/>
      <c r="E660"/>
      <c r="F660"/>
      <c r="G660"/>
      <c r="H660"/>
      <c r="I660"/>
      <c r="J660"/>
      <c r="K660"/>
      <c r="L660"/>
      <c r="M660"/>
      <c r="N660"/>
      <c r="O660"/>
      <c r="P660"/>
      <c r="Q660"/>
      <c r="R660"/>
      <c r="S660"/>
      <c r="T660"/>
      <c r="U660"/>
      <c r="V660"/>
      <c r="W660"/>
      <c r="X660"/>
      <c r="Y660"/>
      <c r="Z660"/>
      <c r="AA660"/>
      <c r="AB660"/>
      <c r="AC660"/>
    </row>
    <row r="661" spans="1:29" s="82" customFormat="1" x14ac:dyDescent="0.25">
      <c r="A661"/>
      <c r="B661"/>
      <c r="C661"/>
      <c r="D661"/>
      <c r="E661"/>
      <c r="F661"/>
      <c r="G661"/>
      <c r="H661"/>
      <c r="I661"/>
      <c r="J661"/>
      <c r="K661"/>
      <c r="L661"/>
      <c r="M661"/>
      <c r="N661"/>
      <c r="O661"/>
      <c r="P661"/>
      <c r="Q661"/>
      <c r="R661"/>
      <c r="S661"/>
      <c r="T661"/>
      <c r="U661"/>
      <c r="V661"/>
      <c r="W661"/>
      <c r="X661"/>
      <c r="Y661"/>
      <c r="Z661"/>
      <c r="AA661"/>
      <c r="AB661"/>
      <c r="AC661"/>
    </row>
    <row r="662" spans="1:29" s="82" customFormat="1" x14ac:dyDescent="0.25">
      <c r="A662"/>
      <c r="B662"/>
      <c r="C662"/>
      <c r="D662"/>
      <c r="E662"/>
      <c r="F662"/>
      <c r="G662"/>
      <c r="H662"/>
      <c r="I662"/>
      <c r="J662"/>
      <c r="K662"/>
      <c r="L662"/>
      <c r="M662"/>
      <c r="N662"/>
      <c r="O662"/>
      <c r="P662"/>
      <c r="Q662"/>
      <c r="R662"/>
      <c r="S662"/>
      <c r="T662"/>
      <c r="U662"/>
      <c r="V662"/>
      <c r="W662"/>
      <c r="X662"/>
      <c r="Y662"/>
      <c r="Z662"/>
      <c r="AA662"/>
      <c r="AB662"/>
      <c r="AC662"/>
    </row>
    <row r="663" spans="1:29" s="82" customFormat="1" x14ac:dyDescent="0.25">
      <c r="A663"/>
      <c r="B663"/>
      <c r="C663"/>
      <c r="D663"/>
      <c r="E663"/>
      <c r="F663"/>
      <c r="G663"/>
      <c r="H663"/>
      <c r="I663"/>
      <c r="J663"/>
      <c r="K663"/>
      <c r="L663"/>
      <c r="M663"/>
      <c r="N663"/>
      <c r="O663"/>
      <c r="P663"/>
      <c r="Q663"/>
      <c r="R663"/>
      <c r="S663"/>
      <c r="T663"/>
      <c r="U663"/>
      <c r="V663"/>
      <c r="W663"/>
      <c r="X663"/>
      <c r="Y663"/>
      <c r="Z663"/>
      <c r="AA663"/>
      <c r="AB663"/>
      <c r="AC663"/>
    </row>
    <row r="664" spans="1:29" s="82" customFormat="1" x14ac:dyDescent="0.25">
      <c r="A664"/>
      <c r="B664"/>
      <c r="C664"/>
      <c r="D664"/>
      <c r="E664"/>
      <c r="F664"/>
      <c r="G664"/>
      <c r="H664"/>
      <c r="I664"/>
      <c r="J664"/>
      <c r="K664"/>
      <c r="L664"/>
      <c r="M664"/>
      <c r="N664"/>
      <c r="O664"/>
      <c r="P664"/>
      <c r="Q664"/>
      <c r="R664"/>
      <c r="S664"/>
      <c r="T664"/>
      <c r="U664"/>
      <c r="V664"/>
      <c r="W664"/>
      <c r="X664"/>
      <c r="Y664"/>
      <c r="Z664"/>
      <c r="AA664"/>
      <c r="AB664"/>
      <c r="AC664"/>
    </row>
    <row r="665" spans="1:29" s="82" customFormat="1" x14ac:dyDescent="0.25">
      <c r="A665"/>
      <c r="B665"/>
      <c r="C665"/>
      <c r="D665"/>
      <c r="E665"/>
      <c r="F665"/>
      <c r="G665"/>
      <c r="H665"/>
      <c r="I665"/>
      <c r="J665"/>
      <c r="K665"/>
      <c r="L665"/>
      <c r="M665"/>
      <c r="N665"/>
      <c r="O665"/>
      <c r="P665"/>
      <c r="Q665"/>
      <c r="R665"/>
      <c r="S665"/>
      <c r="T665"/>
      <c r="U665"/>
      <c r="V665"/>
      <c r="W665"/>
      <c r="X665"/>
      <c r="Y665"/>
      <c r="Z665"/>
      <c r="AA665"/>
      <c r="AB665"/>
      <c r="AC665"/>
    </row>
    <row r="666" spans="1:29" s="82" customFormat="1" x14ac:dyDescent="0.25">
      <c r="A666"/>
      <c r="B666"/>
      <c r="C666"/>
      <c r="D666"/>
      <c r="E666"/>
      <c r="F666"/>
      <c r="G666"/>
      <c r="H666"/>
      <c r="I666"/>
      <c r="J666"/>
      <c r="K666"/>
      <c r="L666"/>
      <c r="M666"/>
      <c r="N666"/>
      <c r="O666"/>
      <c r="P666"/>
      <c r="Q666"/>
      <c r="R666"/>
      <c r="S666"/>
      <c r="T666"/>
      <c r="U666"/>
      <c r="V666"/>
      <c r="W666"/>
      <c r="X666"/>
      <c r="Y666"/>
      <c r="Z666"/>
      <c r="AA666"/>
      <c r="AB666"/>
      <c r="AC666"/>
    </row>
    <row r="667" spans="1:29" s="82" customFormat="1" x14ac:dyDescent="0.25">
      <c r="A667"/>
      <c r="B667"/>
      <c r="C667"/>
      <c r="D667"/>
      <c r="E667"/>
      <c r="F667"/>
      <c r="G667"/>
      <c r="H667"/>
      <c r="I667"/>
      <c r="J667"/>
      <c r="K667"/>
      <c r="L667"/>
      <c r="M667"/>
      <c r="N667"/>
      <c r="O667"/>
      <c r="P667"/>
      <c r="Q667"/>
      <c r="R667"/>
      <c r="S667"/>
      <c r="T667"/>
      <c r="U667"/>
      <c r="V667"/>
      <c r="W667"/>
      <c r="X667"/>
      <c r="Y667"/>
      <c r="Z667"/>
      <c r="AA667"/>
      <c r="AB667"/>
      <c r="AC667"/>
    </row>
    <row r="668" spans="1:29" s="82" customFormat="1" x14ac:dyDescent="0.25">
      <c r="A668"/>
      <c r="B668"/>
      <c r="C668"/>
      <c r="D668"/>
      <c r="E668"/>
      <c r="F668"/>
      <c r="G668"/>
      <c r="H668"/>
      <c r="I668"/>
      <c r="J668"/>
      <c r="K668"/>
      <c r="L668"/>
      <c r="M668"/>
      <c r="N668"/>
      <c r="O668"/>
      <c r="P668"/>
      <c r="Q668"/>
      <c r="R668"/>
      <c r="S668"/>
      <c r="T668"/>
      <c r="U668"/>
      <c r="V668"/>
      <c r="W668"/>
      <c r="X668"/>
      <c r="Y668"/>
      <c r="Z668"/>
      <c r="AA668"/>
      <c r="AB668"/>
      <c r="AC668"/>
    </row>
    <row r="669" spans="1:29" s="82" customFormat="1" x14ac:dyDescent="0.25">
      <c r="A669"/>
      <c r="B669"/>
      <c r="C669"/>
      <c r="D669"/>
      <c r="E669"/>
      <c r="F669"/>
      <c r="G669"/>
      <c r="H669"/>
      <c r="I669"/>
      <c r="J669"/>
      <c r="K669"/>
      <c r="L669"/>
      <c r="M669"/>
      <c r="N669"/>
      <c r="O669"/>
      <c r="P669"/>
      <c r="Q669"/>
      <c r="R669"/>
      <c r="S669"/>
      <c r="T669"/>
      <c r="U669"/>
      <c r="V669"/>
      <c r="W669"/>
      <c r="X669"/>
      <c r="Y669"/>
      <c r="Z669"/>
      <c r="AA669"/>
      <c r="AB669"/>
      <c r="AC669"/>
    </row>
    <row r="670" spans="1:29" s="82" customFormat="1" x14ac:dyDescent="0.25">
      <c r="A670"/>
      <c r="B670"/>
      <c r="C670"/>
      <c r="D670"/>
      <c r="E670"/>
      <c r="F670"/>
      <c r="G670"/>
      <c r="H670"/>
      <c r="I670"/>
      <c r="J670"/>
      <c r="K670"/>
      <c r="L670"/>
      <c r="M670"/>
      <c r="N670"/>
      <c r="O670"/>
      <c r="P670"/>
      <c r="Q670"/>
      <c r="R670"/>
      <c r="S670"/>
      <c r="T670"/>
      <c r="U670"/>
      <c r="V670"/>
      <c r="W670"/>
      <c r="X670"/>
      <c r="Y670"/>
      <c r="Z670"/>
      <c r="AA670"/>
      <c r="AB670"/>
      <c r="AC670"/>
    </row>
    <row r="671" spans="1:29" s="82" customFormat="1" x14ac:dyDescent="0.25">
      <c r="A671"/>
      <c r="B671"/>
      <c r="C671"/>
      <c r="D671"/>
      <c r="E671"/>
      <c r="F671"/>
      <c r="G671"/>
      <c r="H671"/>
      <c r="I671"/>
      <c r="J671"/>
      <c r="K671"/>
      <c r="L671"/>
      <c r="M671"/>
      <c r="N671"/>
      <c r="O671"/>
      <c r="P671"/>
      <c r="Q671"/>
      <c r="R671"/>
      <c r="S671"/>
      <c r="T671"/>
      <c r="U671"/>
      <c r="V671"/>
      <c r="W671"/>
      <c r="X671"/>
      <c r="Y671"/>
      <c r="Z671"/>
      <c r="AA671"/>
      <c r="AB671"/>
      <c r="AC671"/>
    </row>
    <row r="672" spans="1:29" s="82" customFormat="1" x14ac:dyDescent="0.25">
      <c r="A672"/>
      <c r="B672"/>
      <c r="C672"/>
      <c r="D672"/>
      <c r="E672"/>
      <c r="F672"/>
      <c r="G672"/>
      <c r="H672"/>
      <c r="I672"/>
      <c r="J672"/>
      <c r="K672"/>
      <c r="L672"/>
      <c r="M672"/>
      <c r="N672"/>
      <c r="O672"/>
      <c r="P672"/>
      <c r="Q672"/>
      <c r="R672"/>
      <c r="S672"/>
      <c r="T672"/>
      <c r="U672"/>
      <c r="V672"/>
      <c r="W672"/>
      <c r="X672"/>
      <c r="Y672"/>
      <c r="Z672"/>
      <c r="AA672"/>
      <c r="AB672"/>
      <c r="AC672"/>
    </row>
    <row r="673" spans="1:29" s="82" customFormat="1" x14ac:dyDescent="0.25">
      <c r="A673"/>
      <c r="B673"/>
      <c r="C673"/>
      <c r="D673"/>
      <c r="E673"/>
      <c r="F673"/>
      <c r="G673"/>
      <c r="H673"/>
      <c r="I673"/>
      <c r="J673"/>
      <c r="K673"/>
      <c r="L673"/>
      <c r="M673"/>
      <c r="N673"/>
      <c r="O673"/>
      <c r="P673"/>
      <c r="Q673"/>
      <c r="R673"/>
      <c r="S673"/>
      <c r="T673"/>
      <c r="U673"/>
      <c r="V673"/>
      <c r="W673"/>
      <c r="X673"/>
      <c r="Y673"/>
      <c r="Z673"/>
      <c r="AA673"/>
      <c r="AB673"/>
      <c r="AC673"/>
    </row>
    <row r="674" spans="1:29" s="82" customFormat="1" x14ac:dyDescent="0.25">
      <c r="A674"/>
      <c r="B674"/>
      <c r="C674"/>
      <c r="D674"/>
      <c r="E674"/>
      <c r="F674"/>
      <c r="G674"/>
      <c r="H674"/>
      <c r="I674"/>
      <c r="J674"/>
      <c r="K674"/>
      <c r="L674"/>
      <c r="M674"/>
      <c r="N674"/>
      <c r="O674"/>
      <c r="P674"/>
      <c r="Q674"/>
      <c r="R674"/>
      <c r="S674"/>
      <c r="T674"/>
      <c r="U674"/>
      <c r="V674"/>
      <c r="W674"/>
      <c r="X674"/>
      <c r="Y674"/>
      <c r="Z674"/>
      <c r="AA674"/>
      <c r="AB674"/>
      <c r="AC674"/>
    </row>
    <row r="675" spans="1:29" s="82" customFormat="1" x14ac:dyDescent="0.25">
      <c r="A675"/>
      <c r="B675"/>
      <c r="C675"/>
      <c r="D675"/>
      <c r="E675"/>
      <c r="F675"/>
      <c r="G675"/>
      <c r="H675"/>
      <c r="I675"/>
      <c r="J675"/>
      <c r="K675"/>
      <c r="L675"/>
      <c r="M675"/>
      <c r="N675"/>
      <c r="O675"/>
      <c r="P675"/>
      <c r="Q675"/>
      <c r="R675"/>
      <c r="S675"/>
      <c r="T675"/>
      <c r="U675"/>
      <c r="V675"/>
      <c r="W675"/>
      <c r="X675"/>
      <c r="Y675"/>
      <c r="Z675"/>
      <c r="AA675"/>
      <c r="AB675"/>
      <c r="AC675"/>
    </row>
    <row r="676" spans="1:29" s="82" customFormat="1" x14ac:dyDescent="0.25">
      <c r="A676"/>
      <c r="B676"/>
      <c r="C676"/>
      <c r="D676"/>
      <c r="E676"/>
      <c r="F676"/>
      <c r="G676"/>
      <c r="H676"/>
      <c r="I676"/>
      <c r="J676"/>
      <c r="K676"/>
      <c r="L676"/>
      <c r="M676"/>
      <c r="N676"/>
      <c r="O676"/>
      <c r="P676"/>
      <c r="Q676"/>
      <c r="R676"/>
      <c r="S676"/>
      <c r="T676"/>
      <c r="U676"/>
      <c r="V676"/>
      <c r="W676"/>
      <c r="X676"/>
      <c r="Y676"/>
      <c r="Z676"/>
      <c r="AA676"/>
      <c r="AB676"/>
      <c r="AC676"/>
    </row>
    <row r="677" spans="1:29" s="82" customFormat="1" x14ac:dyDescent="0.25">
      <c r="A677"/>
      <c r="B677"/>
      <c r="C677"/>
      <c r="D677"/>
      <c r="E677"/>
      <c r="F677"/>
      <c r="G677"/>
      <c r="H677"/>
      <c r="I677"/>
      <c r="J677"/>
      <c r="K677"/>
      <c r="L677"/>
      <c r="M677"/>
      <c r="N677"/>
      <c r="O677"/>
      <c r="P677"/>
      <c r="Q677"/>
      <c r="R677"/>
      <c r="S677"/>
      <c r="T677"/>
      <c r="U677"/>
      <c r="V677"/>
      <c r="W677"/>
      <c r="X677"/>
      <c r="Y677"/>
      <c r="Z677"/>
      <c r="AA677"/>
      <c r="AB677"/>
      <c r="AC677"/>
    </row>
    <row r="678" spans="1:29" s="82" customFormat="1" x14ac:dyDescent="0.25">
      <c r="A678"/>
      <c r="B678"/>
      <c r="C678"/>
      <c r="D678"/>
      <c r="E678"/>
      <c r="F678"/>
      <c r="G678"/>
      <c r="H678"/>
      <c r="I678"/>
      <c r="J678"/>
      <c r="K678"/>
      <c r="L678"/>
      <c r="M678"/>
      <c r="N678"/>
      <c r="O678"/>
      <c r="P678"/>
      <c r="Q678"/>
      <c r="R678"/>
      <c r="S678"/>
      <c r="T678"/>
      <c r="U678"/>
      <c r="V678"/>
      <c r="W678"/>
      <c r="X678"/>
      <c r="Y678"/>
      <c r="Z678"/>
      <c r="AA678"/>
      <c r="AB678"/>
      <c r="AC678"/>
    </row>
    <row r="679" spans="1:29" s="82" customFormat="1" x14ac:dyDescent="0.25">
      <c r="A679"/>
      <c r="B679"/>
      <c r="C679"/>
      <c r="D679"/>
      <c r="E679"/>
      <c r="F679"/>
      <c r="G679"/>
      <c r="H679"/>
      <c r="I679"/>
      <c r="J679"/>
      <c r="K679"/>
      <c r="L679"/>
      <c r="M679"/>
      <c r="N679"/>
      <c r="O679"/>
      <c r="P679"/>
      <c r="Q679"/>
      <c r="R679"/>
      <c r="S679"/>
      <c r="T679"/>
      <c r="U679"/>
      <c r="V679"/>
      <c r="W679"/>
      <c r="X679"/>
      <c r="Y679"/>
      <c r="Z679"/>
      <c r="AA679"/>
      <c r="AB679"/>
      <c r="AC679"/>
    </row>
    <row r="680" spans="1:29" s="82" customFormat="1" x14ac:dyDescent="0.25">
      <c r="A680"/>
      <c r="B680"/>
      <c r="C680"/>
      <c r="D680"/>
      <c r="E680"/>
      <c r="F680"/>
      <c r="G680"/>
      <c r="H680"/>
      <c r="I680"/>
      <c r="J680"/>
      <c r="K680"/>
      <c r="L680"/>
      <c r="M680"/>
      <c r="N680"/>
      <c r="O680"/>
      <c r="P680"/>
      <c r="Q680"/>
      <c r="R680"/>
      <c r="S680"/>
      <c r="T680"/>
      <c r="U680"/>
      <c r="V680"/>
      <c r="W680"/>
      <c r="X680"/>
      <c r="Y680"/>
      <c r="Z680"/>
      <c r="AA680"/>
      <c r="AB680"/>
      <c r="AC680"/>
    </row>
    <row r="681" spans="1:29" s="82" customFormat="1" x14ac:dyDescent="0.25">
      <c r="A681"/>
      <c r="B681"/>
      <c r="C681"/>
      <c r="D681"/>
      <c r="E681"/>
      <c r="F681"/>
      <c r="G681"/>
      <c r="H681"/>
      <c r="I681"/>
      <c r="J681"/>
      <c r="K681"/>
      <c r="L681"/>
      <c r="M681"/>
      <c r="N681"/>
      <c r="O681"/>
      <c r="P681"/>
      <c r="Q681"/>
      <c r="R681"/>
      <c r="S681"/>
      <c r="T681"/>
      <c r="U681"/>
      <c r="V681"/>
      <c r="W681"/>
      <c r="X681"/>
      <c r="Y681"/>
      <c r="Z681"/>
      <c r="AA681"/>
      <c r="AB681"/>
      <c r="AC681"/>
    </row>
    <row r="682" spans="1:29" s="82" customFormat="1" x14ac:dyDescent="0.25">
      <c r="A682"/>
      <c r="B682"/>
      <c r="C682"/>
      <c r="D682"/>
      <c r="E682"/>
      <c r="F682"/>
      <c r="G682"/>
      <c r="H682"/>
      <c r="I682"/>
      <c r="J682"/>
      <c r="K682"/>
      <c r="L682"/>
      <c r="M682"/>
      <c r="N682"/>
      <c r="O682"/>
      <c r="P682"/>
      <c r="Q682"/>
      <c r="R682"/>
      <c r="S682"/>
      <c r="T682"/>
      <c r="U682"/>
      <c r="V682"/>
      <c r="W682"/>
      <c r="X682"/>
      <c r="Y682"/>
      <c r="Z682"/>
      <c r="AA682"/>
      <c r="AB682"/>
      <c r="AC682"/>
    </row>
    <row r="683" spans="1:29" s="82" customFormat="1" x14ac:dyDescent="0.25">
      <c r="A683"/>
      <c r="B683"/>
      <c r="C683"/>
      <c r="D683"/>
      <c r="E683"/>
      <c r="F683"/>
      <c r="G683"/>
      <c r="H683"/>
      <c r="I683"/>
      <c r="J683"/>
      <c r="K683"/>
      <c r="L683"/>
      <c r="M683"/>
      <c r="N683"/>
      <c r="O683"/>
      <c r="P683"/>
      <c r="Q683"/>
      <c r="R683"/>
      <c r="S683"/>
      <c r="T683"/>
      <c r="U683"/>
      <c r="V683"/>
      <c r="W683"/>
      <c r="X683"/>
      <c r="Y683"/>
      <c r="Z683"/>
      <c r="AA683"/>
      <c r="AB683"/>
      <c r="AC683"/>
    </row>
    <row r="684" spans="1:29" s="82" customFormat="1" x14ac:dyDescent="0.25">
      <c r="A684"/>
      <c r="B684"/>
      <c r="C684"/>
      <c r="D684"/>
      <c r="E684"/>
      <c r="F684"/>
      <c r="G684"/>
      <c r="H684"/>
      <c r="I684"/>
      <c r="J684"/>
      <c r="K684"/>
      <c r="L684"/>
      <c r="M684"/>
      <c r="N684"/>
      <c r="O684"/>
      <c r="P684"/>
      <c r="Q684"/>
      <c r="R684"/>
      <c r="S684"/>
      <c r="T684"/>
      <c r="U684"/>
      <c r="V684"/>
      <c r="W684"/>
      <c r="X684"/>
      <c r="Y684"/>
      <c r="Z684"/>
      <c r="AA684"/>
      <c r="AB684"/>
      <c r="AC684"/>
    </row>
    <row r="685" spans="1:29" s="82" customFormat="1" x14ac:dyDescent="0.25">
      <c r="A685"/>
      <c r="B685"/>
      <c r="C685"/>
      <c r="D685"/>
      <c r="E685"/>
      <c r="F685"/>
      <c r="G685"/>
      <c r="H685"/>
      <c r="I685"/>
      <c r="J685"/>
      <c r="K685"/>
      <c r="L685"/>
      <c r="M685"/>
      <c r="N685"/>
      <c r="O685"/>
      <c r="P685"/>
      <c r="Q685"/>
      <c r="R685"/>
      <c r="S685"/>
      <c r="T685"/>
      <c r="U685"/>
      <c r="V685"/>
      <c r="W685"/>
      <c r="X685"/>
      <c r="Y685"/>
      <c r="Z685"/>
      <c r="AA685"/>
      <c r="AB685"/>
      <c r="AC685"/>
    </row>
    <row r="686" spans="1:29" s="82" customFormat="1" x14ac:dyDescent="0.25">
      <c r="A686"/>
      <c r="B686"/>
      <c r="C686"/>
      <c r="D686"/>
      <c r="E686"/>
      <c r="F686"/>
      <c r="G686"/>
      <c r="H686"/>
      <c r="I686"/>
      <c r="J686"/>
      <c r="K686"/>
      <c r="L686"/>
      <c r="M686"/>
      <c r="N686"/>
      <c r="O686"/>
      <c r="P686"/>
      <c r="Q686"/>
      <c r="R686"/>
      <c r="S686"/>
      <c r="T686"/>
      <c r="U686"/>
      <c r="V686"/>
      <c r="W686"/>
      <c r="X686"/>
      <c r="Y686"/>
      <c r="Z686"/>
      <c r="AA686"/>
      <c r="AB686"/>
      <c r="AC686"/>
    </row>
    <row r="687" spans="1:29" s="82" customFormat="1" x14ac:dyDescent="0.25">
      <c r="A687"/>
      <c r="B687"/>
      <c r="C687"/>
      <c r="D687"/>
      <c r="E687"/>
      <c r="F687"/>
      <c r="G687"/>
      <c r="H687"/>
      <c r="I687"/>
      <c r="J687"/>
      <c r="K687"/>
      <c r="L687"/>
      <c r="M687"/>
      <c r="N687"/>
      <c r="O687"/>
      <c r="P687"/>
      <c r="Q687"/>
      <c r="R687"/>
      <c r="S687"/>
      <c r="T687"/>
      <c r="U687"/>
      <c r="V687"/>
      <c r="W687"/>
      <c r="X687"/>
      <c r="Y687"/>
      <c r="Z687"/>
      <c r="AA687"/>
      <c r="AB687"/>
      <c r="AC687"/>
    </row>
    <row r="688" spans="1:29" s="82" customFormat="1" x14ac:dyDescent="0.25">
      <c r="A688"/>
      <c r="B688"/>
      <c r="C688"/>
      <c r="D688"/>
      <c r="E688"/>
      <c r="F688"/>
      <c r="G688"/>
      <c r="H688"/>
      <c r="I688"/>
      <c r="J688"/>
      <c r="K688"/>
      <c r="L688"/>
      <c r="M688"/>
      <c r="N688"/>
      <c r="O688"/>
      <c r="P688"/>
      <c r="Q688"/>
      <c r="R688"/>
      <c r="S688"/>
      <c r="T688"/>
      <c r="U688"/>
      <c r="V688"/>
      <c r="W688"/>
      <c r="X688"/>
      <c r="Y688"/>
      <c r="Z688"/>
      <c r="AA688"/>
      <c r="AB688"/>
      <c r="AC688"/>
    </row>
    <row r="689" spans="1:29" s="82" customFormat="1" x14ac:dyDescent="0.25">
      <c r="A689"/>
      <c r="B689"/>
      <c r="C689"/>
      <c r="D689"/>
      <c r="E689"/>
      <c r="F689"/>
      <c r="G689"/>
      <c r="H689"/>
      <c r="I689"/>
      <c r="J689"/>
      <c r="K689"/>
      <c r="L689"/>
      <c r="M689"/>
      <c r="N689"/>
      <c r="O689"/>
      <c r="P689"/>
      <c r="Q689"/>
      <c r="R689"/>
      <c r="S689"/>
      <c r="T689"/>
      <c r="U689"/>
      <c r="V689"/>
      <c r="W689"/>
      <c r="X689"/>
      <c r="Y689"/>
      <c r="Z689"/>
      <c r="AA689"/>
      <c r="AB689"/>
      <c r="AC689"/>
    </row>
    <row r="690" spans="1:29" s="82" customFormat="1" x14ac:dyDescent="0.25">
      <c r="A690"/>
      <c r="B690"/>
      <c r="C690"/>
      <c r="D690"/>
      <c r="E690"/>
      <c r="F690"/>
      <c r="G690"/>
      <c r="H690"/>
      <c r="I690"/>
      <c r="J690"/>
      <c r="K690"/>
      <c r="L690"/>
      <c r="M690"/>
      <c r="N690"/>
      <c r="O690"/>
      <c r="P690"/>
      <c r="Q690"/>
      <c r="R690"/>
      <c r="S690"/>
      <c r="T690"/>
      <c r="U690"/>
      <c r="V690"/>
      <c r="W690"/>
      <c r="X690"/>
      <c r="Y690"/>
      <c r="Z690"/>
      <c r="AA690"/>
      <c r="AB690"/>
      <c r="AC690"/>
    </row>
    <row r="691" spans="1:29" s="82" customFormat="1" x14ac:dyDescent="0.25">
      <c r="A691"/>
      <c r="B691"/>
      <c r="C691"/>
      <c r="D691"/>
      <c r="E691"/>
      <c r="F691"/>
      <c r="G691"/>
      <c r="H691"/>
      <c r="I691"/>
      <c r="J691"/>
      <c r="K691"/>
      <c r="L691"/>
      <c r="M691"/>
      <c r="N691"/>
      <c r="O691"/>
      <c r="P691"/>
      <c r="Q691"/>
      <c r="R691"/>
      <c r="S691"/>
      <c r="T691"/>
      <c r="U691"/>
      <c r="V691"/>
      <c r="W691"/>
      <c r="X691"/>
      <c r="Y691"/>
      <c r="Z691"/>
      <c r="AA691"/>
      <c r="AB691"/>
      <c r="AC691"/>
    </row>
    <row r="692" spans="1:29" s="82" customFormat="1" x14ac:dyDescent="0.25">
      <c r="A692"/>
      <c r="B692"/>
      <c r="C692"/>
      <c r="D692"/>
      <c r="E692"/>
      <c r="F692"/>
      <c r="G692"/>
      <c r="H692"/>
      <c r="I692"/>
      <c r="J692"/>
      <c r="K692"/>
      <c r="L692"/>
      <c r="M692"/>
      <c r="N692"/>
      <c r="O692"/>
      <c r="P692"/>
      <c r="Q692"/>
      <c r="R692"/>
      <c r="S692"/>
      <c r="T692"/>
      <c r="U692"/>
      <c r="V692"/>
      <c r="W692"/>
      <c r="X692"/>
      <c r="Y692"/>
      <c r="Z692"/>
      <c r="AA692"/>
      <c r="AB692"/>
      <c r="AC692"/>
    </row>
    <row r="693" spans="1:29" s="82" customFormat="1" x14ac:dyDescent="0.25">
      <c r="A693"/>
      <c r="B693"/>
      <c r="C693"/>
      <c r="D693"/>
      <c r="E693"/>
      <c r="F693"/>
      <c r="G693"/>
      <c r="H693"/>
      <c r="I693"/>
      <c r="J693"/>
      <c r="K693"/>
      <c r="L693"/>
      <c r="M693"/>
      <c r="N693"/>
      <c r="O693"/>
      <c r="P693"/>
      <c r="Q693"/>
      <c r="R693"/>
      <c r="S693"/>
      <c r="T693"/>
      <c r="U693"/>
      <c r="V693"/>
      <c r="W693"/>
      <c r="X693"/>
      <c r="Y693"/>
      <c r="Z693"/>
      <c r="AA693"/>
      <c r="AB693"/>
      <c r="AC693"/>
    </row>
    <row r="694" spans="1:29" s="82" customFormat="1" x14ac:dyDescent="0.25">
      <c r="A694"/>
      <c r="B694"/>
      <c r="C694"/>
      <c r="D694"/>
      <c r="E694"/>
      <c r="F694"/>
      <c r="G694"/>
      <c r="H694"/>
      <c r="I694"/>
      <c r="J694"/>
      <c r="K694"/>
      <c r="L694"/>
      <c r="M694"/>
      <c r="N694"/>
      <c r="O694"/>
      <c r="P694"/>
      <c r="Q694"/>
      <c r="R694"/>
      <c r="S694"/>
      <c r="T694"/>
      <c r="U694"/>
      <c r="V694"/>
      <c r="W694"/>
      <c r="X694"/>
      <c r="Y694"/>
      <c r="Z694"/>
      <c r="AA694"/>
      <c r="AB694"/>
      <c r="AC694"/>
    </row>
    <row r="695" spans="1:29" s="82" customFormat="1" x14ac:dyDescent="0.25">
      <c r="A695"/>
      <c r="B695"/>
      <c r="C695"/>
      <c r="D695"/>
      <c r="E695"/>
      <c r="F695"/>
      <c r="G695"/>
      <c r="H695"/>
      <c r="I695"/>
      <c r="J695"/>
      <c r="K695"/>
      <c r="L695"/>
      <c r="M695"/>
      <c r="N695"/>
      <c r="O695"/>
      <c r="P695"/>
      <c r="Q695"/>
      <c r="R695"/>
      <c r="S695"/>
      <c r="T695"/>
      <c r="U695"/>
      <c r="V695"/>
      <c r="W695"/>
      <c r="X695"/>
      <c r="Y695"/>
      <c r="Z695"/>
      <c r="AA695"/>
      <c r="AB695"/>
      <c r="AC695"/>
    </row>
    <row r="696" spans="1:29" s="82" customFormat="1" x14ac:dyDescent="0.25">
      <c r="A696"/>
      <c r="B696"/>
      <c r="C696"/>
      <c r="D696"/>
      <c r="E696"/>
      <c r="F696"/>
      <c r="G696"/>
      <c r="H696"/>
      <c r="I696"/>
      <c r="J696"/>
      <c r="K696"/>
      <c r="L696"/>
      <c r="M696"/>
      <c r="N696"/>
      <c r="O696"/>
      <c r="P696"/>
      <c r="Q696"/>
      <c r="R696"/>
      <c r="S696"/>
      <c r="T696"/>
      <c r="U696"/>
      <c r="V696"/>
      <c r="W696"/>
      <c r="X696"/>
      <c r="Y696"/>
      <c r="Z696"/>
      <c r="AA696"/>
      <c r="AB696"/>
      <c r="AC696"/>
    </row>
    <row r="697" spans="1:29" s="82" customFormat="1" x14ac:dyDescent="0.25">
      <c r="A697"/>
      <c r="B697"/>
      <c r="C697"/>
      <c r="D697"/>
      <c r="E697"/>
      <c r="F697"/>
      <c r="G697"/>
      <c r="H697"/>
      <c r="I697"/>
      <c r="J697"/>
      <c r="K697"/>
      <c r="L697"/>
      <c r="M697"/>
      <c r="N697"/>
      <c r="O697"/>
      <c r="P697"/>
      <c r="Q697"/>
      <c r="R697"/>
      <c r="S697"/>
      <c r="T697"/>
      <c r="U697"/>
      <c r="V697"/>
      <c r="W697"/>
      <c r="X697"/>
      <c r="Y697"/>
      <c r="Z697"/>
      <c r="AA697"/>
      <c r="AB697"/>
      <c r="AC697"/>
    </row>
    <row r="698" spans="1:29" s="82" customFormat="1" x14ac:dyDescent="0.25">
      <c r="A698"/>
      <c r="B698"/>
      <c r="C698"/>
      <c r="D698"/>
      <c r="E698"/>
      <c r="F698"/>
      <c r="G698"/>
      <c r="H698"/>
      <c r="I698"/>
      <c r="J698"/>
      <c r="K698"/>
      <c r="L698"/>
      <c r="M698"/>
      <c r="N698"/>
      <c r="O698"/>
      <c r="P698"/>
      <c r="Q698"/>
      <c r="R698"/>
      <c r="S698"/>
      <c r="T698"/>
      <c r="U698"/>
      <c r="V698"/>
      <c r="W698"/>
      <c r="X698"/>
      <c r="Y698"/>
      <c r="Z698"/>
      <c r="AA698"/>
      <c r="AB698"/>
      <c r="AC698"/>
    </row>
    <row r="699" spans="1:29" s="82" customFormat="1" x14ac:dyDescent="0.25">
      <c r="A699"/>
      <c r="B699"/>
      <c r="C699"/>
      <c r="D699"/>
      <c r="E699"/>
      <c r="F699"/>
      <c r="G699"/>
      <c r="H699"/>
      <c r="I699"/>
      <c r="J699"/>
      <c r="K699"/>
      <c r="L699"/>
      <c r="M699"/>
      <c r="N699"/>
      <c r="O699"/>
      <c r="P699"/>
      <c r="Q699"/>
      <c r="R699"/>
      <c r="S699"/>
      <c r="T699"/>
      <c r="U699"/>
      <c r="V699"/>
      <c r="W699"/>
      <c r="X699"/>
      <c r="Y699"/>
      <c r="Z699"/>
      <c r="AA699"/>
      <c r="AB699"/>
      <c r="AC699"/>
    </row>
    <row r="700" spans="1:29" s="82" customFormat="1" x14ac:dyDescent="0.25">
      <c r="A700"/>
      <c r="B700"/>
      <c r="C700"/>
      <c r="D700"/>
      <c r="E700"/>
      <c r="F700"/>
      <c r="G700"/>
      <c r="H700"/>
      <c r="I700"/>
      <c r="J700"/>
      <c r="K700"/>
      <c r="L700"/>
      <c r="M700"/>
      <c r="N700"/>
      <c r="O700"/>
      <c r="P700"/>
      <c r="Q700"/>
      <c r="R700"/>
      <c r="S700"/>
      <c r="T700"/>
      <c r="U700"/>
      <c r="V700"/>
      <c r="W700"/>
      <c r="X700"/>
      <c r="Y700"/>
      <c r="Z700"/>
      <c r="AA700"/>
      <c r="AB700"/>
      <c r="AC700"/>
    </row>
    <row r="701" spans="1:29" s="82" customFormat="1" x14ac:dyDescent="0.25">
      <c r="A701"/>
      <c r="B701"/>
      <c r="C701"/>
      <c r="D701"/>
      <c r="E701"/>
      <c r="F701"/>
      <c r="G701"/>
      <c r="H701"/>
      <c r="I701"/>
      <c r="J701"/>
      <c r="K701"/>
      <c r="L701"/>
      <c r="M701"/>
      <c r="N701"/>
      <c r="O701"/>
      <c r="P701"/>
      <c r="Q701"/>
      <c r="R701"/>
      <c r="S701"/>
      <c r="T701"/>
      <c r="U701"/>
      <c r="V701"/>
      <c r="W701"/>
      <c r="X701"/>
      <c r="Y701"/>
      <c r="Z701"/>
      <c r="AA701"/>
      <c r="AB701"/>
      <c r="AC701"/>
    </row>
    <row r="702" spans="1:29" s="82" customFormat="1" x14ac:dyDescent="0.25">
      <c r="A702"/>
      <c r="B702"/>
      <c r="C702"/>
      <c r="D702"/>
      <c r="E702"/>
      <c r="F702"/>
      <c r="G702"/>
      <c r="H702"/>
      <c r="I702"/>
      <c r="J702"/>
      <c r="K702"/>
      <c r="L702"/>
      <c r="M702"/>
      <c r="N702"/>
      <c r="O702"/>
      <c r="P702"/>
      <c r="Q702"/>
      <c r="R702"/>
      <c r="S702"/>
      <c r="T702"/>
      <c r="U702"/>
      <c r="V702"/>
      <c r="W702"/>
      <c r="X702"/>
      <c r="Y702"/>
      <c r="Z702"/>
      <c r="AA702"/>
      <c r="AB702"/>
      <c r="AC702"/>
    </row>
    <row r="703" spans="1:29" s="82" customFormat="1" x14ac:dyDescent="0.25">
      <c r="A703"/>
      <c r="B703"/>
      <c r="C703"/>
      <c r="D703"/>
      <c r="E703"/>
      <c r="F703"/>
      <c r="G703"/>
      <c r="H703"/>
      <c r="I703"/>
      <c r="J703"/>
      <c r="K703"/>
      <c r="L703"/>
      <c r="M703"/>
      <c r="N703"/>
      <c r="O703"/>
      <c r="P703"/>
      <c r="Q703"/>
      <c r="R703"/>
      <c r="S703"/>
      <c r="T703"/>
      <c r="U703"/>
      <c r="V703"/>
      <c r="W703"/>
      <c r="X703"/>
      <c r="Y703"/>
      <c r="Z703"/>
      <c r="AA703"/>
      <c r="AB703"/>
      <c r="AC703"/>
    </row>
    <row r="704" spans="1:29" s="82" customFormat="1" x14ac:dyDescent="0.25">
      <c r="A704"/>
      <c r="B704"/>
      <c r="C704"/>
      <c r="D704"/>
      <c r="E704"/>
      <c r="F704"/>
      <c r="G704"/>
      <c r="H704"/>
      <c r="I704"/>
      <c r="J704"/>
      <c r="K704"/>
      <c r="L704"/>
      <c r="M704"/>
      <c r="N704"/>
      <c r="O704"/>
      <c r="P704"/>
      <c r="Q704"/>
      <c r="R704"/>
      <c r="S704"/>
      <c r="T704"/>
      <c r="U704"/>
      <c r="V704"/>
      <c r="W704"/>
      <c r="X704"/>
      <c r="Y704"/>
      <c r="Z704"/>
      <c r="AA704"/>
      <c r="AB704"/>
      <c r="AC704"/>
    </row>
    <row r="705" spans="1:29" s="82" customFormat="1" x14ac:dyDescent="0.25">
      <c r="A705"/>
      <c r="B705"/>
      <c r="C705"/>
      <c r="D705"/>
      <c r="E705"/>
      <c r="F705"/>
      <c r="G705"/>
      <c r="H705"/>
      <c r="I705"/>
      <c r="J705"/>
      <c r="K705"/>
      <c r="L705"/>
      <c r="M705"/>
      <c r="N705"/>
      <c r="O705"/>
      <c r="P705"/>
      <c r="Q705"/>
      <c r="R705"/>
      <c r="S705"/>
      <c r="T705"/>
      <c r="U705"/>
      <c r="V705"/>
      <c r="W705"/>
      <c r="X705"/>
      <c r="Y705"/>
      <c r="Z705"/>
      <c r="AA705"/>
      <c r="AB705"/>
      <c r="AC705"/>
    </row>
    <row r="706" spans="1:29" s="82" customFormat="1" x14ac:dyDescent="0.25">
      <c r="A706"/>
      <c r="B706"/>
      <c r="C706"/>
      <c r="D706"/>
      <c r="E706"/>
      <c r="F706"/>
      <c r="G706"/>
      <c r="H706"/>
      <c r="I706"/>
      <c r="J706"/>
      <c r="K706"/>
      <c r="L706"/>
      <c r="M706"/>
      <c r="N706"/>
      <c r="O706"/>
      <c r="P706"/>
      <c r="Q706"/>
      <c r="R706"/>
      <c r="S706"/>
      <c r="T706"/>
      <c r="U706"/>
      <c r="V706"/>
      <c r="W706"/>
      <c r="X706"/>
      <c r="Y706"/>
      <c r="Z706"/>
      <c r="AA706"/>
      <c r="AB706"/>
      <c r="AC706"/>
    </row>
    <row r="707" spans="1:29" s="82" customFormat="1" x14ac:dyDescent="0.25">
      <c r="A707"/>
      <c r="B707"/>
      <c r="C707"/>
      <c r="D707"/>
      <c r="E707"/>
      <c r="F707"/>
      <c r="G707"/>
      <c r="H707"/>
      <c r="I707"/>
      <c r="J707"/>
      <c r="K707"/>
      <c r="L707"/>
      <c r="M707"/>
      <c r="N707"/>
      <c r="O707"/>
      <c r="P707"/>
      <c r="Q707"/>
      <c r="R707"/>
      <c r="S707"/>
      <c r="T707"/>
      <c r="U707"/>
      <c r="V707"/>
      <c r="W707"/>
      <c r="X707"/>
      <c r="Y707"/>
      <c r="Z707"/>
      <c r="AA707"/>
      <c r="AB707"/>
      <c r="AC707"/>
    </row>
    <row r="708" spans="1:29" s="82" customFormat="1" x14ac:dyDescent="0.25">
      <c r="A708"/>
      <c r="B708"/>
      <c r="C708"/>
      <c r="D708"/>
      <c r="E708"/>
      <c r="F708"/>
      <c r="G708"/>
      <c r="H708"/>
      <c r="I708"/>
      <c r="J708"/>
      <c r="K708"/>
      <c r="L708"/>
      <c r="M708"/>
      <c r="N708"/>
      <c r="O708"/>
      <c r="P708"/>
      <c r="Q708"/>
      <c r="R708"/>
      <c r="S708"/>
      <c r="T708"/>
      <c r="U708"/>
      <c r="V708"/>
      <c r="W708"/>
      <c r="X708"/>
      <c r="Y708"/>
      <c r="Z708"/>
      <c r="AA708"/>
      <c r="AB708"/>
      <c r="AC708"/>
    </row>
    <row r="709" spans="1:29" s="82" customFormat="1" x14ac:dyDescent="0.25">
      <c r="A709"/>
      <c r="B709"/>
      <c r="C709"/>
      <c r="D709"/>
      <c r="E709"/>
      <c r="F709"/>
      <c r="G709"/>
      <c r="H709"/>
      <c r="I709"/>
      <c r="J709"/>
      <c r="K709"/>
      <c r="L709"/>
      <c r="M709"/>
      <c r="N709"/>
      <c r="O709"/>
      <c r="P709"/>
      <c r="Q709"/>
      <c r="R709"/>
      <c r="S709"/>
      <c r="T709"/>
      <c r="U709"/>
      <c r="V709"/>
      <c r="W709"/>
      <c r="X709"/>
      <c r="Y709"/>
      <c r="Z709"/>
      <c r="AA709"/>
      <c r="AB709"/>
      <c r="AC709"/>
    </row>
    <row r="710" spans="1:29" s="82" customFormat="1" x14ac:dyDescent="0.25">
      <c r="A710"/>
      <c r="B710"/>
      <c r="C710"/>
      <c r="D710"/>
      <c r="E710"/>
      <c r="F710"/>
      <c r="G710"/>
      <c r="H710"/>
      <c r="I710"/>
      <c r="J710"/>
      <c r="K710"/>
      <c r="L710"/>
      <c r="M710"/>
      <c r="N710"/>
      <c r="O710"/>
      <c r="P710"/>
      <c r="Q710"/>
      <c r="R710"/>
      <c r="S710"/>
      <c r="T710"/>
      <c r="U710"/>
      <c r="V710"/>
      <c r="W710"/>
      <c r="X710"/>
      <c r="Y710"/>
      <c r="Z710"/>
      <c r="AA710"/>
      <c r="AB710"/>
      <c r="AC710"/>
    </row>
    <row r="711" spans="1:29" s="82" customFormat="1" x14ac:dyDescent="0.25">
      <c r="A711"/>
      <c r="B711"/>
      <c r="C711"/>
      <c r="D711"/>
      <c r="E711"/>
      <c r="F711"/>
      <c r="G711"/>
      <c r="H711"/>
      <c r="I711"/>
      <c r="J711"/>
      <c r="K711"/>
      <c r="L711"/>
      <c r="M711"/>
      <c r="N711"/>
      <c r="O711"/>
      <c r="P711"/>
      <c r="Q711"/>
      <c r="R711"/>
      <c r="S711"/>
      <c r="T711"/>
      <c r="U711"/>
      <c r="V711"/>
      <c r="W711"/>
      <c r="X711"/>
      <c r="Y711"/>
      <c r="Z711"/>
      <c r="AA711"/>
      <c r="AB711"/>
      <c r="AC711"/>
    </row>
    <row r="712" spans="1:29" s="82" customFormat="1" x14ac:dyDescent="0.25">
      <c r="A712"/>
      <c r="B712"/>
      <c r="C712"/>
      <c r="D712"/>
      <c r="E712"/>
      <c r="F712"/>
      <c r="G712"/>
      <c r="H712"/>
      <c r="I712"/>
      <c r="J712"/>
      <c r="K712"/>
      <c r="L712"/>
      <c r="M712"/>
      <c r="N712"/>
      <c r="O712"/>
      <c r="P712"/>
      <c r="Q712"/>
      <c r="R712"/>
      <c r="S712"/>
      <c r="T712"/>
      <c r="U712"/>
      <c r="V712"/>
      <c r="W712"/>
      <c r="X712"/>
      <c r="Y712"/>
      <c r="Z712"/>
      <c r="AA712"/>
      <c r="AB712"/>
      <c r="AC712"/>
    </row>
    <row r="713" spans="1:29" s="82" customFormat="1" x14ac:dyDescent="0.25">
      <c r="A713"/>
      <c r="B713"/>
      <c r="C713"/>
      <c r="D713"/>
      <c r="E713"/>
      <c r="F713"/>
      <c r="G713"/>
      <c r="H713"/>
      <c r="I713"/>
      <c r="J713"/>
      <c r="K713"/>
      <c r="L713"/>
      <c r="M713"/>
      <c r="N713"/>
      <c r="O713"/>
      <c r="P713"/>
      <c r="Q713"/>
      <c r="R713"/>
      <c r="S713"/>
      <c r="T713"/>
      <c r="U713"/>
      <c r="V713"/>
      <c r="W713"/>
      <c r="X713"/>
      <c r="Y713"/>
      <c r="Z713"/>
      <c r="AA713"/>
      <c r="AB713"/>
      <c r="AC713"/>
    </row>
    <row r="714" spans="1:29" s="82" customFormat="1" x14ac:dyDescent="0.25">
      <c r="A714"/>
      <c r="B714"/>
      <c r="C714"/>
      <c r="D714"/>
      <c r="E714"/>
      <c r="F714"/>
      <c r="G714"/>
      <c r="H714"/>
      <c r="I714"/>
      <c r="J714"/>
      <c r="K714"/>
      <c r="L714"/>
      <c r="M714"/>
      <c r="N714"/>
      <c r="O714"/>
      <c r="P714"/>
      <c r="Q714"/>
      <c r="R714"/>
      <c r="S714"/>
      <c r="T714"/>
      <c r="U714"/>
      <c r="V714"/>
      <c r="W714"/>
      <c r="X714"/>
      <c r="Y714"/>
      <c r="Z714"/>
      <c r="AA714"/>
      <c r="AB714"/>
      <c r="AC714"/>
    </row>
    <row r="715" spans="1:29" s="82" customFormat="1" x14ac:dyDescent="0.25">
      <c r="A715"/>
      <c r="B715"/>
      <c r="C715"/>
      <c r="D715"/>
      <c r="E715"/>
      <c r="F715"/>
      <c r="G715"/>
      <c r="H715"/>
      <c r="I715"/>
      <c r="J715"/>
      <c r="K715"/>
      <c r="L715"/>
      <c r="M715"/>
      <c r="N715"/>
      <c r="O715"/>
      <c r="P715"/>
      <c r="Q715"/>
      <c r="R715"/>
      <c r="S715"/>
      <c r="T715"/>
      <c r="U715"/>
      <c r="V715"/>
      <c r="W715"/>
      <c r="X715"/>
      <c r="Y715"/>
      <c r="Z715"/>
      <c r="AA715"/>
      <c r="AB715"/>
      <c r="AC715"/>
    </row>
    <row r="716" spans="1:29" s="82" customFormat="1" x14ac:dyDescent="0.25">
      <c r="A716"/>
      <c r="B716"/>
      <c r="C716"/>
      <c r="D716"/>
      <c r="E716"/>
      <c r="F716"/>
      <c r="G716"/>
      <c r="H716"/>
      <c r="I716"/>
      <c r="J716"/>
      <c r="K716"/>
      <c r="L716"/>
      <c r="M716"/>
      <c r="N716"/>
      <c r="O716"/>
      <c r="P716"/>
      <c r="Q716"/>
      <c r="R716"/>
      <c r="S716"/>
      <c r="T716"/>
      <c r="U716"/>
      <c r="V716"/>
      <c r="W716"/>
      <c r="X716"/>
      <c r="Y716"/>
      <c r="Z716"/>
      <c r="AA716"/>
      <c r="AB716"/>
      <c r="AC716"/>
    </row>
    <row r="717" spans="1:29" s="82" customFormat="1" x14ac:dyDescent="0.25">
      <c r="A717"/>
      <c r="B717"/>
      <c r="C717"/>
      <c r="D717"/>
      <c r="E717"/>
      <c r="F717"/>
      <c r="G717"/>
      <c r="H717"/>
      <c r="I717"/>
      <c r="J717"/>
      <c r="K717"/>
      <c r="L717"/>
      <c r="M717"/>
      <c r="N717"/>
      <c r="O717"/>
      <c r="P717"/>
      <c r="Q717"/>
      <c r="R717"/>
      <c r="S717"/>
      <c r="T717"/>
      <c r="U717"/>
      <c r="V717"/>
      <c r="W717"/>
      <c r="X717"/>
      <c r="Y717"/>
      <c r="Z717"/>
      <c r="AA717"/>
      <c r="AB717"/>
      <c r="AC717"/>
    </row>
    <row r="718" spans="1:29" s="82" customFormat="1" x14ac:dyDescent="0.25">
      <c r="A718"/>
      <c r="B718"/>
      <c r="C718"/>
      <c r="D718"/>
      <c r="E718"/>
      <c r="F718"/>
      <c r="G718"/>
      <c r="H718"/>
      <c r="I718"/>
      <c r="J718"/>
      <c r="K718"/>
      <c r="L718"/>
      <c r="M718"/>
      <c r="N718"/>
      <c r="O718"/>
      <c r="P718"/>
      <c r="Q718"/>
      <c r="R718"/>
      <c r="S718"/>
      <c r="T718"/>
      <c r="U718"/>
      <c r="V718"/>
      <c r="W718"/>
      <c r="X718"/>
      <c r="Y718"/>
      <c r="Z718"/>
      <c r="AA718"/>
      <c r="AB718"/>
      <c r="AC718"/>
    </row>
    <row r="719" spans="1:29" s="82" customFormat="1" x14ac:dyDescent="0.25">
      <c r="A719"/>
      <c r="B719"/>
      <c r="C719"/>
      <c r="D719"/>
      <c r="E719"/>
      <c r="F719"/>
      <c r="G719"/>
      <c r="H719"/>
      <c r="I719"/>
      <c r="J719"/>
      <c r="K719"/>
      <c r="L719"/>
      <c r="M719"/>
      <c r="N719"/>
      <c r="O719"/>
      <c r="P719"/>
      <c r="Q719"/>
      <c r="R719"/>
      <c r="S719"/>
      <c r="T719"/>
      <c r="U719"/>
      <c r="V719"/>
      <c r="W719"/>
      <c r="X719"/>
      <c r="Y719"/>
      <c r="Z719"/>
      <c r="AA719"/>
      <c r="AB719"/>
      <c r="AC719"/>
    </row>
  </sheetData>
  <sheetProtection algorithmName="SHA-512" hashValue="L7FkfjxYSAOQmdJwKMCt/H9QeqVrZBAGEHKrZpKC58ke5treaN6UWl6c1A8Gvx49Zs3Wa6cYM5mDZCDpIJ8yMw==" saltValue="vBibrXWAavgJlPjT3NaXow==" spinCount="100000" sheet="1" selectLockedCells="1"/>
  <mergeCells count="6">
    <mergeCell ref="B2:L2"/>
    <mergeCell ref="B3:C3"/>
    <mergeCell ref="D3:L4"/>
    <mergeCell ref="C17:Q17"/>
    <mergeCell ref="F28:G28"/>
    <mergeCell ref="H28:I28"/>
  </mergeCells>
  <conditionalFormatting sqref="C8:D15">
    <cfRule type="expression" dxfId="6" priority="1">
      <formula>AND(COUNTA($C8:$D8,$G8:$K8)&gt;0,C8="")</formula>
    </cfRule>
  </conditionalFormatting>
  <conditionalFormatting sqref="L8:O15">
    <cfRule type="cellIs" dxfId="5" priority="2" operator="equal">
      <formula>0</formula>
    </cfRule>
  </conditionalFormatting>
  <dataValidations count="4">
    <dataValidation type="list" allowBlank="1" showInputMessage="1" showErrorMessage="1" sqref="I16" xr:uid="{5803DC58-769B-4DA2-A3A6-66F255869E98}">
      <formula1>$C$30:$C$30</formula1>
    </dataValidation>
    <dataValidation type="list" allowBlank="1" showInputMessage="1" showErrorMessage="1" sqref="D8:D15" xr:uid="{6CA7FDCF-57D2-4BD1-BF87-FDAA23B55F8E}">
      <formula1>"Cooler,Freezer,Unknown"</formula1>
    </dataValidation>
    <dataValidation type="list" allowBlank="1" showInputMessage="1" showErrorMessage="1" sqref="C8:C15" xr:uid="{F72946A8-7E62-4492-A943-2E34BA380128}">
      <formula1>"Auto Closer"</formula1>
    </dataValidation>
    <dataValidation type="list" allowBlank="1" showInputMessage="1" showErrorMessage="1" sqref="J16" xr:uid="{7BEB1E78-707E-450E-9EB0-28EE183825BC}">
      <formula1>#REF!</formula1>
    </dataValidation>
  </dataValidations>
  <hyperlinks>
    <hyperlink ref="B3" location="'Calculator Index'!A1" display="Return to Index" xr:uid="{52972EC4-85C3-444B-B8EE-749FB2BA29C3}"/>
    <hyperlink ref="B3:C3" location="'Project Summary'!A1" display="Return to Project Summary" xr:uid="{F8E56ED3-2BD3-4FF1-BEF1-582C76BB1D04}"/>
    <hyperlink ref="M1" r:id="rId1" xr:uid="{233A74A7-C561-4EF7-8DDF-A9F74F7526FA}"/>
  </hyperlinks>
  <pageMargins left="0.7" right="0.7" top="0.75" bottom="0.75" header="0.3" footer="0.3"/>
  <pageSetup orientation="portrait"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2C74-C13B-409B-B25F-D9ADDB5D17CE}">
  <dimension ref="A1:FC719"/>
  <sheetViews>
    <sheetView zoomScale="90" zoomScaleNormal="90" workbookViewId="0">
      <selection activeCell="J12" sqref="J12"/>
    </sheetView>
  </sheetViews>
  <sheetFormatPr defaultRowHeight="15" x14ac:dyDescent="0.25"/>
  <cols>
    <col min="1" max="1" width="4.7109375" customWidth="1"/>
    <col min="2" max="2" width="4.5703125" bestFit="1" customWidth="1"/>
    <col min="3" max="3" width="23.85546875" customWidth="1"/>
    <col min="4" max="4" width="20" customWidth="1"/>
    <col min="5" max="6" width="20" hidden="1" customWidth="1"/>
    <col min="7" max="7" width="19.28515625" bestFit="1" customWidth="1"/>
    <col min="8" max="8" width="16" bestFit="1" customWidth="1"/>
    <col min="9" max="10" width="15" bestFit="1" customWidth="1"/>
    <col min="11" max="11" width="19.140625" bestFit="1" customWidth="1"/>
    <col min="12" max="12" width="14.28515625" customWidth="1"/>
    <col min="13" max="13" width="12.85546875" customWidth="1"/>
    <col min="14" max="14" width="12.7109375" bestFit="1" customWidth="1"/>
    <col min="15" max="15" width="12.140625" bestFit="1" customWidth="1"/>
    <col min="16" max="16" width="13.5703125" hidden="1" customWidth="1"/>
    <col min="17" max="17" width="12.28515625" hidden="1" customWidth="1"/>
    <col min="18" max="18" width="17.28515625" hidden="1" customWidth="1"/>
    <col min="19" max="19" width="4.7109375" customWidth="1"/>
    <col min="20" max="26" width="6.5703125" bestFit="1" customWidth="1"/>
    <col min="27" max="29" width="9.140625" customWidth="1"/>
    <col min="30" max="30" width="6.5703125" customWidth="1"/>
    <col min="31" max="31" width="9.140625" style="82" customWidth="1"/>
    <col min="32" max="159" width="9.140625" style="82"/>
  </cols>
  <sheetData>
    <row r="1" spans="1:159" x14ac:dyDescent="0.25">
      <c r="A1" s="38"/>
      <c r="B1" s="38"/>
      <c r="C1" s="38"/>
      <c r="D1" s="38"/>
      <c r="E1" s="38"/>
      <c r="F1" s="38"/>
      <c r="G1" s="38"/>
      <c r="H1" s="38"/>
      <c r="I1" s="38"/>
      <c r="J1" s="38"/>
      <c r="K1" s="38"/>
      <c r="L1" s="38"/>
      <c r="M1" s="295" t="s">
        <v>76</v>
      </c>
      <c r="N1" s="315" t="s">
        <v>653</v>
      </c>
      <c r="O1" s="27"/>
      <c r="P1" s="27"/>
      <c r="Q1" s="27"/>
      <c r="R1" s="27"/>
      <c r="S1" s="38"/>
    </row>
    <row r="2" spans="1:159" ht="21" x14ac:dyDescent="0.25">
      <c r="A2" s="38"/>
      <c r="B2" s="569" t="s">
        <v>652</v>
      </c>
      <c r="C2" s="570"/>
      <c r="D2" s="570"/>
      <c r="E2" s="570"/>
      <c r="F2" s="570"/>
      <c r="G2" s="570"/>
      <c r="H2" s="570"/>
      <c r="I2" s="570"/>
      <c r="J2" s="570"/>
      <c r="K2" s="570"/>
      <c r="L2" s="571"/>
      <c r="M2" s="27"/>
      <c r="N2" s="27"/>
      <c r="O2" s="27"/>
      <c r="P2" s="27"/>
      <c r="Q2" s="27"/>
      <c r="R2" s="27"/>
      <c r="S2" s="38"/>
    </row>
    <row r="3" spans="1:159" ht="14.45" customHeight="1" x14ac:dyDescent="0.25">
      <c r="A3" s="38"/>
      <c r="B3" s="505" t="s">
        <v>794</v>
      </c>
      <c r="C3" s="506"/>
      <c r="D3" s="565" t="s">
        <v>667</v>
      </c>
      <c r="E3" s="565"/>
      <c r="F3" s="565"/>
      <c r="G3" s="565"/>
      <c r="H3" s="565"/>
      <c r="I3" s="565"/>
      <c r="J3" s="565"/>
      <c r="K3" s="565"/>
      <c r="L3" s="565"/>
      <c r="M3" s="27"/>
      <c r="N3" s="27"/>
      <c r="O3" s="27"/>
      <c r="P3" s="27"/>
      <c r="Q3" s="27"/>
      <c r="R3" s="27"/>
      <c r="S3" s="38"/>
    </row>
    <row r="4" spans="1:159" x14ac:dyDescent="0.25">
      <c r="A4" s="38"/>
      <c r="B4" s="38"/>
      <c r="C4" s="38"/>
      <c r="D4" s="565"/>
      <c r="E4" s="565"/>
      <c r="F4" s="565"/>
      <c r="G4" s="565"/>
      <c r="H4" s="565"/>
      <c r="I4" s="565"/>
      <c r="J4" s="565"/>
      <c r="K4" s="565"/>
      <c r="L4" s="565"/>
      <c r="M4" s="27"/>
      <c r="N4" s="27"/>
      <c r="O4" s="27"/>
      <c r="P4" s="27"/>
      <c r="Q4" s="27"/>
      <c r="R4" s="27"/>
      <c r="S4" s="38"/>
    </row>
    <row r="5" spans="1:159" x14ac:dyDescent="0.25">
      <c r="A5" s="38"/>
      <c r="B5" s="38"/>
      <c r="C5" s="38"/>
      <c r="D5" s="38"/>
      <c r="E5" s="38"/>
      <c r="F5" s="38"/>
      <c r="G5" s="38"/>
      <c r="H5" s="38"/>
      <c r="I5" s="38"/>
      <c r="J5" s="38"/>
      <c r="K5" s="38"/>
      <c r="L5" s="38"/>
      <c r="M5" s="27"/>
      <c r="N5" s="27"/>
      <c r="O5" s="27"/>
      <c r="P5" s="27"/>
      <c r="Q5" s="27"/>
      <c r="R5" s="27"/>
      <c r="S5" s="38"/>
    </row>
    <row r="6" spans="1:159" ht="60" x14ac:dyDescent="0.25">
      <c r="A6" s="38"/>
      <c r="B6" s="153" t="s">
        <v>81</v>
      </c>
      <c r="C6" s="153" t="s">
        <v>82</v>
      </c>
      <c r="D6" s="153" t="s">
        <v>380</v>
      </c>
      <c r="E6" s="302" t="s">
        <v>651</v>
      </c>
      <c r="F6" s="302" t="s">
        <v>650</v>
      </c>
      <c r="G6" s="153" t="s">
        <v>638</v>
      </c>
      <c r="H6" s="153" t="s">
        <v>86</v>
      </c>
      <c r="I6" s="153" t="s">
        <v>87</v>
      </c>
      <c r="J6" s="153" t="s">
        <v>85</v>
      </c>
      <c r="K6" s="153" t="s">
        <v>649</v>
      </c>
      <c r="L6" s="153" t="s">
        <v>53</v>
      </c>
      <c r="M6" s="153" t="s">
        <v>95</v>
      </c>
      <c r="N6" s="153" t="s">
        <v>633</v>
      </c>
      <c r="O6" s="153" t="s">
        <v>70</v>
      </c>
      <c r="P6" s="153" t="s">
        <v>97</v>
      </c>
      <c r="Q6" s="153" t="s">
        <v>98</v>
      </c>
      <c r="R6" s="153" t="s">
        <v>99</v>
      </c>
      <c r="S6" s="38"/>
    </row>
    <row r="7" spans="1:159" hidden="1" x14ac:dyDescent="0.25">
      <c r="A7" s="38"/>
      <c r="B7" s="245"/>
      <c r="C7" s="245"/>
      <c r="D7" s="245"/>
      <c r="E7" s="245"/>
      <c r="F7" s="245"/>
      <c r="G7" s="245"/>
      <c r="H7" s="245"/>
      <c r="I7" s="245"/>
      <c r="J7" s="245"/>
      <c r="K7" s="245"/>
      <c r="L7" s="245"/>
      <c r="M7" s="245"/>
      <c r="N7" s="245"/>
      <c r="O7" s="293"/>
      <c r="P7" s="293"/>
      <c r="Q7" s="293"/>
      <c r="R7" s="250"/>
      <c r="S7" s="38"/>
    </row>
    <row r="8" spans="1:159" x14ac:dyDescent="0.25">
      <c r="A8" s="38"/>
      <c r="B8" s="220">
        <v>1</v>
      </c>
      <c r="C8" s="105" t="s">
        <v>643</v>
      </c>
      <c r="D8" s="11"/>
      <c r="E8" s="291" cm="1">
        <f t="array" ref="E8">IFERROR(_xlfn.XLOOKUP($C8,$C$30:$C$31,_xlfn.XLOOKUP($D8,D28:E28,D30:E31)),0)</f>
        <v>0</v>
      </c>
      <c r="F8" s="291" cm="1">
        <f t="array" ref="F8">IFERROR(_xlfn.XLOOKUP($C8,$C$30:$C$31,_xlfn.XLOOKUP($D8,$F$28:$G$28,$F$30:$G$31)),0)</f>
        <v>0</v>
      </c>
      <c r="G8" s="301"/>
      <c r="H8" s="12"/>
      <c r="I8" s="12"/>
      <c r="J8" s="301"/>
      <c r="K8" s="11"/>
      <c r="L8" s="406">
        <f t="shared" ref="L8:L15" si="0">IFERROR(E8*K8,"")</f>
        <v>0</v>
      </c>
      <c r="M8" s="407">
        <f t="shared" ref="M8:M15" si="1">F8*K8</f>
        <v>0</v>
      </c>
      <c r="N8" s="407">
        <f t="shared" ref="N8:N15" si="2">M8*$D$20</f>
        <v>0</v>
      </c>
      <c r="O8" s="39">
        <f>IFERROR(K8*40*'Project Summary'!$M$12, 0)</f>
        <v>0</v>
      </c>
      <c r="P8" s="290" t="str">
        <f>IFERROR(#REF!+#REF!,"0")</f>
        <v>0</v>
      </c>
      <c r="Q8" s="10"/>
      <c r="R8" s="5"/>
      <c r="S8" s="38"/>
    </row>
    <row r="9" spans="1:159" x14ac:dyDescent="0.25">
      <c r="A9" s="38"/>
      <c r="B9" s="220">
        <v>2</v>
      </c>
      <c r="C9" s="105" t="s">
        <v>643</v>
      </c>
      <c r="D9" s="11"/>
      <c r="E9" s="291" cm="1">
        <f t="array" ref="E9">IFERROR(_xlfn.XLOOKUP($C9,$C$30:$C$31,_xlfn.XLOOKUP($D9,D29:E29,D31:E32)),0)</f>
        <v>0</v>
      </c>
      <c r="F9" s="291" cm="1">
        <f t="array" ref="F9">IFERROR(_xlfn.XLOOKUP($C9,$C$30:$C$31,_xlfn.XLOOKUP($D9,$F$28:$G$28,$F$30:$G$31)),0)</f>
        <v>0</v>
      </c>
      <c r="G9" s="301"/>
      <c r="H9" s="12"/>
      <c r="I9" s="12"/>
      <c r="J9" s="301"/>
      <c r="K9" s="11"/>
      <c r="L9" s="406">
        <f t="shared" si="0"/>
        <v>0</v>
      </c>
      <c r="M9" s="407">
        <f t="shared" si="1"/>
        <v>0</v>
      </c>
      <c r="N9" s="407">
        <f t="shared" si="2"/>
        <v>0</v>
      </c>
      <c r="O9" s="39">
        <f>IFERROR(K9*40*'Project Summary'!$M$12, 0)</f>
        <v>0</v>
      </c>
      <c r="P9" s="290" t="str">
        <f>IFERROR(#REF!+#REF!,"0")</f>
        <v>0</v>
      </c>
      <c r="Q9" s="10"/>
      <c r="R9" s="5"/>
      <c r="S9" s="38"/>
    </row>
    <row r="10" spans="1:159" x14ac:dyDescent="0.25">
      <c r="A10" s="38"/>
      <c r="B10" s="220">
        <v>3</v>
      </c>
      <c r="C10" s="105" t="s">
        <v>643</v>
      </c>
      <c r="D10" s="11"/>
      <c r="E10" s="291" cm="1">
        <f t="array" ref="E10">IFERROR(_xlfn.XLOOKUP($C10,$C$30:$C$31,_xlfn.XLOOKUP($D10,D30:E30,D32:E33)),0)</f>
        <v>0</v>
      </c>
      <c r="F10" s="291" cm="1">
        <f t="array" ref="F10">IFERROR(_xlfn.XLOOKUP($C10,$C$30:$C$31,_xlfn.XLOOKUP($D10,$F$28:$G$28,$F$30:$G$31)),0)</f>
        <v>0</v>
      </c>
      <c r="G10" s="301"/>
      <c r="H10" s="12"/>
      <c r="I10" s="12"/>
      <c r="J10" s="301"/>
      <c r="K10" s="11"/>
      <c r="L10" s="406">
        <f t="shared" si="0"/>
        <v>0</v>
      </c>
      <c r="M10" s="407">
        <f t="shared" si="1"/>
        <v>0</v>
      </c>
      <c r="N10" s="407">
        <f t="shared" si="2"/>
        <v>0</v>
      </c>
      <c r="O10" s="39">
        <f>IFERROR(K10*40*'Project Summary'!$M$12, 0)</f>
        <v>0</v>
      </c>
      <c r="P10" s="290" t="str">
        <f>IFERROR(#REF!+#REF!,"0")</f>
        <v>0</v>
      </c>
      <c r="Q10" s="10"/>
      <c r="R10" s="5"/>
      <c r="S10" s="38"/>
    </row>
    <row r="11" spans="1:159" x14ac:dyDescent="0.25">
      <c r="A11" s="38"/>
      <c r="B11" s="220">
        <v>4</v>
      </c>
      <c r="C11" s="105" t="s">
        <v>643</v>
      </c>
      <c r="D11" s="11"/>
      <c r="E11" s="291" cm="1">
        <f t="array" ref="E11">IFERROR(_xlfn.XLOOKUP($C11,$C$30:$C$31,_xlfn.XLOOKUP($D11,D31:E31,D33:E34)),0)</f>
        <v>0</v>
      </c>
      <c r="F11" s="291" cm="1">
        <f t="array" ref="F11">IFERROR(_xlfn.XLOOKUP($C11,$C$30:$C$31,_xlfn.XLOOKUP($D11,$F$28:$G$28,$F$30:$G$31)),0)</f>
        <v>0</v>
      </c>
      <c r="G11" s="301"/>
      <c r="H11" s="12"/>
      <c r="I11" s="12"/>
      <c r="J11" s="301"/>
      <c r="K11" s="11"/>
      <c r="L11" s="406">
        <f t="shared" si="0"/>
        <v>0</v>
      </c>
      <c r="M11" s="407">
        <f t="shared" si="1"/>
        <v>0</v>
      </c>
      <c r="N11" s="407">
        <f t="shared" si="2"/>
        <v>0</v>
      </c>
      <c r="O11" s="39">
        <f>IFERROR(K11*40*'Project Summary'!$M$12, 0)</f>
        <v>0</v>
      </c>
      <c r="P11" s="290" t="str">
        <f>IFERROR(#REF!+#REF!,"0")</f>
        <v>0</v>
      </c>
      <c r="Q11" s="10"/>
      <c r="R11" s="5"/>
      <c r="S11" s="38"/>
    </row>
    <row r="12" spans="1:159" x14ac:dyDescent="0.25">
      <c r="A12" s="38"/>
      <c r="B12" s="220">
        <v>5</v>
      </c>
      <c r="C12" s="105" t="s">
        <v>643</v>
      </c>
      <c r="D12" s="11"/>
      <c r="E12" s="291" cm="1">
        <f t="array" ref="E12">IFERROR(_xlfn.XLOOKUP($C12,$C$30:$C$31,_xlfn.XLOOKUP($D12,D32:E32,D34:E35)),0)</f>
        <v>0</v>
      </c>
      <c r="F12" s="291" cm="1">
        <f t="array" ref="F12">IFERROR(_xlfn.XLOOKUP($C12,$C$30:$C$31,_xlfn.XLOOKUP($D12,$F$28:$G$28,$F$30:$G$31)),0)</f>
        <v>0</v>
      </c>
      <c r="G12" s="301"/>
      <c r="H12" s="12"/>
      <c r="I12" s="12"/>
      <c r="J12" s="301"/>
      <c r="K12" s="11"/>
      <c r="L12" s="406">
        <f t="shared" si="0"/>
        <v>0</v>
      </c>
      <c r="M12" s="407">
        <f t="shared" si="1"/>
        <v>0</v>
      </c>
      <c r="N12" s="407">
        <f t="shared" si="2"/>
        <v>0</v>
      </c>
      <c r="O12" s="39">
        <f>IFERROR(K12*40*'Project Summary'!$M$12, 0)</f>
        <v>0</v>
      </c>
      <c r="P12" s="290" t="str">
        <f>IFERROR(#REF!+#REF!,"0")</f>
        <v>0</v>
      </c>
      <c r="Q12" s="10"/>
      <c r="R12" s="5"/>
      <c r="S12" s="38"/>
    </row>
    <row r="13" spans="1:159" x14ac:dyDescent="0.25">
      <c r="A13" s="38"/>
      <c r="B13" s="220">
        <v>6</v>
      </c>
      <c r="C13" s="105" t="s">
        <v>643</v>
      </c>
      <c r="D13" s="11"/>
      <c r="E13" s="291" cm="1">
        <f t="array" ref="E13">IFERROR(_xlfn.XLOOKUP($C13,$C$30:$C$31,_xlfn.XLOOKUP($D13,D33:E33,D35:E36)),0)</f>
        <v>0</v>
      </c>
      <c r="F13" s="291" cm="1">
        <f t="array" ref="F13">IFERROR(_xlfn.XLOOKUP($C13,$C$30:$C$31,_xlfn.XLOOKUP($D13,$F$28:$G$28,$F$30:$G$31)),0)</f>
        <v>0</v>
      </c>
      <c r="G13" s="301"/>
      <c r="H13" s="12"/>
      <c r="I13" s="12"/>
      <c r="J13" s="301"/>
      <c r="K13" s="11"/>
      <c r="L13" s="406">
        <f t="shared" si="0"/>
        <v>0</v>
      </c>
      <c r="M13" s="407">
        <f t="shared" si="1"/>
        <v>0</v>
      </c>
      <c r="N13" s="407">
        <f t="shared" si="2"/>
        <v>0</v>
      </c>
      <c r="O13" s="39">
        <f>IFERROR(K13*40*'Project Summary'!$M$12, 0)</f>
        <v>0</v>
      </c>
      <c r="P13" s="290" t="str">
        <f>IFERROR(#REF!+#REF!,"0")</f>
        <v>0</v>
      </c>
      <c r="Q13" s="10"/>
      <c r="R13" s="5"/>
      <c r="S13" s="38"/>
    </row>
    <row r="14" spans="1:159" x14ac:dyDescent="0.25">
      <c r="A14" s="38"/>
      <c r="B14" s="220">
        <v>7</v>
      </c>
      <c r="C14" s="105" t="s">
        <v>643</v>
      </c>
      <c r="D14" s="11"/>
      <c r="E14" s="291" cm="1">
        <f t="array" ref="E14">IFERROR(_xlfn.XLOOKUP($C14,$C$30:$C$31,_xlfn.XLOOKUP($D14,D34:E34,D36:E37)),0)</f>
        <v>0</v>
      </c>
      <c r="F14" s="291" cm="1">
        <f t="array" ref="F14">IFERROR(_xlfn.XLOOKUP($C14,$C$30:$C$31,_xlfn.XLOOKUP($D14,$F$28:$G$28,$F$30:$G$31)),0)</f>
        <v>0</v>
      </c>
      <c r="G14" s="301"/>
      <c r="H14" s="12"/>
      <c r="I14" s="12"/>
      <c r="J14" s="301"/>
      <c r="K14" s="11"/>
      <c r="L14" s="406">
        <f t="shared" si="0"/>
        <v>0</v>
      </c>
      <c r="M14" s="407">
        <f t="shared" si="1"/>
        <v>0</v>
      </c>
      <c r="N14" s="407">
        <f t="shared" si="2"/>
        <v>0</v>
      </c>
      <c r="O14" s="39">
        <f>IFERROR(K14*40*'Project Summary'!$M$12, 0)</f>
        <v>0</v>
      </c>
      <c r="P14" s="290" t="str">
        <f>IFERROR(#REF!+#REF!,"0")</f>
        <v>0</v>
      </c>
      <c r="Q14" s="10"/>
      <c r="R14" s="5"/>
      <c r="S14" s="38"/>
      <c r="V14" s="139"/>
      <c r="W14" s="139"/>
      <c r="X14" s="139"/>
      <c r="Y14" s="139"/>
      <c r="Z14" s="139"/>
      <c r="AA14" s="139"/>
      <c r="AB14" s="139"/>
      <c r="AC14" s="139"/>
      <c r="AD14" s="139"/>
    </row>
    <row r="15" spans="1:159" x14ac:dyDescent="0.25">
      <c r="A15" s="38"/>
      <c r="B15" s="220">
        <v>8</v>
      </c>
      <c r="C15" s="105" t="s">
        <v>643</v>
      </c>
      <c r="D15" s="11"/>
      <c r="E15" s="291" cm="1">
        <f t="array" ref="E15">IFERROR(_xlfn.XLOOKUP($C15,$C$30:$C$31,_xlfn.XLOOKUP($D15,D35:E35,D37:E38)),0)</f>
        <v>0</v>
      </c>
      <c r="F15" s="291" cm="1">
        <f t="array" ref="F15">IFERROR(_xlfn.XLOOKUP($C15,$C$30:$C$31,_xlfn.XLOOKUP($D15,$F$28:$G$28,$F$30:$G$31)),0)</f>
        <v>0</v>
      </c>
      <c r="G15" s="301"/>
      <c r="H15" s="12"/>
      <c r="I15" s="12"/>
      <c r="J15" s="301"/>
      <c r="K15" s="11"/>
      <c r="L15" s="406">
        <f t="shared" si="0"/>
        <v>0</v>
      </c>
      <c r="M15" s="407">
        <f t="shared" si="1"/>
        <v>0</v>
      </c>
      <c r="N15" s="407">
        <f t="shared" si="2"/>
        <v>0</v>
      </c>
      <c r="O15" s="39">
        <f>IFERROR(K15*40*'Project Summary'!$M$12, 0)</f>
        <v>0</v>
      </c>
      <c r="P15" s="290" t="str">
        <f>IFERROR(#REF!+#REF!,"0")</f>
        <v>0</v>
      </c>
      <c r="Q15" s="10"/>
      <c r="R15" s="5"/>
      <c r="S15" s="38"/>
    </row>
    <row r="16" spans="1:159" hidden="1" x14ac:dyDescent="0.25">
      <c r="A16" s="27"/>
      <c r="B16" s="33"/>
      <c r="C16" s="121"/>
      <c r="D16" s="121"/>
      <c r="E16" s="121"/>
      <c r="F16" s="121"/>
      <c r="G16" s="121"/>
      <c r="H16" s="121"/>
      <c r="I16" s="161"/>
      <c r="J16" s="161"/>
      <c r="K16" s="161">
        <f>SUM(K8:K15)</f>
        <v>0</v>
      </c>
      <c r="L16" s="161">
        <f>SUM(L8:L15)</f>
        <v>0</v>
      </c>
      <c r="M16" s="161">
        <f>SUM(M8:M15)</f>
        <v>0</v>
      </c>
      <c r="N16" s="161">
        <f>SUM(N8:N15)</f>
        <v>0</v>
      </c>
      <c r="O16" s="161">
        <f>SUM(O8:O15)</f>
        <v>0</v>
      </c>
      <c r="P16" s="34"/>
      <c r="Q16" s="288"/>
      <c r="R16" s="288"/>
      <c r="S16" s="287"/>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row>
    <row r="17" spans="1:159" hidden="1" x14ac:dyDescent="0.25">
      <c r="A17" s="27"/>
      <c r="C17" s="566" t="s">
        <v>117</v>
      </c>
      <c r="D17" s="567"/>
      <c r="E17" s="567"/>
      <c r="F17" s="567"/>
      <c r="G17" s="567"/>
      <c r="H17" s="567"/>
      <c r="I17" s="567"/>
      <c r="J17" s="567"/>
      <c r="K17" s="567"/>
      <c r="L17" s="567"/>
      <c r="M17" s="567"/>
      <c r="N17" s="567"/>
      <c r="O17" s="567"/>
      <c r="P17" s="567"/>
      <c r="Q17" s="567"/>
      <c r="R17" s="568"/>
      <c r="S17" s="38"/>
    </row>
    <row r="18" spans="1:159" hidden="1" x14ac:dyDescent="0.25">
      <c r="A18" s="27"/>
      <c r="L18" s="139"/>
      <c r="M18" s="139"/>
      <c r="N18" s="139"/>
      <c r="O18" s="139"/>
      <c r="P18" s="139"/>
      <c r="Q18" s="139"/>
      <c r="R18" s="139"/>
      <c r="S18" s="283"/>
      <c r="T18" s="139"/>
      <c r="U18" s="139"/>
      <c r="V18" s="139"/>
      <c r="W18" s="139"/>
      <c r="X18" s="139"/>
      <c r="Y18" s="139"/>
      <c r="Z18" s="139"/>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row>
    <row r="19" spans="1:159" hidden="1" x14ac:dyDescent="0.25">
      <c r="A19" s="27"/>
      <c r="C19" s="223" t="s">
        <v>631</v>
      </c>
      <c r="D19" s="223" t="s">
        <v>388</v>
      </c>
      <c r="E19" s="281"/>
      <c r="F19" s="281"/>
      <c r="G19" s="281"/>
      <c r="L19" s="124"/>
      <c r="M19" s="229"/>
      <c r="N19" s="229"/>
      <c r="O19" s="124"/>
      <c r="P19" s="124"/>
      <c r="Q19" s="229"/>
      <c r="R19" s="124"/>
      <c r="S19" s="282"/>
      <c r="T19" s="229"/>
      <c r="U19" s="229"/>
      <c r="V19" s="229"/>
      <c r="W19" s="229"/>
      <c r="X19" s="229"/>
      <c r="Y19" s="229"/>
      <c r="Z19" s="22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row>
    <row r="20" spans="1:159" hidden="1" x14ac:dyDescent="0.25">
      <c r="A20" s="27"/>
      <c r="C20" s="4" t="s">
        <v>93</v>
      </c>
      <c r="D20" s="4">
        <v>1</v>
      </c>
      <c r="L20" s="33"/>
      <c r="M20" s="35"/>
      <c r="N20" s="35"/>
      <c r="O20" s="219"/>
      <c r="P20" s="219"/>
      <c r="Q20" s="33"/>
      <c r="R20" s="33"/>
      <c r="S20" s="280"/>
      <c r="T20" s="126"/>
      <c r="U20" s="126"/>
      <c r="V20" s="126"/>
      <c r="W20" s="126"/>
      <c r="X20" s="126"/>
      <c r="Y20" s="126"/>
      <c r="Z20" s="126"/>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row>
    <row r="21" spans="1:159" hidden="1" x14ac:dyDescent="0.25">
      <c r="A21" s="27"/>
      <c r="C21" s="4" t="s">
        <v>346</v>
      </c>
      <c r="D21" s="4">
        <v>24</v>
      </c>
      <c r="L21" s="33"/>
      <c r="M21" s="35"/>
      <c r="N21" s="35"/>
      <c r="O21" s="219"/>
      <c r="P21" s="219"/>
      <c r="Q21" s="33"/>
      <c r="R21" s="33"/>
      <c r="S21" s="280"/>
      <c r="T21" s="126"/>
      <c r="U21" s="126"/>
      <c r="V21" s="126"/>
      <c r="W21" s="126"/>
      <c r="X21" s="126"/>
      <c r="Y21" s="126"/>
      <c r="Z21" s="126"/>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row>
    <row r="22" spans="1:159" hidden="1" x14ac:dyDescent="0.25">
      <c r="A22" s="27"/>
      <c r="C22" s="4" t="s">
        <v>630</v>
      </c>
      <c r="D22" s="4">
        <v>365.25</v>
      </c>
      <c r="L22" s="33"/>
      <c r="M22" s="35"/>
      <c r="N22" s="35"/>
      <c r="O22" s="219"/>
      <c r="P22" s="219"/>
      <c r="Q22" s="33"/>
      <c r="R22" s="33"/>
      <c r="S22" s="280"/>
      <c r="T22" s="126"/>
      <c r="U22" s="126"/>
      <c r="V22" s="126"/>
      <c r="W22" s="126"/>
      <c r="X22" s="126"/>
      <c r="Y22" s="126"/>
      <c r="Z22" s="126"/>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row>
    <row r="23" spans="1:159" hidden="1" x14ac:dyDescent="0.25">
      <c r="A23" s="27"/>
      <c r="C23" s="4" t="s">
        <v>629</v>
      </c>
      <c r="D23" s="4">
        <v>4</v>
      </c>
      <c r="L23" s="33"/>
      <c r="M23" s="35"/>
      <c r="N23" s="35"/>
      <c r="O23" s="219"/>
      <c r="P23" s="219"/>
      <c r="Q23" s="33"/>
      <c r="R23" s="33"/>
      <c r="S23" s="280"/>
      <c r="T23" s="126"/>
      <c r="U23" s="126"/>
      <c r="V23" s="126"/>
      <c r="W23" s="126"/>
      <c r="X23" s="126"/>
      <c r="Y23" s="126"/>
      <c r="Z23" s="126"/>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row>
    <row r="24" spans="1:159" hidden="1" x14ac:dyDescent="0.25">
      <c r="A24" s="27"/>
      <c r="C24" s="4" t="s">
        <v>628</v>
      </c>
      <c r="D24" s="285">
        <f>0.05*'Project Summary'!M12</f>
        <v>2.5000000000000001E-2</v>
      </c>
      <c r="E24" s="300"/>
      <c r="F24" s="300"/>
      <c r="L24" s="33"/>
      <c r="M24" s="35"/>
      <c r="N24" s="35"/>
      <c r="O24" s="219"/>
      <c r="P24" s="219"/>
      <c r="Q24" s="33"/>
      <c r="R24" s="33"/>
      <c r="S24" s="280"/>
      <c r="T24" s="126"/>
      <c r="U24" s="126"/>
      <c r="V24" s="126"/>
      <c r="W24" s="126"/>
      <c r="X24" s="126"/>
      <c r="Y24" s="126"/>
      <c r="Z24" s="126"/>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row>
    <row r="25" spans="1:159" hidden="1" x14ac:dyDescent="0.25">
      <c r="A25" s="27"/>
      <c r="C25" s="4" t="s">
        <v>627</v>
      </c>
      <c r="D25" s="285">
        <f>150*'Project Summary'!M12</f>
        <v>75</v>
      </c>
      <c r="E25" s="300"/>
      <c r="F25" s="300"/>
      <c r="L25" s="33"/>
      <c r="M25" s="35"/>
      <c r="N25" s="35"/>
      <c r="O25" s="219"/>
      <c r="P25" s="219"/>
      <c r="Q25" s="33"/>
      <c r="R25" s="33"/>
      <c r="S25" s="280"/>
      <c r="T25" s="126"/>
      <c r="U25" s="126"/>
      <c r="V25" s="126"/>
      <c r="W25" s="126"/>
      <c r="X25" s="126"/>
      <c r="Y25" s="126"/>
      <c r="Z25" s="126"/>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row>
    <row r="26" spans="1:159" hidden="1" x14ac:dyDescent="0.25">
      <c r="A26" s="27"/>
      <c r="L26" s="33"/>
      <c r="M26" s="35"/>
      <c r="N26" s="35"/>
      <c r="O26" s="219"/>
      <c r="P26" s="219"/>
      <c r="Q26" s="33"/>
      <c r="R26" s="33"/>
      <c r="S26" s="280"/>
      <c r="T26" s="126"/>
      <c r="U26" s="126"/>
      <c r="V26" s="126"/>
      <c r="W26" s="126"/>
      <c r="X26" s="126"/>
      <c r="Y26" s="126"/>
      <c r="Z26" s="1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row>
    <row r="27" spans="1:159" hidden="1" x14ac:dyDescent="0.25">
      <c r="A27" s="27"/>
      <c r="L27" s="33"/>
      <c r="M27" s="35"/>
      <c r="N27" s="35"/>
      <c r="O27" s="219"/>
      <c r="P27" s="219"/>
      <c r="Q27" s="33"/>
      <c r="R27" s="33"/>
      <c r="S27" s="280"/>
      <c r="T27" s="126"/>
      <c r="U27" s="126"/>
      <c r="V27" s="126"/>
      <c r="W27" s="126"/>
      <c r="X27" s="126"/>
      <c r="Y27" s="126"/>
      <c r="Z27" s="126"/>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row>
    <row r="28" spans="1:159" hidden="1" x14ac:dyDescent="0.25">
      <c r="A28" s="27"/>
      <c r="C28" s="539" t="s">
        <v>648</v>
      </c>
      <c r="D28" s="223" t="s">
        <v>647</v>
      </c>
      <c r="E28" s="223" t="s">
        <v>646</v>
      </c>
      <c r="F28" s="223" t="s">
        <v>647</v>
      </c>
      <c r="G28" s="223" t="s">
        <v>646</v>
      </c>
      <c r="L28" s="33"/>
      <c r="M28" s="35"/>
      <c r="N28" s="35"/>
      <c r="O28" s="219"/>
      <c r="P28" s="219"/>
      <c r="Q28" s="33"/>
      <c r="R28" s="33"/>
      <c r="S28" s="280"/>
      <c r="T28" s="126"/>
      <c r="U28" s="126"/>
      <c r="V28" s="126"/>
      <c r="W28" s="126"/>
      <c r="X28" s="126"/>
      <c r="Y28" s="126"/>
      <c r="Z28" s="126"/>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row>
    <row r="29" spans="1:159" ht="15.75" hidden="1" thickBot="1" x14ac:dyDescent="0.3">
      <c r="A29" s="27"/>
      <c r="C29" s="574"/>
      <c r="D29" s="299" t="s">
        <v>645</v>
      </c>
      <c r="E29" s="299" t="s">
        <v>645</v>
      </c>
      <c r="F29" s="299" t="s">
        <v>644</v>
      </c>
      <c r="G29" s="299" t="s">
        <v>644</v>
      </c>
      <c r="L29" s="33"/>
      <c r="M29" s="35"/>
      <c r="N29" s="35"/>
      <c r="O29" s="219"/>
      <c r="P29" s="219"/>
      <c r="Q29" s="33"/>
      <c r="R29" s="33"/>
      <c r="S29" s="280"/>
      <c r="T29" s="126"/>
      <c r="U29" s="126"/>
      <c r="V29" s="126"/>
      <c r="W29" s="126"/>
      <c r="X29" s="126"/>
      <c r="Y29" s="126"/>
      <c r="Z29" s="126"/>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row>
    <row r="30" spans="1:159" hidden="1" x14ac:dyDescent="0.25">
      <c r="A30" s="27"/>
      <c r="C30" s="298" t="s">
        <v>643</v>
      </c>
      <c r="D30" s="297">
        <v>248</v>
      </c>
      <c r="E30" s="297">
        <v>243</v>
      </c>
      <c r="F30" s="297">
        <v>3.2000000000000001E-2</v>
      </c>
      <c r="G30" s="297">
        <v>3.2000000000000001E-2</v>
      </c>
      <c r="L30" s="33"/>
      <c r="M30" s="35"/>
      <c r="N30" s="35"/>
      <c r="O30" s="219"/>
      <c r="P30" s="219"/>
      <c r="Q30" s="33"/>
      <c r="R30" s="33"/>
      <c r="S30" s="280"/>
      <c r="T30" s="126"/>
      <c r="U30" s="126"/>
      <c r="V30" s="126"/>
      <c r="W30" s="126"/>
      <c r="X30" s="126"/>
      <c r="Y30" s="126"/>
      <c r="Z30" s="126"/>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row>
    <row r="31" spans="1:159" hidden="1" x14ac:dyDescent="0.25">
      <c r="A31" s="27"/>
      <c r="C31" s="296" t="s">
        <v>642</v>
      </c>
      <c r="D31" s="5">
        <v>204</v>
      </c>
      <c r="E31" s="5">
        <v>347</v>
      </c>
      <c r="F31" s="5">
        <v>2.7E-2</v>
      </c>
      <c r="G31" s="5">
        <v>4.4999999999999998E-2</v>
      </c>
      <c r="L31" s="33"/>
      <c r="M31" s="35"/>
      <c r="N31" s="35"/>
      <c r="O31" s="219"/>
      <c r="P31" s="219"/>
      <c r="Q31" s="33"/>
      <c r="R31" s="33"/>
      <c r="S31" s="280"/>
      <c r="T31" s="126"/>
      <c r="U31" s="126"/>
      <c r="V31" s="126"/>
      <c r="W31" s="126"/>
      <c r="X31" s="126"/>
      <c r="Y31" s="126"/>
      <c r="Z31" s="126"/>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row>
    <row r="32" spans="1:159" hidden="1" x14ac:dyDescent="0.25">
      <c r="A32" s="27"/>
      <c r="L32" s="139"/>
      <c r="M32" s="139"/>
      <c r="N32" s="139"/>
      <c r="O32" s="139"/>
      <c r="P32" s="139"/>
      <c r="Q32" s="139"/>
      <c r="R32" s="139"/>
      <c r="S32" s="283"/>
      <c r="T32" s="139"/>
      <c r="U32" s="139"/>
      <c r="V32" s="139"/>
      <c r="W32" s="139"/>
      <c r="X32" s="139"/>
      <c r="Y32" s="139"/>
      <c r="Z32" s="139"/>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row>
    <row r="33" spans="1:159" hidden="1" x14ac:dyDescent="0.25">
      <c r="A33" s="27"/>
      <c r="L33" s="124"/>
      <c r="M33" s="229"/>
      <c r="N33" s="229"/>
      <c r="O33" s="124"/>
      <c r="P33" s="124"/>
      <c r="Q33" s="229"/>
      <c r="R33" s="124"/>
      <c r="S33" s="282"/>
      <c r="T33" s="229"/>
      <c r="U33" s="229"/>
      <c r="V33" s="229"/>
      <c r="W33" s="229"/>
      <c r="X33" s="229"/>
      <c r="Y33" s="229"/>
      <c r="Z33" s="229"/>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row>
    <row r="34" spans="1:159" hidden="1" x14ac:dyDescent="0.25">
      <c r="A34" s="27"/>
      <c r="C34" s="34"/>
      <c r="D34" s="34"/>
      <c r="E34" s="34"/>
      <c r="F34" s="34"/>
      <c r="G34" s="34"/>
      <c r="H34" s="34"/>
      <c r="L34" s="33"/>
      <c r="M34" s="35"/>
      <c r="N34" s="35"/>
      <c r="O34" s="219"/>
      <c r="P34" s="219"/>
      <c r="Q34" s="33"/>
      <c r="R34" s="33"/>
      <c r="S34" s="280"/>
      <c r="T34" s="126"/>
      <c r="U34" s="126"/>
      <c r="V34" s="126"/>
      <c r="W34" s="126"/>
      <c r="X34" s="126"/>
      <c r="Y34" s="126"/>
      <c r="Z34" s="126"/>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row>
    <row r="35" spans="1:159" s="82" customFormat="1" x14ac:dyDescent="0.25">
      <c r="A35" s="83"/>
      <c r="B35" s="83"/>
      <c r="C35" s="83"/>
      <c r="D35" s="83"/>
      <c r="E35" s="83"/>
      <c r="F35" s="83"/>
      <c r="G35" s="83"/>
      <c r="H35" s="83"/>
      <c r="I35" s="83"/>
      <c r="J35" s="83"/>
      <c r="K35" s="83"/>
      <c r="L35" s="83"/>
      <c r="M35" s="83"/>
      <c r="N35" s="83"/>
      <c r="O35" s="83"/>
      <c r="P35" s="83"/>
      <c r="Q35" s="83"/>
      <c r="R35" s="83"/>
      <c r="S35" s="38"/>
      <c r="T35"/>
      <c r="U35"/>
      <c r="V35"/>
      <c r="W35"/>
      <c r="X35"/>
      <c r="Y35"/>
      <c r="Z35"/>
      <c r="AA35"/>
      <c r="AB35"/>
      <c r="AC35"/>
      <c r="AD35"/>
    </row>
    <row r="36" spans="1:159" s="82" customFormat="1" x14ac:dyDescent="0.25">
      <c r="A36" s="83"/>
      <c r="B36" s="83"/>
      <c r="C36" s="83"/>
      <c r="D36" s="83"/>
      <c r="E36" s="83"/>
      <c r="F36" s="83"/>
      <c r="G36" s="83"/>
      <c r="H36" s="83"/>
      <c r="I36" s="83"/>
      <c r="J36" s="83"/>
      <c r="K36" s="83"/>
      <c r="L36" s="83"/>
      <c r="M36" s="83"/>
      <c r="N36" s="83"/>
      <c r="O36" s="83"/>
      <c r="P36" s="83"/>
      <c r="Q36" s="83"/>
      <c r="R36" s="83"/>
      <c r="S36" s="38"/>
      <c r="T36"/>
      <c r="U36"/>
      <c r="V36"/>
      <c r="W36"/>
      <c r="X36"/>
      <c r="Y36"/>
      <c r="Z36"/>
      <c r="AA36"/>
      <c r="AB36"/>
      <c r="AC36"/>
      <c r="AD36"/>
    </row>
    <row r="37" spans="1:159" s="82" customFormat="1" x14ac:dyDescent="0.25">
      <c r="A37"/>
      <c r="B37"/>
      <c r="C37"/>
      <c r="D37"/>
      <c r="E37"/>
      <c r="F37"/>
      <c r="G37"/>
      <c r="H37"/>
      <c r="I37"/>
      <c r="J37"/>
      <c r="K37"/>
      <c r="L37"/>
      <c r="M37"/>
      <c r="N37"/>
      <c r="O37"/>
      <c r="P37"/>
      <c r="Q37"/>
      <c r="R37"/>
      <c r="S37"/>
      <c r="T37"/>
      <c r="U37"/>
      <c r="V37"/>
      <c r="W37"/>
      <c r="X37"/>
      <c r="Y37"/>
      <c r="Z37"/>
      <c r="AA37"/>
      <c r="AB37"/>
      <c r="AC37"/>
      <c r="AD37"/>
    </row>
    <row r="38" spans="1:159" s="82" customFormat="1" x14ac:dyDescent="0.25">
      <c r="A38"/>
      <c r="B38"/>
      <c r="C38"/>
      <c r="D38"/>
      <c r="E38"/>
      <c r="F38"/>
      <c r="G38"/>
      <c r="H38"/>
      <c r="I38"/>
      <c r="J38"/>
      <c r="K38"/>
      <c r="L38"/>
      <c r="M38"/>
      <c r="N38"/>
      <c r="O38"/>
      <c r="P38"/>
      <c r="Q38"/>
      <c r="R38"/>
      <c r="S38"/>
      <c r="T38"/>
      <c r="U38"/>
      <c r="V38"/>
      <c r="W38"/>
      <c r="X38"/>
      <c r="Y38"/>
      <c r="Z38"/>
      <c r="AA38"/>
      <c r="AB38"/>
      <c r="AC38"/>
      <c r="AD38"/>
    </row>
    <row r="39" spans="1:159" s="82" customFormat="1" x14ac:dyDescent="0.25">
      <c r="A39"/>
      <c r="B39"/>
      <c r="C39"/>
      <c r="D39"/>
      <c r="E39"/>
      <c r="F39"/>
      <c r="G39"/>
      <c r="H39"/>
      <c r="I39"/>
      <c r="J39"/>
      <c r="K39"/>
      <c r="L39"/>
      <c r="M39"/>
      <c r="N39"/>
      <c r="O39"/>
      <c r="P39"/>
      <c r="Q39"/>
      <c r="R39"/>
      <c r="S39"/>
      <c r="T39"/>
      <c r="U39"/>
      <c r="V39"/>
      <c r="W39"/>
      <c r="X39"/>
      <c r="Y39"/>
      <c r="Z39"/>
      <c r="AA39"/>
      <c r="AB39"/>
      <c r="AC39"/>
      <c r="AD39"/>
    </row>
    <row r="40" spans="1:159" s="82" customFormat="1" x14ac:dyDescent="0.25">
      <c r="A40"/>
      <c r="B40"/>
      <c r="C40"/>
      <c r="D40"/>
      <c r="E40"/>
      <c r="F40"/>
      <c r="G40"/>
      <c r="H40"/>
      <c r="I40"/>
      <c r="J40"/>
      <c r="K40"/>
      <c r="L40"/>
      <c r="M40"/>
      <c r="N40"/>
      <c r="O40"/>
      <c r="P40"/>
      <c r="Q40"/>
      <c r="R40"/>
      <c r="S40"/>
      <c r="T40"/>
      <c r="U40"/>
      <c r="V40"/>
      <c r="W40"/>
      <c r="X40"/>
      <c r="Y40"/>
      <c r="Z40"/>
      <c r="AA40"/>
      <c r="AB40"/>
      <c r="AC40"/>
      <c r="AD40"/>
    </row>
    <row r="41" spans="1:159" s="82" customFormat="1" x14ac:dyDescent="0.25">
      <c r="A41"/>
      <c r="B41"/>
      <c r="C41"/>
      <c r="D41"/>
      <c r="E41"/>
      <c r="F41"/>
      <c r="G41"/>
      <c r="H41"/>
      <c r="I41"/>
      <c r="J41"/>
      <c r="K41"/>
      <c r="L41"/>
      <c r="M41"/>
      <c r="N41"/>
      <c r="O41"/>
      <c r="P41"/>
      <c r="Q41"/>
      <c r="R41"/>
      <c r="S41"/>
      <c r="T41"/>
      <c r="U41"/>
      <c r="V41"/>
      <c r="W41"/>
      <c r="X41"/>
      <c r="Y41"/>
      <c r="Z41"/>
      <c r="AA41"/>
      <c r="AB41"/>
      <c r="AC41"/>
      <c r="AD41"/>
    </row>
    <row r="42" spans="1:159" s="82" customFormat="1" x14ac:dyDescent="0.25">
      <c r="A42"/>
      <c r="B42"/>
      <c r="C42"/>
      <c r="D42"/>
      <c r="E42"/>
      <c r="F42"/>
      <c r="G42"/>
      <c r="H42"/>
      <c r="I42"/>
      <c r="J42"/>
      <c r="K42"/>
      <c r="L42"/>
      <c r="M42"/>
      <c r="N42"/>
      <c r="O42"/>
      <c r="P42"/>
      <c r="Q42"/>
      <c r="R42"/>
      <c r="S42"/>
      <c r="T42"/>
      <c r="U42"/>
      <c r="V42"/>
      <c r="W42"/>
      <c r="X42"/>
      <c r="Y42"/>
      <c r="Z42"/>
      <c r="AA42"/>
      <c r="AB42"/>
      <c r="AC42"/>
      <c r="AD42"/>
    </row>
    <row r="43" spans="1:159" s="82" customFormat="1" x14ac:dyDescent="0.25">
      <c r="A43"/>
      <c r="B43"/>
      <c r="C43"/>
      <c r="D43"/>
      <c r="E43"/>
      <c r="F43"/>
      <c r="G43"/>
      <c r="H43"/>
      <c r="I43"/>
      <c r="J43"/>
      <c r="K43"/>
      <c r="L43"/>
      <c r="M43"/>
      <c r="N43"/>
      <c r="O43"/>
      <c r="P43"/>
      <c r="Q43"/>
      <c r="R43"/>
      <c r="S43"/>
      <c r="T43"/>
      <c r="U43"/>
      <c r="V43"/>
      <c r="W43"/>
      <c r="X43"/>
      <c r="Y43"/>
      <c r="Z43"/>
      <c r="AA43"/>
      <c r="AB43"/>
      <c r="AC43"/>
      <c r="AD43"/>
    </row>
    <row r="44" spans="1:159" s="82" customFormat="1" x14ac:dyDescent="0.25">
      <c r="A44"/>
      <c r="B44"/>
      <c r="C44"/>
      <c r="D44"/>
      <c r="E44"/>
      <c r="F44"/>
      <c r="G44"/>
      <c r="H44"/>
      <c r="I44"/>
      <c r="J44"/>
      <c r="K44"/>
      <c r="L44"/>
      <c r="M44"/>
      <c r="N44"/>
      <c r="O44"/>
      <c r="P44"/>
      <c r="Q44"/>
      <c r="R44"/>
      <c r="S44"/>
      <c r="T44"/>
      <c r="U44"/>
      <c r="V44"/>
      <c r="W44"/>
      <c r="X44"/>
      <c r="Y44"/>
      <c r="Z44"/>
      <c r="AA44"/>
      <c r="AB44"/>
      <c r="AC44"/>
      <c r="AD44"/>
    </row>
    <row r="45" spans="1:159" s="82" customFormat="1" x14ac:dyDescent="0.25">
      <c r="A45"/>
      <c r="B45"/>
      <c r="C45"/>
      <c r="D45"/>
      <c r="E45"/>
      <c r="F45"/>
      <c r="G45"/>
      <c r="H45"/>
      <c r="I45"/>
      <c r="J45"/>
      <c r="K45"/>
      <c r="L45"/>
      <c r="M45"/>
      <c r="N45"/>
      <c r="O45"/>
      <c r="P45"/>
      <c r="Q45"/>
      <c r="R45"/>
      <c r="S45"/>
      <c r="T45"/>
      <c r="U45"/>
      <c r="V45"/>
      <c r="W45"/>
      <c r="X45"/>
      <c r="Y45"/>
      <c r="Z45"/>
      <c r="AA45"/>
      <c r="AB45"/>
      <c r="AC45"/>
      <c r="AD45"/>
    </row>
    <row r="46" spans="1:159" s="82" customFormat="1" x14ac:dyDescent="0.25">
      <c r="A46"/>
      <c r="B46"/>
      <c r="C46"/>
      <c r="D46"/>
      <c r="E46"/>
      <c r="F46"/>
      <c r="G46"/>
      <c r="H46"/>
      <c r="I46"/>
      <c r="J46"/>
      <c r="K46"/>
      <c r="L46"/>
      <c r="M46"/>
      <c r="N46"/>
      <c r="O46"/>
      <c r="P46"/>
      <c r="Q46"/>
      <c r="R46"/>
      <c r="S46"/>
      <c r="T46"/>
      <c r="U46"/>
      <c r="V46"/>
      <c r="W46"/>
      <c r="X46"/>
      <c r="Y46"/>
      <c r="Z46"/>
      <c r="AA46"/>
      <c r="AB46"/>
      <c r="AC46"/>
      <c r="AD46"/>
    </row>
    <row r="47" spans="1:159" s="82" customFormat="1" x14ac:dyDescent="0.25">
      <c r="A47"/>
      <c r="B47"/>
      <c r="C47"/>
      <c r="D47"/>
      <c r="E47"/>
      <c r="F47"/>
      <c r="G47"/>
      <c r="H47"/>
      <c r="I47"/>
      <c r="J47"/>
      <c r="K47"/>
      <c r="L47"/>
      <c r="M47"/>
      <c r="N47"/>
      <c r="O47"/>
      <c r="P47"/>
      <c r="Q47"/>
      <c r="R47"/>
      <c r="S47"/>
      <c r="T47"/>
      <c r="U47"/>
      <c r="V47"/>
      <c r="W47"/>
      <c r="X47"/>
      <c r="Y47"/>
      <c r="Z47"/>
      <c r="AA47"/>
      <c r="AB47"/>
      <c r="AC47"/>
      <c r="AD47"/>
    </row>
    <row r="48" spans="1:159" s="82" customFormat="1" x14ac:dyDescent="0.25">
      <c r="A48"/>
      <c r="B48"/>
      <c r="C48"/>
      <c r="D48"/>
      <c r="E48"/>
      <c r="F48"/>
      <c r="G48"/>
      <c r="H48"/>
      <c r="I48"/>
      <c r="J48"/>
      <c r="K48"/>
      <c r="L48"/>
      <c r="M48"/>
      <c r="N48"/>
      <c r="O48"/>
      <c r="P48"/>
      <c r="Q48"/>
      <c r="R48"/>
      <c r="S48"/>
      <c r="T48"/>
      <c r="U48"/>
      <c r="V48"/>
      <c r="W48"/>
      <c r="X48"/>
      <c r="Y48"/>
      <c r="Z48"/>
      <c r="AA48"/>
      <c r="AB48"/>
      <c r="AC48"/>
      <c r="AD48"/>
    </row>
    <row r="49" spans="1:30" s="82" customFormat="1" x14ac:dyDescent="0.25">
      <c r="A49"/>
      <c r="B49"/>
      <c r="C49"/>
      <c r="D49"/>
      <c r="E49"/>
      <c r="F49"/>
      <c r="G49"/>
      <c r="H49"/>
      <c r="I49"/>
      <c r="J49"/>
      <c r="K49"/>
      <c r="L49"/>
      <c r="M49"/>
      <c r="N49"/>
      <c r="O49"/>
      <c r="P49"/>
      <c r="Q49"/>
      <c r="R49"/>
      <c r="S49"/>
      <c r="T49"/>
      <c r="U49"/>
      <c r="V49"/>
      <c r="W49"/>
      <c r="X49"/>
      <c r="Y49"/>
      <c r="Z49"/>
      <c r="AA49"/>
      <c r="AB49"/>
      <c r="AC49"/>
      <c r="AD49"/>
    </row>
    <row r="50" spans="1:30" s="82" customFormat="1" x14ac:dyDescent="0.25">
      <c r="A50"/>
      <c r="B50"/>
      <c r="C50"/>
      <c r="D50"/>
      <c r="E50"/>
      <c r="F50"/>
      <c r="G50"/>
      <c r="H50"/>
      <c r="I50"/>
      <c r="J50"/>
      <c r="K50"/>
      <c r="L50"/>
      <c r="M50"/>
      <c r="N50"/>
      <c r="O50"/>
      <c r="P50"/>
      <c r="Q50"/>
      <c r="R50"/>
      <c r="S50"/>
      <c r="T50"/>
      <c r="U50"/>
      <c r="V50"/>
      <c r="W50"/>
      <c r="X50"/>
      <c r="Y50"/>
      <c r="Z50"/>
      <c r="AA50"/>
      <c r="AB50"/>
      <c r="AC50"/>
      <c r="AD50"/>
    </row>
    <row r="51" spans="1:30" s="82" customFormat="1" x14ac:dyDescent="0.25">
      <c r="A51"/>
      <c r="B51"/>
      <c r="C51"/>
      <c r="D51"/>
      <c r="E51"/>
      <c r="F51"/>
      <c r="G51"/>
      <c r="H51"/>
      <c r="I51"/>
      <c r="J51"/>
      <c r="K51"/>
      <c r="L51"/>
      <c r="M51"/>
      <c r="N51"/>
      <c r="O51"/>
      <c r="P51"/>
      <c r="Q51"/>
      <c r="R51"/>
      <c r="S51"/>
      <c r="T51"/>
      <c r="U51"/>
      <c r="V51"/>
      <c r="W51"/>
      <c r="X51"/>
      <c r="Y51"/>
      <c r="Z51"/>
      <c r="AA51"/>
      <c r="AB51"/>
      <c r="AC51"/>
      <c r="AD51"/>
    </row>
    <row r="52" spans="1:30" s="82" customFormat="1" x14ac:dyDescent="0.25">
      <c r="A52"/>
      <c r="B52"/>
      <c r="C52"/>
      <c r="D52"/>
      <c r="E52"/>
      <c r="F52"/>
      <c r="G52"/>
      <c r="H52"/>
      <c r="I52"/>
      <c r="J52"/>
      <c r="K52"/>
      <c r="L52"/>
      <c r="M52"/>
      <c r="N52"/>
      <c r="O52"/>
      <c r="P52"/>
      <c r="Q52"/>
      <c r="R52"/>
      <c r="S52"/>
      <c r="T52"/>
      <c r="U52"/>
      <c r="V52"/>
      <c r="W52"/>
      <c r="X52"/>
      <c r="Y52"/>
      <c r="Z52"/>
      <c r="AA52"/>
      <c r="AB52"/>
      <c r="AC52"/>
      <c r="AD52"/>
    </row>
    <row r="53" spans="1:30" s="82" customFormat="1" x14ac:dyDescent="0.25">
      <c r="A53"/>
      <c r="B53"/>
      <c r="C53"/>
      <c r="D53"/>
      <c r="E53"/>
      <c r="F53"/>
      <c r="G53"/>
      <c r="H53"/>
      <c r="I53"/>
      <c r="J53"/>
      <c r="K53"/>
      <c r="L53"/>
      <c r="M53"/>
      <c r="N53"/>
      <c r="O53"/>
      <c r="P53"/>
      <c r="Q53"/>
      <c r="R53"/>
      <c r="S53"/>
      <c r="T53"/>
      <c r="U53"/>
      <c r="V53"/>
      <c r="W53"/>
      <c r="X53"/>
      <c r="Y53"/>
      <c r="Z53"/>
      <c r="AA53"/>
      <c r="AB53"/>
      <c r="AC53"/>
      <c r="AD53"/>
    </row>
    <row r="54" spans="1:30" s="82" customFormat="1" x14ac:dyDescent="0.25">
      <c r="A54"/>
      <c r="B54"/>
      <c r="C54"/>
      <c r="D54"/>
      <c r="E54"/>
      <c r="F54"/>
      <c r="G54"/>
      <c r="H54"/>
      <c r="I54"/>
      <c r="J54"/>
      <c r="K54"/>
      <c r="L54"/>
      <c r="M54"/>
      <c r="N54"/>
      <c r="O54"/>
      <c r="P54"/>
      <c r="Q54"/>
      <c r="R54"/>
      <c r="S54"/>
      <c r="T54"/>
      <c r="U54"/>
      <c r="V54"/>
      <c r="W54"/>
      <c r="X54"/>
      <c r="Y54"/>
      <c r="Z54"/>
      <c r="AA54"/>
      <c r="AB54"/>
      <c r="AC54"/>
      <c r="AD54"/>
    </row>
    <row r="55" spans="1:30" s="82" customFormat="1" x14ac:dyDescent="0.25">
      <c r="A55"/>
      <c r="B55"/>
      <c r="C55"/>
      <c r="D55"/>
      <c r="E55"/>
      <c r="F55"/>
      <c r="G55"/>
      <c r="H55"/>
      <c r="I55"/>
      <c r="J55"/>
      <c r="K55"/>
      <c r="L55"/>
      <c r="M55"/>
      <c r="N55"/>
      <c r="O55"/>
      <c r="P55"/>
      <c r="Q55"/>
      <c r="R55"/>
      <c r="S55"/>
      <c r="T55"/>
      <c r="U55"/>
      <c r="V55"/>
      <c r="W55"/>
      <c r="X55"/>
      <c r="Y55"/>
      <c r="Z55"/>
      <c r="AA55"/>
      <c r="AB55"/>
      <c r="AC55"/>
      <c r="AD55"/>
    </row>
    <row r="56" spans="1:30" s="82" customFormat="1" x14ac:dyDescent="0.25">
      <c r="A56"/>
      <c r="B56"/>
      <c r="C56"/>
      <c r="D56"/>
      <c r="E56"/>
      <c r="F56"/>
      <c r="G56"/>
      <c r="H56"/>
      <c r="I56"/>
      <c r="J56"/>
      <c r="K56"/>
      <c r="L56"/>
      <c r="M56"/>
      <c r="N56"/>
      <c r="O56"/>
      <c r="P56"/>
      <c r="Q56"/>
      <c r="R56"/>
      <c r="S56"/>
      <c r="T56"/>
      <c r="U56"/>
      <c r="V56"/>
      <c r="W56"/>
      <c r="X56"/>
      <c r="Y56"/>
      <c r="Z56"/>
      <c r="AA56"/>
      <c r="AB56"/>
      <c r="AC56"/>
      <c r="AD56"/>
    </row>
    <row r="57" spans="1:30" s="82" customFormat="1" x14ac:dyDescent="0.25">
      <c r="A57"/>
      <c r="B57"/>
      <c r="C57"/>
      <c r="D57"/>
      <c r="E57"/>
      <c r="F57"/>
      <c r="G57"/>
      <c r="H57"/>
      <c r="I57"/>
      <c r="J57"/>
      <c r="K57"/>
      <c r="L57"/>
      <c r="M57"/>
      <c r="N57"/>
      <c r="O57"/>
      <c r="P57"/>
      <c r="Q57"/>
      <c r="R57"/>
      <c r="S57"/>
      <c r="T57"/>
      <c r="U57"/>
      <c r="V57"/>
      <c r="W57"/>
      <c r="X57"/>
      <c r="Y57"/>
      <c r="Z57"/>
      <c r="AA57"/>
      <c r="AB57"/>
      <c r="AC57"/>
      <c r="AD57"/>
    </row>
    <row r="58" spans="1:30" s="82" customFormat="1" x14ac:dyDescent="0.25">
      <c r="A58"/>
      <c r="B58"/>
      <c r="C58"/>
      <c r="D58"/>
      <c r="E58"/>
      <c r="F58"/>
      <c r="G58"/>
      <c r="H58"/>
      <c r="I58"/>
      <c r="J58"/>
      <c r="K58"/>
      <c r="L58"/>
      <c r="M58"/>
      <c r="N58"/>
      <c r="O58"/>
      <c r="P58"/>
      <c r="Q58"/>
      <c r="R58"/>
      <c r="S58"/>
      <c r="T58"/>
      <c r="U58"/>
      <c r="V58"/>
      <c r="W58"/>
      <c r="X58"/>
      <c r="Y58"/>
      <c r="Z58"/>
      <c r="AA58"/>
      <c r="AB58"/>
      <c r="AC58"/>
      <c r="AD58"/>
    </row>
    <row r="59" spans="1:30" s="82" customFormat="1" x14ac:dyDescent="0.25">
      <c r="A59"/>
      <c r="B59"/>
      <c r="C59"/>
      <c r="D59"/>
      <c r="E59"/>
      <c r="F59"/>
      <c r="G59"/>
      <c r="H59"/>
      <c r="I59"/>
      <c r="J59"/>
      <c r="K59"/>
      <c r="L59"/>
      <c r="M59"/>
      <c r="N59"/>
      <c r="O59"/>
      <c r="P59"/>
      <c r="Q59"/>
      <c r="R59"/>
      <c r="S59"/>
      <c r="T59"/>
      <c r="U59"/>
      <c r="V59"/>
      <c r="W59"/>
      <c r="X59"/>
      <c r="Y59"/>
      <c r="Z59"/>
      <c r="AA59"/>
      <c r="AB59"/>
      <c r="AC59"/>
      <c r="AD59"/>
    </row>
    <row r="60" spans="1:30" s="82" customFormat="1" x14ac:dyDescent="0.25">
      <c r="A60"/>
      <c r="B60"/>
      <c r="C60"/>
      <c r="D60"/>
      <c r="E60"/>
      <c r="F60"/>
      <c r="G60"/>
      <c r="H60"/>
      <c r="I60"/>
      <c r="J60"/>
      <c r="K60"/>
      <c r="L60"/>
      <c r="M60"/>
      <c r="N60"/>
      <c r="O60"/>
      <c r="P60"/>
      <c r="Q60"/>
      <c r="R60"/>
      <c r="S60"/>
      <c r="T60"/>
      <c r="U60"/>
      <c r="V60"/>
      <c r="W60"/>
      <c r="X60"/>
      <c r="Y60"/>
      <c r="Z60"/>
      <c r="AA60"/>
      <c r="AB60"/>
      <c r="AC60"/>
      <c r="AD60"/>
    </row>
    <row r="61" spans="1:30" s="82" customFormat="1" x14ac:dyDescent="0.25">
      <c r="A61"/>
      <c r="B61"/>
      <c r="C61"/>
      <c r="D61"/>
      <c r="E61"/>
      <c r="F61"/>
      <c r="G61"/>
      <c r="H61"/>
      <c r="I61"/>
      <c r="J61"/>
      <c r="K61"/>
      <c r="L61"/>
      <c r="M61"/>
      <c r="N61"/>
      <c r="O61"/>
      <c r="P61"/>
      <c r="Q61"/>
      <c r="R61"/>
      <c r="S61"/>
      <c r="T61"/>
      <c r="U61"/>
      <c r="V61"/>
      <c r="W61"/>
      <c r="X61"/>
      <c r="Y61"/>
      <c r="Z61"/>
      <c r="AA61"/>
      <c r="AB61"/>
      <c r="AC61"/>
      <c r="AD61"/>
    </row>
    <row r="62" spans="1:30" s="82" customFormat="1" x14ac:dyDescent="0.25">
      <c r="A62"/>
      <c r="B62"/>
      <c r="C62"/>
      <c r="D62"/>
      <c r="E62"/>
      <c r="F62"/>
      <c r="G62"/>
      <c r="H62"/>
      <c r="I62"/>
      <c r="J62"/>
      <c r="K62"/>
      <c r="L62"/>
      <c r="M62"/>
      <c r="N62"/>
      <c r="O62"/>
      <c r="P62"/>
      <c r="Q62"/>
      <c r="R62"/>
      <c r="S62"/>
      <c r="T62"/>
      <c r="U62"/>
      <c r="V62"/>
      <c r="W62"/>
      <c r="X62"/>
      <c r="Y62"/>
      <c r="Z62"/>
      <c r="AA62"/>
      <c r="AB62"/>
      <c r="AC62"/>
      <c r="AD62"/>
    </row>
    <row r="63" spans="1:30" s="82" customFormat="1" x14ac:dyDescent="0.25">
      <c r="A63"/>
      <c r="B63"/>
      <c r="C63"/>
      <c r="D63"/>
      <c r="E63"/>
      <c r="F63"/>
      <c r="G63"/>
      <c r="H63"/>
      <c r="I63"/>
      <c r="J63"/>
      <c r="K63"/>
      <c r="L63"/>
      <c r="M63"/>
      <c r="N63"/>
      <c r="O63"/>
      <c r="P63"/>
      <c r="Q63"/>
      <c r="R63"/>
      <c r="S63"/>
      <c r="T63"/>
      <c r="U63"/>
      <c r="V63"/>
      <c r="W63"/>
      <c r="X63"/>
      <c r="Y63"/>
      <c r="Z63"/>
      <c r="AA63"/>
      <c r="AB63"/>
      <c r="AC63"/>
      <c r="AD63"/>
    </row>
    <row r="64" spans="1:30" s="82" customFormat="1" x14ac:dyDescent="0.25">
      <c r="A64"/>
      <c r="B64"/>
      <c r="C64"/>
      <c r="D64"/>
      <c r="E64"/>
      <c r="F64"/>
      <c r="G64"/>
      <c r="H64"/>
      <c r="I64"/>
      <c r="J64"/>
      <c r="K64"/>
      <c r="L64"/>
      <c r="M64"/>
      <c r="N64"/>
      <c r="O64"/>
      <c r="P64"/>
      <c r="Q64"/>
      <c r="R64"/>
      <c r="S64"/>
      <c r="T64"/>
      <c r="U64"/>
      <c r="V64"/>
      <c r="W64"/>
      <c r="X64"/>
      <c r="Y64"/>
      <c r="Z64"/>
      <c r="AA64"/>
      <c r="AB64"/>
      <c r="AC64"/>
      <c r="AD64"/>
    </row>
    <row r="65" spans="1:30" s="82" customFormat="1" x14ac:dyDescent="0.25">
      <c r="A65"/>
      <c r="B65"/>
      <c r="C65"/>
      <c r="D65"/>
      <c r="E65"/>
      <c r="F65"/>
      <c r="G65"/>
      <c r="H65"/>
      <c r="I65"/>
      <c r="J65"/>
      <c r="K65"/>
      <c r="L65"/>
      <c r="M65"/>
      <c r="N65"/>
      <c r="O65"/>
      <c r="P65"/>
      <c r="Q65"/>
      <c r="R65"/>
      <c r="S65"/>
      <c r="T65"/>
      <c r="U65"/>
      <c r="V65"/>
      <c r="W65"/>
      <c r="X65"/>
      <c r="Y65"/>
      <c r="Z65"/>
      <c r="AA65"/>
      <c r="AB65"/>
      <c r="AC65"/>
      <c r="AD65"/>
    </row>
    <row r="66" spans="1:30" s="82" customFormat="1" x14ac:dyDescent="0.25">
      <c r="A66"/>
      <c r="B66"/>
      <c r="C66"/>
      <c r="D66"/>
      <c r="E66"/>
      <c r="F66"/>
      <c r="G66"/>
      <c r="H66"/>
      <c r="I66"/>
      <c r="J66"/>
      <c r="K66"/>
      <c r="L66"/>
      <c r="M66"/>
      <c r="N66"/>
      <c r="O66"/>
      <c r="P66"/>
      <c r="Q66"/>
      <c r="R66"/>
      <c r="S66"/>
      <c r="T66"/>
      <c r="U66"/>
      <c r="V66"/>
      <c r="W66"/>
      <c r="X66"/>
      <c r="Y66"/>
      <c r="Z66"/>
      <c r="AA66"/>
      <c r="AB66"/>
      <c r="AC66"/>
      <c r="AD66"/>
    </row>
    <row r="67" spans="1:30" s="82" customFormat="1" x14ac:dyDescent="0.25">
      <c r="A67"/>
      <c r="B67"/>
      <c r="C67"/>
      <c r="D67"/>
      <c r="E67"/>
      <c r="F67"/>
      <c r="G67"/>
      <c r="H67"/>
      <c r="I67"/>
      <c r="J67"/>
      <c r="K67"/>
      <c r="L67"/>
      <c r="M67"/>
      <c r="N67"/>
      <c r="O67"/>
      <c r="P67"/>
      <c r="Q67"/>
      <c r="R67"/>
      <c r="S67"/>
      <c r="T67"/>
      <c r="U67"/>
      <c r="V67"/>
      <c r="W67"/>
      <c r="X67"/>
      <c r="Y67"/>
      <c r="Z67"/>
      <c r="AA67"/>
      <c r="AB67"/>
      <c r="AC67"/>
      <c r="AD67"/>
    </row>
    <row r="68" spans="1:30" s="82" customFormat="1" x14ac:dyDescent="0.25">
      <c r="A68"/>
      <c r="B68"/>
      <c r="C68"/>
      <c r="D68"/>
      <c r="E68"/>
      <c r="F68"/>
      <c r="G68"/>
      <c r="H68"/>
      <c r="I68"/>
      <c r="J68"/>
      <c r="K68"/>
      <c r="L68"/>
      <c r="M68"/>
      <c r="N68"/>
      <c r="O68"/>
      <c r="P68"/>
      <c r="Q68"/>
      <c r="R68"/>
      <c r="S68"/>
      <c r="T68"/>
      <c r="U68"/>
      <c r="V68"/>
      <c r="W68"/>
      <c r="X68"/>
      <c r="Y68"/>
      <c r="Z68"/>
      <c r="AA68"/>
      <c r="AB68"/>
      <c r="AC68"/>
      <c r="AD68"/>
    </row>
    <row r="69" spans="1:30" s="82" customFormat="1" x14ac:dyDescent="0.25">
      <c r="A69"/>
      <c r="B69"/>
      <c r="C69"/>
      <c r="D69"/>
      <c r="E69"/>
      <c r="F69"/>
      <c r="G69"/>
      <c r="H69"/>
      <c r="I69"/>
      <c r="J69"/>
      <c r="K69"/>
      <c r="L69"/>
      <c r="M69"/>
      <c r="N69"/>
      <c r="O69"/>
      <c r="P69"/>
      <c r="Q69"/>
      <c r="R69"/>
      <c r="S69"/>
      <c r="T69"/>
      <c r="U69"/>
      <c r="V69"/>
      <c r="W69"/>
      <c r="X69"/>
      <c r="Y69"/>
      <c r="Z69"/>
      <c r="AA69"/>
      <c r="AB69"/>
      <c r="AC69"/>
      <c r="AD69"/>
    </row>
    <row r="70" spans="1:30" s="82" customFormat="1" x14ac:dyDescent="0.25">
      <c r="A70"/>
      <c r="B70"/>
      <c r="C70"/>
      <c r="D70"/>
      <c r="E70"/>
      <c r="F70"/>
      <c r="G70"/>
      <c r="H70"/>
      <c r="I70"/>
      <c r="J70"/>
      <c r="K70"/>
      <c r="L70"/>
      <c r="M70"/>
      <c r="N70"/>
      <c r="O70"/>
      <c r="P70"/>
      <c r="Q70"/>
      <c r="R70"/>
      <c r="S70"/>
      <c r="T70"/>
      <c r="U70"/>
      <c r="V70"/>
      <c r="W70"/>
      <c r="X70"/>
      <c r="Y70"/>
      <c r="Z70"/>
      <c r="AA70"/>
      <c r="AB70"/>
      <c r="AC70"/>
      <c r="AD70"/>
    </row>
    <row r="71" spans="1:30" s="82" customFormat="1" x14ac:dyDescent="0.25">
      <c r="A71"/>
      <c r="B71"/>
      <c r="C71"/>
      <c r="D71"/>
      <c r="E71"/>
      <c r="F71"/>
      <c r="G71"/>
      <c r="H71"/>
      <c r="I71"/>
      <c r="J71"/>
      <c r="K71"/>
      <c r="L71"/>
      <c r="M71"/>
      <c r="N71"/>
      <c r="O71"/>
      <c r="P71"/>
      <c r="Q71"/>
      <c r="R71"/>
      <c r="S71"/>
      <c r="T71"/>
      <c r="U71"/>
      <c r="V71"/>
      <c r="W71"/>
      <c r="X71"/>
      <c r="Y71"/>
      <c r="Z71"/>
      <c r="AA71"/>
      <c r="AB71"/>
      <c r="AC71"/>
      <c r="AD71"/>
    </row>
    <row r="72" spans="1:30" s="82" customFormat="1" x14ac:dyDescent="0.25">
      <c r="A72"/>
      <c r="B72"/>
      <c r="C72"/>
      <c r="D72"/>
      <c r="E72"/>
      <c r="F72"/>
      <c r="G72"/>
      <c r="H72"/>
      <c r="I72"/>
      <c r="J72"/>
      <c r="K72"/>
      <c r="L72"/>
      <c r="M72"/>
      <c r="N72"/>
      <c r="O72"/>
      <c r="P72"/>
      <c r="Q72"/>
      <c r="R72"/>
      <c r="S72"/>
      <c r="T72"/>
      <c r="U72"/>
      <c r="V72"/>
      <c r="W72"/>
      <c r="X72"/>
      <c r="Y72"/>
      <c r="Z72"/>
      <c r="AA72"/>
      <c r="AB72"/>
      <c r="AC72"/>
      <c r="AD72"/>
    </row>
    <row r="73" spans="1:30" s="82" customFormat="1" x14ac:dyDescent="0.25">
      <c r="A73"/>
      <c r="B73"/>
      <c r="C73"/>
      <c r="D73"/>
      <c r="E73"/>
      <c r="F73"/>
      <c r="G73"/>
      <c r="H73"/>
      <c r="I73"/>
      <c r="J73"/>
      <c r="K73"/>
      <c r="L73"/>
      <c r="M73"/>
      <c r="N73"/>
      <c r="O73"/>
      <c r="P73"/>
      <c r="Q73"/>
      <c r="R73"/>
      <c r="S73"/>
      <c r="T73"/>
      <c r="U73"/>
      <c r="V73"/>
      <c r="W73"/>
      <c r="X73"/>
      <c r="Y73"/>
      <c r="Z73"/>
      <c r="AA73"/>
      <c r="AB73"/>
      <c r="AC73"/>
      <c r="AD73"/>
    </row>
    <row r="74" spans="1:30" s="82" customFormat="1" x14ac:dyDescent="0.25">
      <c r="A74"/>
      <c r="B74"/>
      <c r="C74"/>
      <c r="D74"/>
      <c r="E74"/>
      <c r="F74"/>
      <c r="G74"/>
      <c r="H74"/>
      <c r="I74"/>
      <c r="J74"/>
      <c r="K74"/>
      <c r="L74"/>
      <c r="M74"/>
      <c r="N74"/>
      <c r="O74"/>
      <c r="P74"/>
      <c r="Q74"/>
      <c r="R74"/>
      <c r="S74"/>
      <c r="T74"/>
      <c r="U74"/>
      <c r="V74"/>
      <c r="W74"/>
      <c r="X74"/>
      <c r="Y74"/>
      <c r="Z74"/>
      <c r="AA74"/>
      <c r="AB74"/>
      <c r="AC74"/>
      <c r="AD74"/>
    </row>
    <row r="75" spans="1:30" s="82" customFormat="1" x14ac:dyDescent="0.25">
      <c r="A75"/>
      <c r="B75"/>
      <c r="C75"/>
      <c r="D75"/>
      <c r="E75"/>
      <c r="F75"/>
      <c r="G75"/>
      <c r="H75"/>
      <c r="I75"/>
      <c r="J75"/>
      <c r="K75"/>
      <c r="L75"/>
      <c r="M75"/>
      <c r="N75"/>
      <c r="O75"/>
      <c r="P75"/>
      <c r="Q75"/>
      <c r="R75"/>
      <c r="S75"/>
      <c r="T75"/>
      <c r="U75"/>
      <c r="V75"/>
      <c r="W75"/>
      <c r="X75"/>
      <c r="Y75"/>
      <c r="Z75"/>
      <c r="AA75"/>
      <c r="AB75"/>
      <c r="AC75"/>
      <c r="AD75"/>
    </row>
    <row r="76" spans="1:30" s="82" customFormat="1" x14ac:dyDescent="0.25">
      <c r="A76"/>
      <c r="B76"/>
      <c r="C76"/>
      <c r="D76"/>
      <c r="E76"/>
      <c r="F76"/>
      <c r="G76"/>
      <c r="H76"/>
      <c r="I76"/>
      <c r="J76"/>
      <c r="K76"/>
      <c r="L76"/>
      <c r="M76"/>
      <c r="N76"/>
      <c r="O76"/>
      <c r="P76"/>
      <c r="Q76"/>
      <c r="R76"/>
      <c r="S76"/>
      <c r="T76"/>
      <c r="U76"/>
      <c r="V76"/>
      <c r="W76"/>
      <c r="X76"/>
      <c r="Y76"/>
      <c r="Z76"/>
      <c r="AA76"/>
      <c r="AB76"/>
      <c r="AC76"/>
      <c r="AD76"/>
    </row>
    <row r="77" spans="1:30" s="82" customFormat="1" x14ac:dyDescent="0.25">
      <c r="A77"/>
      <c r="B77"/>
      <c r="C77"/>
      <c r="D77"/>
      <c r="E77"/>
      <c r="F77"/>
      <c r="G77"/>
      <c r="H77"/>
      <c r="I77"/>
      <c r="J77"/>
      <c r="K77"/>
      <c r="L77"/>
      <c r="M77"/>
      <c r="N77"/>
      <c r="O77"/>
      <c r="P77"/>
      <c r="Q77"/>
      <c r="R77"/>
      <c r="S77"/>
      <c r="T77"/>
      <c r="U77"/>
      <c r="V77"/>
      <c r="W77"/>
      <c r="X77"/>
      <c r="Y77"/>
      <c r="Z77"/>
      <c r="AA77"/>
      <c r="AB77"/>
      <c r="AC77"/>
      <c r="AD77"/>
    </row>
    <row r="78" spans="1:30" s="82" customFormat="1" x14ac:dyDescent="0.25">
      <c r="A78"/>
      <c r="B78"/>
      <c r="C78"/>
      <c r="D78"/>
      <c r="E78"/>
      <c r="F78"/>
      <c r="G78"/>
      <c r="H78"/>
      <c r="I78"/>
      <c r="J78"/>
      <c r="K78"/>
      <c r="L78"/>
      <c r="M78"/>
      <c r="N78"/>
      <c r="O78"/>
      <c r="P78"/>
      <c r="Q78"/>
      <c r="R78"/>
      <c r="S78"/>
      <c r="T78"/>
      <c r="U78"/>
      <c r="V78"/>
      <c r="W78"/>
      <c r="X78"/>
      <c r="Y78"/>
      <c r="Z78"/>
      <c r="AA78"/>
      <c r="AB78"/>
      <c r="AC78"/>
      <c r="AD78"/>
    </row>
    <row r="79" spans="1:30" s="82" customFormat="1" x14ac:dyDescent="0.25">
      <c r="A79"/>
      <c r="B79"/>
      <c r="C79"/>
      <c r="D79"/>
      <c r="E79"/>
      <c r="F79"/>
      <c r="G79"/>
      <c r="H79"/>
      <c r="I79"/>
      <c r="J79"/>
      <c r="K79"/>
      <c r="L79"/>
      <c r="M79"/>
      <c r="N79"/>
      <c r="O79"/>
      <c r="P79"/>
      <c r="Q79"/>
      <c r="R79"/>
      <c r="S79"/>
      <c r="T79"/>
      <c r="U79"/>
      <c r="V79"/>
      <c r="W79"/>
      <c r="X79"/>
      <c r="Y79"/>
      <c r="Z79"/>
      <c r="AA79"/>
      <c r="AB79"/>
      <c r="AC79"/>
      <c r="AD79"/>
    </row>
    <row r="80" spans="1:30" s="82" customFormat="1" x14ac:dyDescent="0.25">
      <c r="A80"/>
      <c r="B80"/>
      <c r="C80"/>
      <c r="D80"/>
      <c r="E80"/>
      <c r="F80"/>
      <c r="G80"/>
      <c r="H80"/>
      <c r="I80"/>
      <c r="J80"/>
      <c r="K80"/>
      <c r="L80"/>
      <c r="M80"/>
      <c r="N80"/>
      <c r="O80"/>
      <c r="P80"/>
      <c r="Q80"/>
      <c r="R80"/>
      <c r="S80"/>
      <c r="T80"/>
      <c r="U80"/>
      <c r="V80"/>
      <c r="W80"/>
      <c r="X80"/>
      <c r="Y80"/>
      <c r="Z80"/>
      <c r="AA80"/>
      <c r="AB80"/>
      <c r="AC80"/>
      <c r="AD80"/>
    </row>
    <row r="81" spans="1:30" s="82" customFormat="1" x14ac:dyDescent="0.25">
      <c r="A81"/>
      <c r="B81"/>
      <c r="C81"/>
      <c r="D81"/>
      <c r="E81"/>
      <c r="F81"/>
      <c r="G81"/>
      <c r="H81"/>
      <c r="I81"/>
      <c r="J81"/>
      <c r="K81"/>
      <c r="L81"/>
      <c r="M81"/>
      <c r="N81"/>
      <c r="O81"/>
      <c r="P81"/>
      <c r="Q81"/>
      <c r="R81"/>
      <c r="S81"/>
      <c r="T81"/>
      <c r="U81"/>
      <c r="V81"/>
      <c r="W81"/>
      <c r="X81"/>
      <c r="Y81"/>
      <c r="Z81"/>
      <c r="AA81"/>
      <c r="AB81"/>
      <c r="AC81"/>
      <c r="AD81"/>
    </row>
    <row r="82" spans="1:30" s="82" customFormat="1" x14ac:dyDescent="0.25">
      <c r="A82"/>
      <c r="B82"/>
      <c r="C82"/>
      <c r="D82"/>
      <c r="E82"/>
      <c r="F82"/>
      <c r="G82"/>
      <c r="H82"/>
      <c r="I82"/>
      <c r="J82"/>
      <c r="K82"/>
      <c r="L82"/>
      <c r="M82"/>
      <c r="N82"/>
      <c r="O82"/>
      <c r="P82"/>
      <c r="Q82"/>
      <c r="R82"/>
      <c r="S82"/>
      <c r="T82"/>
      <c r="U82"/>
      <c r="V82"/>
      <c r="W82"/>
      <c r="X82"/>
      <c r="Y82"/>
      <c r="Z82"/>
      <c r="AA82"/>
      <c r="AB82"/>
      <c r="AC82"/>
      <c r="AD82"/>
    </row>
    <row r="83" spans="1:30" s="82" customFormat="1" x14ac:dyDescent="0.25">
      <c r="A83"/>
      <c r="B83"/>
      <c r="C83"/>
      <c r="D83"/>
      <c r="E83"/>
      <c r="F83"/>
      <c r="G83"/>
      <c r="H83"/>
      <c r="I83"/>
      <c r="J83"/>
      <c r="K83"/>
      <c r="L83"/>
      <c r="M83"/>
      <c r="N83"/>
      <c r="O83"/>
      <c r="P83"/>
      <c r="Q83"/>
      <c r="R83"/>
      <c r="S83"/>
      <c r="T83"/>
      <c r="U83"/>
      <c r="V83"/>
      <c r="W83"/>
      <c r="X83"/>
      <c r="Y83"/>
      <c r="Z83"/>
      <c r="AA83"/>
      <c r="AB83"/>
      <c r="AC83"/>
      <c r="AD83"/>
    </row>
    <row r="84" spans="1:30" s="82" customFormat="1" x14ac:dyDescent="0.25">
      <c r="A84"/>
      <c r="B84"/>
      <c r="C84"/>
      <c r="D84"/>
      <c r="E84"/>
      <c r="F84"/>
      <c r="G84"/>
      <c r="H84"/>
      <c r="I84"/>
      <c r="J84"/>
      <c r="K84"/>
      <c r="L84"/>
      <c r="M84"/>
      <c r="N84"/>
      <c r="O84"/>
      <c r="P84"/>
      <c r="Q84"/>
      <c r="R84"/>
      <c r="S84"/>
      <c r="T84"/>
      <c r="U84"/>
      <c r="V84"/>
      <c r="W84"/>
      <c r="X84"/>
      <c r="Y84"/>
      <c r="Z84"/>
      <c r="AA84"/>
      <c r="AB84"/>
      <c r="AC84"/>
      <c r="AD84"/>
    </row>
    <row r="85" spans="1:30" s="82" customFormat="1" x14ac:dyDescent="0.25">
      <c r="A85"/>
      <c r="B85"/>
      <c r="C85"/>
      <c r="D85"/>
      <c r="E85"/>
      <c r="F85"/>
      <c r="G85"/>
      <c r="H85"/>
      <c r="I85"/>
      <c r="J85"/>
      <c r="K85"/>
      <c r="L85"/>
      <c r="M85"/>
      <c r="N85"/>
      <c r="O85"/>
      <c r="P85"/>
      <c r="Q85"/>
      <c r="R85"/>
      <c r="S85"/>
      <c r="T85"/>
      <c r="U85"/>
      <c r="V85"/>
      <c r="W85"/>
      <c r="X85"/>
      <c r="Y85"/>
      <c r="Z85"/>
      <c r="AA85"/>
      <c r="AB85"/>
      <c r="AC85"/>
      <c r="AD85"/>
    </row>
    <row r="86" spans="1:30" s="82" customFormat="1" x14ac:dyDescent="0.25">
      <c r="A86"/>
      <c r="B86"/>
      <c r="C86"/>
      <c r="D86"/>
      <c r="E86"/>
      <c r="F86"/>
      <c r="G86"/>
      <c r="H86"/>
      <c r="I86"/>
      <c r="J86"/>
      <c r="K86"/>
      <c r="L86"/>
      <c r="M86"/>
      <c r="N86"/>
      <c r="O86"/>
      <c r="P86"/>
      <c r="Q86"/>
      <c r="R86"/>
      <c r="S86"/>
      <c r="T86"/>
      <c r="U86"/>
      <c r="V86"/>
      <c r="W86"/>
      <c r="X86"/>
      <c r="Y86"/>
      <c r="Z86"/>
      <c r="AA86"/>
      <c r="AB86"/>
      <c r="AC86"/>
      <c r="AD86"/>
    </row>
    <row r="87" spans="1:30" s="82" customFormat="1" x14ac:dyDescent="0.25">
      <c r="A87"/>
      <c r="B87"/>
      <c r="C87"/>
      <c r="D87"/>
      <c r="E87"/>
      <c r="F87"/>
      <c r="G87"/>
      <c r="H87"/>
      <c r="I87"/>
      <c r="J87"/>
      <c r="K87"/>
      <c r="L87"/>
      <c r="M87"/>
      <c r="N87"/>
      <c r="O87"/>
      <c r="P87"/>
      <c r="Q87"/>
      <c r="R87"/>
      <c r="S87"/>
      <c r="T87"/>
      <c r="U87"/>
      <c r="V87"/>
      <c r="W87"/>
      <c r="X87"/>
      <c r="Y87"/>
      <c r="Z87"/>
      <c r="AA87"/>
      <c r="AB87"/>
      <c r="AC87"/>
      <c r="AD87"/>
    </row>
    <row r="88" spans="1:30" s="82" customFormat="1" x14ac:dyDescent="0.25">
      <c r="A88"/>
      <c r="B88"/>
      <c r="C88"/>
      <c r="D88"/>
      <c r="E88"/>
      <c r="F88"/>
      <c r="G88"/>
      <c r="H88"/>
      <c r="I88"/>
      <c r="J88"/>
      <c r="K88"/>
      <c r="L88"/>
      <c r="M88"/>
      <c r="N88"/>
      <c r="O88"/>
      <c r="P88"/>
      <c r="Q88"/>
      <c r="R88"/>
      <c r="S88"/>
      <c r="T88"/>
      <c r="U88"/>
      <c r="V88"/>
      <c r="W88"/>
      <c r="X88"/>
      <c r="Y88"/>
      <c r="Z88"/>
      <c r="AA88"/>
      <c r="AB88"/>
      <c r="AC88"/>
      <c r="AD88"/>
    </row>
    <row r="89" spans="1:30" s="82" customFormat="1" x14ac:dyDescent="0.25">
      <c r="A89"/>
      <c r="B89"/>
      <c r="C89"/>
      <c r="D89"/>
      <c r="E89"/>
      <c r="F89"/>
      <c r="G89"/>
      <c r="H89"/>
      <c r="I89"/>
      <c r="J89"/>
      <c r="K89"/>
      <c r="L89"/>
      <c r="M89"/>
      <c r="N89"/>
      <c r="O89"/>
      <c r="P89"/>
      <c r="Q89"/>
      <c r="R89"/>
      <c r="S89"/>
      <c r="T89"/>
      <c r="U89"/>
      <c r="V89"/>
      <c r="W89"/>
      <c r="X89"/>
      <c r="Y89"/>
      <c r="Z89"/>
      <c r="AA89"/>
      <c r="AB89"/>
      <c r="AC89"/>
      <c r="AD89"/>
    </row>
    <row r="90" spans="1:30" s="82" customFormat="1" x14ac:dyDescent="0.25">
      <c r="A90"/>
      <c r="B90"/>
      <c r="C90"/>
      <c r="D90"/>
      <c r="E90"/>
      <c r="F90"/>
      <c r="G90"/>
      <c r="H90"/>
      <c r="I90"/>
      <c r="J90"/>
      <c r="K90"/>
      <c r="L90"/>
      <c r="M90"/>
      <c r="N90"/>
      <c r="O90"/>
      <c r="P90"/>
      <c r="Q90"/>
      <c r="R90"/>
      <c r="S90"/>
      <c r="T90"/>
      <c r="U90"/>
      <c r="V90"/>
      <c r="W90"/>
      <c r="X90"/>
      <c r="Y90"/>
      <c r="Z90"/>
      <c r="AA90"/>
      <c r="AB90"/>
      <c r="AC90"/>
      <c r="AD90"/>
    </row>
    <row r="91" spans="1:30" s="82" customFormat="1" x14ac:dyDescent="0.25">
      <c r="A91"/>
      <c r="B91"/>
      <c r="C91"/>
      <c r="D91"/>
      <c r="E91"/>
      <c r="F91"/>
      <c r="G91"/>
      <c r="H91"/>
      <c r="I91"/>
      <c r="J91"/>
      <c r="K91"/>
      <c r="L91"/>
      <c r="M91"/>
      <c r="N91"/>
      <c r="O91"/>
      <c r="P91"/>
      <c r="Q91"/>
      <c r="R91"/>
      <c r="S91"/>
      <c r="T91"/>
      <c r="U91"/>
      <c r="V91"/>
      <c r="W91"/>
      <c r="X91"/>
      <c r="Y91"/>
      <c r="Z91"/>
      <c r="AA91"/>
      <c r="AB91"/>
      <c r="AC91"/>
      <c r="AD91"/>
    </row>
    <row r="92" spans="1:30" s="82" customFormat="1" x14ac:dyDescent="0.25">
      <c r="A92"/>
      <c r="B92"/>
      <c r="C92"/>
      <c r="D92"/>
      <c r="E92"/>
      <c r="F92"/>
      <c r="G92"/>
      <c r="H92"/>
      <c r="I92"/>
      <c r="J92"/>
      <c r="K92"/>
      <c r="L92"/>
      <c r="M92"/>
      <c r="N92"/>
      <c r="O92"/>
      <c r="P92"/>
      <c r="Q92"/>
      <c r="R92"/>
      <c r="S92"/>
      <c r="T92"/>
      <c r="U92"/>
      <c r="V92"/>
      <c r="W92"/>
      <c r="X92"/>
      <c r="Y92"/>
      <c r="Z92"/>
      <c r="AA92"/>
      <c r="AB92"/>
      <c r="AC92"/>
      <c r="AD92"/>
    </row>
    <row r="93" spans="1:30" s="82" customFormat="1" x14ac:dyDescent="0.25">
      <c r="A93"/>
      <c r="B93"/>
      <c r="C93"/>
      <c r="D93"/>
      <c r="E93"/>
      <c r="F93"/>
      <c r="G93"/>
      <c r="H93"/>
      <c r="I93"/>
      <c r="J93"/>
      <c r="K93"/>
      <c r="L93"/>
      <c r="M93"/>
      <c r="N93"/>
      <c r="O93"/>
      <c r="P93"/>
      <c r="Q93"/>
      <c r="R93"/>
      <c r="S93"/>
      <c r="T93"/>
      <c r="U93"/>
      <c r="V93"/>
      <c r="W93"/>
      <c r="X93"/>
      <c r="Y93"/>
      <c r="Z93"/>
      <c r="AA93"/>
      <c r="AB93"/>
      <c r="AC93"/>
      <c r="AD93"/>
    </row>
    <row r="94" spans="1:30" s="82" customFormat="1" x14ac:dyDescent="0.25">
      <c r="A94"/>
      <c r="B94"/>
      <c r="C94"/>
      <c r="D94"/>
      <c r="E94"/>
      <c r="F94"/>
      <c r="G94"/>
      <c r="H94"/>
      <c r="I94"/>
      <c r="J94"/>
      <c r="K94"/>
      <c r="L94"/>
      <c r="M94"/>
      <c r="N94"/>
      <c r="O94"/>
      <c r="P94"/>
      <c r="Q94"/>
      <c r="R94"/>
      <c r="S94"/>
      <c r="T94"/>
      <c r="U94"/>
      <c r="V94"/>
      <c r="W94"/>
      <c r="X94"/>
      <c r="Y94"/>
      <c r="Z94"/>
      <c r="AA94"/>
      <c r="AB94"/>
      <c r="AC94"/>
      <c r="AD94"/>
    </row>
    <row r="95" spans="1:30" s="82" customFormat="1" x14ac:dyDescent="0.25">
      <c r="A95"/>
      <c r="B95"/>
      <c r="C95"/>
      <c r="D95"/>
      <c r="E95"/>
      <c r="F95"/>
      <c r="G95"/>
      <c r="H95"/>
      <c r="I95"/>
      <c r="J95"/>
      <c r="K95"/>
      <c r="L95"/>
      <c r="M95"/>
      <c r="N95"/>
      <c r="O95"/>
      <c r="P95"/>
      <c r="Q95"/>
      <c r="R95"/>
      <c r="S95"/>
      <c r="T95"/>
      <c r="U95"/>
      <c r="V95"/>
      <c r="W95"/>
      <c r="X95"/>
      <c r="Y95"/>
      <c r="Z95"/>
      <c r="AA95"/>
      <c r="AB95"/>
      <c r="AC95"/>
      <c r="AD95"/>
    </row>
    <row r="96" spans="1:30" s="82" customFormat="1" x14ac:dyDescent="0.25">
      <c r="A96"/>
      <c r="B96"/>
      <c r="C96"/>
      <c r="D96"/>
      <c r="E96"/>
      <c r="F96"/>
      <c r="G96"/>
      <c r="H96"/>
      <c r="I96"/>
      <c r="J96"/>
      <c r="K96"/>
      <c r="L96"/>
      <c r="M96"/>
      <c r="N96"/>
      <c r="O96"/>
      <c r="P96"/>
      <c r="Q96"/>
      <c r="R96"/>
      <c r="S96"/>
      <c r="T96"/>
      <c r="U96"/>
      <c r="V96"/>
      <c r="W96"/>
      <c r="X96"/>
      <c r="Y96"/>
      <c r="Z96"/>
      <c r="AA96"/>
      <c r="AB96"/>
      <c r="AC96"/>
      <c r="AD96"/>
    </row>
    <row r="97" spans="1:30" s="82" customFormat="1" x14ac:dyDescent="0.25">
      <c r="A97"/>
      <c r="B97"/>
      <c r="C97"/>
      <c r="D97"/>
      <c r="E97"/>
      <c r="F97"/>
      <c r="G97"/>
      <c r="H97"/>
      <c r="I97"/>
      <c r="J97"/>
      <c r="K97"/>
      <c r="L97"/>
      <c r="M97"/>
      <c r="N97"/>
      <c r="O97"/>
      <c r="P97"/>
      <c r="Q97"/>
      <c r="R97"/>
      <c r="S97"/>
      <c r="T97"/>
      <c r="U97"/>
      <c r="V97"/>
      <c r="W97"/>
      <c r="X97"/>
      <c r="Y97"/>
      <c r="Z97"/>
      <c r="AA97"/>
      <c r="AB97"/>
      <c r="AC97"/>
      <c r="AD97"/>
    </row>
    <row r="98" spans="1:30" s="82" customFormat="1" x14ac:dyDescent="0.25">
      <c r="A98"/>
      <c r="B98"/>
      <c r="C98"/>
      <c r="D98"/>
      <c r="E98"/>
      <c r="F98"/>
      <c r="G98"/>
      <c r="H98"/>
      <c r="I98"/>
      <c r="J98"/>
      <c r="K98"/>
      <c r="L98"/>
      <c r="M98"/>
      <c r="N98"/>
      <c r="O98"/>
      <c r="P98"/>
      <c r="Q98"/>
      <c r="R98"/>
      <c r="S98"/>
      <c r="T98"/>
      <c r="U98"/>
      <c r="V98"/>
      <c r="W98"/>
      <c r="X98"/>
      <c r="Y98"/>
      <c r="Z98"/>
      <c r="AA98"/>
      <c r="AB98"/>
      <c r="AC98"/>
      <c r="AD98"/>
    </row>
    <row r="99" spans="1:30" s="82" customFormat="1" x14ac:dyDescent="0.25">
      <c r="A99"/>
      <c r="B99"/>
      <c r="C99"/>
      <c r="D99"/>
      <c r="E99"/>
      <c r="F99"/>
      <c r="G99"/>
      <c r="H99"/>
      <c r="I99"/>
      <c r="J99"/>
      <c r="K99"/>
      <c r="L99"/>
      <c r="M99"/>
      <c r="N99"/>
      <c r="O99"/>
      <c r="P99"/>
      <c r="Q99"/>
      <c r="R99"/>
      <c r="S99"/>
      <c r="T99"/>
      <c r="U99"/>
      <c r="V99"/>
      <c r="W99"/>
      <c r="X99"/>
      <c r="Y99"/>
      <c r="Z99"/>
      <c r="AA99"/>
      <c r="AB99"/>
      <c r="AC99"/>
      <c r="AD99"/>
    </row>
    <row r="100" spans="1:30" s="82" customFormat="1" x14ac:dyDescent="0.25">
      <c r="A100"/>
      <c r="B100"/>
      <c r="C100"/>
      <c r="D100"/>
      <c r="E100"/>
      <c r="F100"/>
      <c r="G100"/>
      <c r="H100"/>
      <c r="I100"/>
      <c r="J100"/>
      <c r="K100"/>
      <c r="L100"/>
      <c r="M100"/>
      <c r="N100"/>
      <c r="O100"/>
      <c r="P100"/>
      <c r="Q100"/>
      <c r="R100"/>
      <c r="S100"/>
      <c r="T100"/>
      <c r="U100"/>
      <c r="V100"/>
      <c r="W100"/>
      <c r="X100"/>
      <c r="Y100"/>
      <c r="Z100"/>
      <c r="AA100"/>
      <c r="AB100"/>
      <c r="AC100"/>
      <c r="AD100"/>
    </row>
    <row r="101" spans="1:30" s="82" customFormat="1" x14ac:dyDescent="0.25">
      <c r="A101"/>
      <c r="B101"/>
      <c r="C101"/>
      <c r="D101"/>
      <c r="E101"/>
      <c r="F101"/>
      <c r="G101"/>
      <c r="H101"/>
      <c r="I101"/>
      <c r="J101"/>
      <c r="K101"/>
      <c r="L101"/>
      <c r="M101"/>
      <c r="N101"/>
      <c r="O101"/>
      <c r="P101"/>
      <c r="Q101"/>
      <c r="R101"/>
      <c r="S101"/>
      <c r="T101"/>
      <c r="U101"/>
      <c r="V101"/>
      <c r="W101"/>
      <c r="X101"/>
      <c r="Y101"/>
      <c r="Z101"/>
      <c r="AA101"/>
      <c r="AB101"/>
      <c r="AC101"/>
      <c r="AD101"/>
    </row>
    <row r="102" spans="1:30" s="82" customFormat="1" x14ac:dyDescent="0.25">
      <c r="A102"/>
      <c r="B102"/>
      <c r="C102"/>
      <c r="D102"/>
      <c r="E102"/>
      <c r="F102"/>
      <c r="G102"/>
      <c r="H102"/>
      <c r="I102"/>
      <c r="J102"/>
      <c r="K102"/>
      <c r="L102"/>
      <c r="M102"/>
      <c r="N102"/>
      <c r="O102"/>
      <c r="P102"/>
      <c r="Q102"/>
      <c r="R102"/>
      <c r="S102"/>
      <c r="T102"/>
      <c r="U102"/>
      <c r="V102"/>
      <c r="W102"/>
      <c r="X102"/>
      <c r="Y102"/>
      <c r="Z102"/>
      <c r="AA102"/>
      <c r="AB102"/>
      <c r="AC102"/>
      <c r="AD102"/>
    </row>
    <row r="103" spans="1:30" s="82" customFormat="1" x14ac:dyDescent="0.25">
      <c r="A103"/>
      <c r="B103"/>
      <c r="C103"/>
      <c r="D103"/>
      <c r="E103"/>
      <c r="F103"/>
      <c r="G103"/>
      <c r="H103"/>
      <c r="I103"/>
      <c r="J103"/>
      <c r="K103"/>
      <c r="L103"/>
      <c r="M103"/>
      <c r="N103"/>
      <c r="O103"/>
      <c r="P103"/>
      <c r="Q103"/>
      <c r="R103"/>
      <c r="S103"/>
      <c r="T103"/>
      <c r="U103"/>
      <c r="V103"/>
      <c r="W103"/>
      <c r="X103"/>
      <c r="Y103"/>
      <c r="Z103"/>
      <c r="AA103"/>
      <c r="AB103"/>
      <c r="AC103"/>
      <c r="AD103"/>
    </row>
    <row r="104" spans="1:30" s="82" customFormat="1" x14ac:dyDescent="0.25">
      <c r="A104"/>
      <c r="B104"/>
      <c r="C104"/>
      <c r="D104"/>
      <c r="E104"/>
      <c r="F104"/>
      <c r="G104"/>
      <c r="H104"/>
      <c r="I104"/>
      <c r="J104"/>
      <c r="K104"/>
      <c r="L104"/>
      <c r="M104"/>
      <c r="N104"/>
      <c r="O104"/>
      <c r="P104"/>
      <c r="Q104"/>
      <c r="R104"/>
      <c r="S104"/>
      <c r="T104"/>
      <c r="U104"/>
      <c r="V104"/>
      <c r="W104"/>
      <c r="X104"/>
      <c r="Y104"/>
      <c r="Z104"/>
      <c r="AA104"/>
      <c r="AB104"/>
      <c r="AC104"/>
      <c r="AD104"/>
    </row>
    <row r="105" spans="1:30" s="82" customFormat="1" x14ac:dyDescent="0.25">
      <c r="A105"/>
      <c r="B105"/>
      <c r="C105"/>
      <c r="D105"/>
      <c r="E105"/>
      <c r="F105"/>
      <c r="G105"/>
      <c r="H105"/>
      <c r="I105"/>
      <c r="J105"/>
      <c r="K105"/>
      <c r="L105"/>
      <c r="M105"/>
      <c r="N105"/>
      <c r="O105"/>
      <c r="P105"/>
      <c r="Q105"/>
      <c r="R105"/>
      <c r="S105"/>
      <c r="T105"/>
      <c r="U105"/>
      <c r="V105"/>
      <c r="W105"/>
      <c r="X105"/>
      <c r="Y105"/>
      <c r="Z105"/>
      <c r="AA105"/>
      <c r="AB105"/>
      <c r="AC105"/>
      <c r="AD105"/>
    </row>
    <row r="106" spans="1:30" s="82" customFormat="1" x14ac:dyDescent="0.25">
      <c r="A106"/>
      <c r="B106"/>
      <c r="C106"/>
      <c r="D106"/>
      <c r="E106"/>
      <c r="F106"/>
      <c r="G106"/>
      <c r="H106"/>
      <c r="I106"/>
      <c r="J106"/>
      <c r="K106"/>
      <c r="L106"/>
      <c r="M106"/>
      <c r="N106"/>
      <c r="O106"/>
      <c r="P106"/>
      <c r="Q106"/>
      <c r="R106"/>
      <c r="S106"/>
      <c r="T106"/>
      <c r="U106"/>
      <c r="V106"/>
      <c r="W106"/>
      <c r="X106"/>
      <c r="Y106"/>
      <c r="Z106"/>
      <c r="AA106"/>
      <c r="AB106"/>
      <c r="AC106"/>
      <c r="AD106"/>
    </row>
    <row r="107" spans="1:30" s="82" customFormat="1" x14ac:dyDescent="0.25">
      <c r="A107"/>
      <c r="B107"/>
      <c r="C107"/>
      <c r="D107"/>
      <c r="E107"/>
      <c r="F107"/>
      <c r="G107"/>
      <c r="H107"/>
      <c r="I107"/>
      <c r="J107"/>
      <c r="K107"/>
      <c r="L107"/>
      <c r="M107"/>
      <c r="N107"/>
      <c r="O107"/>
      <c r="P107"/>
      <c r="Q107"/>
      <c r="R107"/>
      <c r="S107"/>
      <c r="T107"/>
      <c r="U107"/>
      <c r="V107"/>
      <c r="W107"/>
      <c r="X107"/>
      <c r="Y107"/>
      <c r="Z107"/>
      <c r="AA107"/>
      <c r="AB107"/>
      <c r="AC107"/>
      <c r="AD107"/>
    </row>
    <row r="108" spans="1:30" s="82" customFormat="1" x14ac:dyDescent="0.25">
      <c r="A108"/>
      <c r="B108"/>
      <c r="C108"/>
      <c r="D108"/>
      <c r="E108"/>
      <c r="F108"/>
      <c r="G108"/>
      <c r="H108"/>
      <c r="I108"/>
      <c r="J108"/>
      <c r="K108"/>
      <c r="L108"/>
      <c r="M108"/>
      <c r="N108"/>
      <c r="O108"/>
      <c r="P108"/>
      <c r="Q108"/>
      <c r="R108"/>
      <c r="S108"/>
      <c r="T108"/>
      <c r="U108"/>
      <c r="V108"/>
      <c r="W108"/>
      <c r="X108"/>
      <c r="Y108"/>
      <c r="Z108"/>
      <c r="AA108"/>
      <c r="AB108"/>
      <c r="AC108"/>
      <c r="AD108"/>
    </row>
    <row r="109" spans="1:30" s="82" customFormat="1" x14ac:dyDescent="0.25">
      <c r="A109"/>
      <c r="B109"/>
      <c r="C109"/>
      <c r="D109"/>
      <c r="E109"/>
      <c r="F109"/>
      <c r="G109"/>
      <c r="H109"/>
      <c r="I109"/>
      <c r="J109"/>
      <c r="K109"/>
      <c r="L109"/>
      <c r="M109"/>
      <c r="N109"/>
      <c r="O109"/>
      <c r="P109"/>
      <c r="Q109"/>
      <c r="R109"/>
      <c r="S109"/>
      <c r="T109"/>
      <c r="U109"/>
      <c r="V109"/>
      <c r="W109"/>
      <c r="X109"/>
      <c r="Y109"/>
      <c r="Z109"/>
      <c r="AA109"/>
      <c r="AB109"/>
      <c r="AC109"/>
      <c r="AD109"/>
    </row>
    <row r="110" spans="1:30" s="82" customFormat="1" x14ac:dyDescent="0.25">
      <c r="A110"/>
      <c r="B110"/>
      <c r="C110"/>
      <c r="D110"/>
      <c r="E110"/>
      <c r="F110"/>
      <c r="G110"/>
      <c r="H110"/>
      <c r="I110"/>
      <c r="J110"/>
      <c r="K110"/>
      <c r="L110"/>
      <c r="M110"/>
      <c r="N110"/>
      <c r="O110"/>
      <c r="P110"/>
      <c r="Q110"/>
      <c r="R110"/>
      <c r="S110"/>
      <c r="T110"/>
      <c r="U110"/>
      <c r="V110"/>
      <c r="W110"/>
      <c r="X110"/>
      <c r="Y110"/>
      <c r="Z110"/>
      <c r="AA110"/>
      <c r="AB110"/>
      <c r="AC110"/>
      <c r="AD110"/>
    </row>
    <row r="111" spans="1:30" s="82" customFormat="1" x14ac:dyDescent="0.25">
      <c r="A111"/>
      <c r="B111"/>
      <c r="C111"/>
      <c r="D111"/>
      <c r="E111"/>
      <c r="F111"/>
      <c r="G111"/>
      <c r="H111"/>
      <c r="I111"/>
      <c r="J111"/>
      <c r="K111"/>
      <c r="L111"/>
      <c r="M111"/>
      <c r="N111"/>
      <c r="O111"/>
      <c r="P111"/>
      <c r="Q111"/>
      <c r="R111"/>
      <c r="S111"/>
      <c r="T111"/>
      <c r="U111"/>
      <c r="V111"/>
      <c r="W111"/>
      <c r="X111"/>
      <c r="Y111"/>
      <c r="Z111"/>
      <c r="AA111"/>
      <c r="AB111"/>
      <c r="AC111"/>
      <c r="AD111"/>
    </row>
    <row r="112" spans="1:30" s="82" customFormat="1" x14ac:dyDescent="0.25">
      <c r="A112"/>
      <c r="B112"/>
      <c r="C112"/>
      <c r="D112"/>
      <c r="E112"/>
      <c r="F112"/>
      <c r="G112"/>
      <c r="H112"/>
      <c r="I112"/>
      <c r="J112"/>
      <c r="K112"/>
      <c r="L112"/>
      <c r="M112"/>
      <c r="N112"/>
      <c r="O112"/>
      <c r="P112"/>
      <c r="Q112"/>
      <c r="R112"/>
      <c r="S112"/>
      <c r="T112"/>
      <c r="U112"/>
      <c r="V112"/>
      <c r="W112"/>
      <c r="X112"/>
      <c r="Y112"/>
      <c r="Z112"/>
      <c r="AA112"/>
      <c r="AB112"/>
      <c r="AC112"/>
      <c r="AD112"/>
    </row>
    <row r="113" spans="1:30" s="82" customFormat="1" x14ac:dyDescent="0.25">
      <c r="A113"/>
      <c r="B113"/>
      <c r="C113"/>
      <c r="D113"/>
      <c r="E113"/>
      <c r="F113"/>
      <c r="G113"/>
      <c r="H113"/>
      <c r="I113"/>
      <c r="J113"/>
      <c r="K113"/>
      <c r="L113"/>
      <c r="M113"/>
      <c r="N113"/>
      <c r="O113"/>
      <c r="P113"/>
      <c r="Q113"/>
      <c r="R113"/>
      <c r="S113"/>
      <c r="T113"/>
      <c r="U113"/>
      <c r="V113"/>
      <c r="W113"/>
      <c r="X113"/>
      <c r="Y113"/>
      <c r="Z113"/>
      <c r="AA113"/>
      <c r="AB113"/>
      <c r="AC113"/>
      <c r="AD113"/>
    </row>
    <row r="114" spans="1:30" s="82" customFormat="1" x14ac:dyDescent="0.25">
      <c r="A114"/>
      <c r="B114"/>
      <c r="C114"/>
      <c r="D114"/>
      <c r="E114"/>
      <c r="F114"/>
      <c r="G114"/>
      <c r="H114"/>
      <c r="I114"/>
      <c r="J114"/>
      <c r="K114"/>
      <c r="L114"/>
      <c r="M114"/>
      <c r="N114"/>
      <c r="O114"/>
      <c r="P114"/>
      <c r="Q114"/>
      <c r="R114"/>
      <c r="S114"/>
      <c r="T114"/>
      <c r="U114"/>
      <c r="V114"/>
      <c r="W114"/>
      <c r="X114"/>
      <c r="Y114"/>
      <c r="Z114"/>
      <c r="AA114"/>
      <c r="AB114"/>
      <c r="AC114"/>
      <c r="AD114"/>
    </row>
    <row r="115" spans="1:30" s="82" customFormat="1" x14ac:dyDescent="0.25">
      <c r="A115"/>
      <c r="B115"/>
      <c r="C115"/>
      <c r="D115"/>
      <c r="E115"/>
      <c r="F115"/>
      <c r="G115"/>
      <c r="H115"/>
      <c r="I115"/>
      <c r="J115"/>
      <c r="K115"/>
      <c r="L115"/>
      <c r="M115"/>
      <c r="N115"/>
      <c r="O115"/>
      <c r="P115"/>
      <c r="Q115"/>
      <c r="R115"/>
      <c r="S115"/>
      <c r="T115"/>
      <c r="U115"/>
      <c r="V115"/>
      <c r="W115"/>
      <c r="X115"/>
      <c r="Y115"/>
      <c r="Z115"/>
      <c r="AA115"/>
      <c r="AB115"/>
      <c r="AC115"/>
      <c r="AD115"/>
    </row>
    <row r="116" spans="1:30" s="82" customFormat="1" x14ac:dyDescent="0.25">
      <c r="A116"/>
      <c r="B116"/>
      <c r="C116"/>
      <c r="D116"/>
      <c r="E116"/>
      <c r="F116"/>
      <c r="G116"/>
      <c r="H116"/>
      <c r="I116"/>
      <c r="J116"/>
      <c r="K116"/>
      <c r="L116"/>
      <c r="M116"/>
      <c r="N116"/>
      <c r="O116"/>
      <c r="P116"/>
      <c r="Q116"/>
      <c r="R116"/>
      <c r="S116"/>
      <c r="T116"/>
      <c r="U116"/>
      <c r="V116"/>
      <c r="W116"/>
      <c r="X116"/>
      <c r="Y116"/>
      <c r="Z116"/>
      <c r="AA116"/>
      <c r="AB116"/>
      <c r="AC116"/>
      <c r="AD116"/>
    </row>
    <row r="117" spans="1:30" s="82" customFormat="1" x14ac:dyDescent="0.25">
      <c r="A117"/>
      <c r="B117"/>
      <c r="C117"/>
      <c r="D117"/>
      <c r="E117"/>
      <c r="F117"/>
      <c r="G117"/>
      <c r="H117"/>
      <c r="I117"/>
      <c r="J117"/>
      <c r="K117"/>
      <c r="L117"/>
      <c r="M117"/>
      <c r="N117"/>
      <c r="O117"/>
      <c r="P117"/>
      <c r="Q117"/>
      <c r="R117"/>
      <c r="S117"/>
      <c r="T117"/>
      <c r="U117"/>
      <c r="V117"/>
      <c r="W117"/>
      <c r="X117"/>
      <c r="Y117"/>
      <c r="Z117"/>
      <c r="AA117"/>
      <c r="AB117"/>
      <c r="AC117"/>
      <c r="AD117"/>
    </row>
    <row r="118" spans="1:30" s="82" customFormat="1" x14ac:dyDescent="0.25">
      <c r="A118"/>
      <c r="B118"/>
      <c r="C118"/>
      <c r="D118"/>
      <c r="E118"/>
      <c r="F118"/>
      <c r="G118"/>
      <c r="H118"/>
      <c r="I118"/>
      <c r="J118"/>
      <c r="K118"/>
      <c r="L118"/>
      <c r="M118"/>
      <c r="N118"/>
      <c r="O118"/>
      <c r="P118"/>
      <c r="Q118"/>
      <c r="R118"/>
      <c r="S118"/>
      <c r="T118"/>
      <c r="U118"/>
      <c r="V118"/>
      <c r="W118"/>
      <c r="X118"/>
      <c r="Y118"/>
      <c r="Z118"/>
      <c r="AA118"/>
      <c r="AB118"/>
      <c r="AC118"/>
      <c r="AD118"/>
    </row>
    <row r="119" spans="1:30" s="82" customFormat="1" x14ac:dyDescent="0.25">
      <c r="A119"/>
      <c r="B119"/>
      <c r="C119"/>
      <c r="D119"/>
      <c r="E119"/>
      <c r="F119"/>
      <c r="G119"/>
      <c r="H119"/>
      <c r="I119"/>
      <c r="J119"/>
      <c r="K119"/>
      <c r="L119"/>
      <c r="M119"/>
      <c r="N119"/>
      <c r="O119"/>
      <c r="P119"/>
      <c r="Q119"/>
      <c r="R119"/>
      <c r="S119"/>
      <c r="T119"/>
      <c r="U119"/>
      <c r="V119"/>
      <c r="W119"/>
      <c r="X119"/>
      <c r="Y119"/>
      <c r="Z119"/>
      <c r="AA119"/>
      <c r="AB119"/>
      <c r="AC119"/>
      <c r="AD119"/>
    </row>
    <row r="120" spans="1:30" s="82" customFormat="1" x14ac:dyDescent="0.25">
      <c r="A120"/>
      <c r="B120"/>
      <c r="C120"/>
      <c r="D120"/>
      <c r="E120"/>
      <c r="F120"/>
      <c r="G120"/>
      <c r="H120"/>
      <c r="I120"/>
      <c r="J120"/>
      <c r="K120"/>
      <c r="L120"/>
      <c r="M120"/>
      <c r="N120"/>
      <c r="O120"/>
      <c r="P120"/>
      <c r="Q120"/>
      <c r="R120"/>
      <c r="S120"/>
      <c r="T120"/>
      <c r="U120"/>
      <c r="V120"/>
      <c r="W120"/>
      <c r="X120"/>
      <c r="Y120"/>
      <c r="Z120"/>
      <c r="AA120"/>
      <c r="AB120"/>
      <c r="AC120"/>
      <c r="AD120"/>
    </row>
    <row r="121" spans="1:30" s="82" customFormat="1" x14ac:dyDescent="0.25">
      <c r="A121"/>
      <c r="B121"/>
      <c r="C121"/>
      <c r="D121"/>
      <c r="E121"/>
      <c r="F121"/>
      <c r="G121"/>
      <c r="H121"/>
      <c r="I121"/>
      <c r="J121"/>
      <c r="K121"/>
      <c r="L121"/>
      <c r="M121"/>
      <c r="N121"/>
      <c r="O121"/>
      <c r="P121"/>
      <c r="Q121"/>
      <c r="R121"/>
      <c r="S121"/>
      <c r="T121"/>
      <c r="U121"/>
      <c r="V121"/>
      <c r="W121"/>
      <c r="X121"/>
      <c r="Y121"/>
      <c r="Z121"/>
      <c r="AA121"/>
      <c r="AB121"/>
      <c r="AC121"/>
      <c r="AD121"/>
    </row>
    <row r="122" spans="1:30" s="82" customFormat="1" x14ac:dyDescent="0.25">
      <c r="A122"/>
      <c r="B122"/>
      <c r="C122"/>
      <c r="D122"/>
      <c r="E122"/>
      <c r="F122"/>
      <c r="G122"/>
      <c r="H122"/>
      <c r="I122"/>
      <c r="J122"/>
      <c r="K122"/>
      <c r="L122"/>
      <c r="M122"/>
      <c r="N122"/>
      <c r="O122"/>
      <c r="P122"/>
      <c r="Q122"/>
      <c r="R122"/>
      <c r="S122"/>
      <c r="T122"/>
      <c r="U122"/>
      <c r="V122"/>
      <c r="W122"/>
      <c r="X122"/>
      <c r="Y122"/>
      <c r="Z122"/>
      <c r="AA122"/>
      <c r="AB122"/>
      <c r="AC122"/>
      <c r="AD122"/>
    </row>
    <row r="123" spans="1:30" s="82" customFormat="1" x14ac:dyDescent="0.25">
      <c r="A123"/>
      <c r="B123"/>
      <c r="C123"/>
      <c r="D123"/>
      <c r="E123"/>
      <c r="F123"/>
      <c r="G123"/>
      <c r="H123"/>
      <c r="I123"/>
      <c r="J123"/>
      <c r="K123"/>
      <c r="L123"/>
      <c r="M123"/>
      <c r="N123"/>
      <c r="O123"/>
      <c r="P123"/>
      <c r="Q123"/>
      <c r="R123"/>
      <c r="S123"/>
      <c r="T123"/>
      <c r="U123"/>
      <c r="V123"/>
      <c r="W123"/>
      <c r="X123"/>
      <c r="Y123"/>
      <c r="Z123"/>
      <c r="AA123"/>
      <c r="AB123"/>
      <c r="AC123"/>
      <c r="AD123"/>
    </row>
    <row r="124" spans="1:30" s="82" customFormat="1" x14ac:dyDescent="0.25">
      <c r="A124"/>
      <c r="B124"/>
      <c r="C124"/>
      <c r="D124"/>
      <c r="E124"/>
      <c r="F124"/>
      <c r="G124"/>
      <c r="H124"/>
      <c r="I124"/>
      <c r="J124"/>
      <c r="K124"/>
      <c r="L124"/>
      <c r="M124"/>
      <c r="N124"/>
      <c r="O124"/>
      <c r="P124"/>
      <c r="Q124"/>
      <c r="R124"/>
      <c r="S124"/>
      <c r="T124"/>
      <c r="U124"/>
      <c r="V124"/>
      <c r="W124"/>
      <c r="X124"/>
      <c r="Y124"/>
      <c r="Z124"/>
      <c r="AA124"/>
      <c r="AB124"/>
      <c r="AC124"/>
      <c r="AD124"/>
    </row>
    <row r="125" spans="1:30" s="82" customFormat="1" x14ac:dyDescent="0.25">
      <c r="A125"/>
      <c r="B125"/>
      <c r="C125"/>
      <c r="D125"/>
      <c r="E125"/>
      <c r="F125"/>
      <c r="G125"/>
      <c r="H125"/>
      <c r="I125"/>
      <c r="J125"/>
      <c r="K125"/>
      <c r="L125"/>
      <c r="M125"/>
      <c r="N125"/>
      <c r="O125"/>
      <c r="P125"/>
      <c r="Q125"/>
      <c r="R125"/>
      <c r="S125"/>
      <c r="T125"/>
      <c r="U125"/>
      <c r="V125"/>
      <c r="W125"/>
      <c r="X125"/>
      <c r="Y125"/>
      <c r="Z125"/>
      <c r="AA125"/>
      <c r="AB125"/>
      <c r="AC125"/>
      <c r="AD125"/>
    </row>
    <row r="126" spans="1:30" s="82" customFormat="1" x14ac:dyDescent="0.25">
      <c r="A126"/>
      <c r="B126"/>
      <c r="C126"/>
      <c r="D126"/>
      <c r="E126"/>
      <c r="F126"/>
      <c r="G126"/>
      <c r="H126"/>
      <c r="I126"/>
      <c r="J126"/>
      <c r="K126"/>
      <c r="L126"/>
      <c r="M126"/>
      <c r="N126"/>
      <c r="O126"/>
      <c r="P126"/>
      <c r="Q126"/>
      <c r="R126"/>
      <c r="S126"/>
      <c r="T126"/>
      <c r="U126"/>
      <c r="V126"/>
      <c r="W126"/>
      <c r="X126"/>
      <c r="Y126"/>
      <c r="Z126"/>
      <c r="AA126"/>
      <c r="AB126"/>
      <c r="AC126"/>
      <c r="AD126"/>
    </row>
    <row r="127" spans="1:30" s="82" customFormat="1" x14ac:dyDescent="0.25">
      <c r="A127"/>
      <c r="B127"/>
      <c r="C127"/>
      <c r="D127"/>
      <c r="E127"/>
      <c r="F127"/>
      <c r="G127"/>
      <c r="H127"/>
      <c r="I127"/>
      <c r="J127"/>
      <c r="K127"/>
      <c r="L127"/>
      <c r="M127"/>
      <c r="N127"/>
      <c r="O127"/>
      <c r="P127"/>
      <c r="Q127"/>
      <c r="R127"/>
      <c r="S127"/>
      <c r="T127"/>
      <c r="U127"/>
      <c r="V127"/>
      <c r="W127"/>
      <c r="X127"/>
      <c r="Y127"/>
      <c r="Z127"/>
      <c r="AA127"/>
      <c r="AB127"/>
      <c r="AC127"/>
      <c r="AD127"/>
    </row>
    <row r="128" spans="1:30" s="82" customFormat="1" x14ac:dyDescent="0.25">
      <c r="A128"/>
      <c r="B128"/>
      <c r="C128"/>
      <c r="D128"/>
      <c r="E128"/>
      <c r="F128"/>
      <c r="G128"/>
      <c r="H128"/>
      <c r="I128"/>
      <c r="J128"/>
      <c r="K128"/>
      <c r="L128"/>
      <c r="M128"/>
      <c r="N128"/>
      <c r="O128"/>
      <c r="P128"/>
      <c r="Q128"/>
      <c r="R128"/>
      <c r="S128"/>
      <c r="T128"/>
      <c r="U128"/>
      <c r="V128"/>
      <c r="W128"/>
      <c r="X128"/>
      <c r="Y128"/>
      <c r="Z128"/>
      <c r="AA128"/>
      <c r="AB128"/>
      <c r="AC128"/>
      <c r="AD128"/>
    </row>
    <row r="129" spans="1:30" s="82" customFormat="1" x14ac:dyDescent="0.25">
      <c r="A129"/>
      <c r="B129"/>
      <c r="C129"/>
      <c r="D129"/>
      <c r="E129"/>
      <c r="F129"/>
      <c r="G129"/>
      <c r="H129"/>
      <c r="I129"/>
      <c r="J129"/>
      <c r="K129"/>
      <c r="L129"/>
      <c r="M129"/>
      <c r="N129"/>
      <c r="O129"/>
      <c r="P129"/>
      <c r="Q129"/>
      <c r="R129"/>
      <c r="S129"/>
      <c r="T129"/>
      <c r="U129"/>
      <c r="V129"/>
      <c r="W129"/>
      <c r="X129"/>
      <c r="Y129"/>
      <c r="Z129"/>
      <c r="AA129"/>
      <c r="AB129"/>
      <c r="AC129"/>
      <c r="AD129"/>
    </row>
    <row r="130" spans="1:30" s="82" customFormat="1" x14ac:dyDescent="0.25">
      <c r="A130"/>
      <c r="B130"/>
      <c r="C130"/>
      <c r="D130"/>
      <c r="E130"/>
      <c r="F130"/>
      <c r="G130"/>
      <c r="H130"/>
      <c r="I130"/>
      <c r="J130"/>
      <c r="K130"/>
      <c r="L130"/>
      <c r="M130"/>
      <c r="N130"/>
      <c r="O130"/>
      <c r="P130"/>
      <c r="Q130"/>
      <c r="R130"/>
      <c r="S130"/>
      <c r="T130"/>
      <c r="U130"/>
      <c r="V130"/>
      <c r="W130"/>
      <c r="X130"/>
      <c r="Y130"/>
      <c r="Z130"/>
      <c r="AA130"/>
      <c r="AB130"/>
      <c r="AC130"/>
      <c r="AD130"/>
    </row>
    <row r="131" spans="1:30" s="82" customFormat="1" x14ac:dyDescent="0.25">
      <c r="A131"/>
      <c r="B131"/>
      <c r="C131"/>
      <c r="D131"/>
      <c r="E131"/>
      <c r="F131"/>
      <c r="G131"/>
      <c r="H131"/>
      <c r="I131"/>
      <c r="J131"/>
      <c r="K131"/>
      <c r="L131"/>
      <c r="M131"/>
      <c r="N131"/>
      <c r="O131"/>
      <c r="P131"/>
      <c r="Q131"/>
      <c r="R131"/>
      <c r="S131"/>
      <c r="T131"/>
      <c r="U131"/>
      <c r="V131"/>
      <c r="W131"/>
      <c r="X131"/>
      <c r="Y131"/>
      <c r="Z131"/>
      <c r="AA131"/>
      <c r="AB131"/>
      <c r="AC131"/>
      <c r="AD131"/>
    </row>
    <row r="132" spans="1:30" s="82" customFormat="1" x14ac:dyDescent="0.25">
      <c r="A132"/>
      <c r="B132"/>
      <c r="C132"/>
      <c r="D132"/>
      <c r="E132"/>
      <c r="F132"/>
      <c r="G132"/>
      <c r="H132"/>
      <c r="I132"/>
      <c r="J132"/>
      <c r="K132"/>
      <c r="L132"/>
      <c r="M132"/>
      <c r="N132"/>
      <c r="O132"/>
      <c r="P132"/>
      <c r="Q132"/>
      <c r="R132"/>
      <c r="S132"/>
      <c r="T132"/>
      <c r="U132"/>
      <c r="V132"/>
      <c r="W132"/>
      <c r="X132"/>
      <c r="Y132"/>
      <c r="Z132"/>
      <c r="AA132"/>
      <c r="AB132"/>
      <c r="AC132"/>
      <c r="AD132"/>
    </row>
    <row r="133" spans="1:30" s="82" customFormat="1" x14ac:dyDescent="0.25">
      <c r="A133"/>
      <c r="B133"/>
      <c r="C133"/>
      <c r="D133"/>
      <c r="E133"/>
      <c r="F133"/>
      <c r="G133"/>
      <c r="H133"/>
      <c r="I133"/>
      <c r="J133"/>
      <c r="K133"/>
      <c r="L133"/>
      <c r="M133"/>
      <c r="N133"/>
      <c r="O133"/>
      <c r="P133"/>
      <c r="Q133"/>
      <c r="R133"/>
      <c r="S133"/>
      <c r="T133"/>
      <c r="U133"/>
      <c r="V133"/>
      <c r="W133"/>
      <c r="X133"/>
      <c r="Y133"/>
      <c r="Z133"/>
      <c r="AA133"/>
      <c r="AB133"/>
      <c r="AC133"/>
      <c r="AD133"/>
    </row>
    <row r="134" spans="1:30" s="82" customFormat="1" x14ac:dyDescent="0.25">
      <c r="A134"/>
      <c r="B134"/>
      <c r="C134"/>
      <c r="D134"/>
      <c r="E134"/>
      <c r="F134"/>
      <c r="G134"/>
      <c r="H134"/>
      <c r="I134"/>
      <c r="J134"/>
      <c r="K134"/>
      <c r="L134"/>
      <c r="M134"/>
      <c r="N134"/>
      <c r="O134"/>
      <c r="P134"/>
      <c r="Q134"/>
      <c r="R134"/>
      <c r="S134"/>
      <c r="T134"/>
      <c r="U134"/>
      <c r="V134"/>
      <c r="W134"/>
      <c r="X134"/>
      <c r="Y134"/>
      <c r="Z134"/>
      <c r="AA134"/>
      <c r="AB134"/>
      <c r="AC134"/>
      <c r="AD134"/>
    </row>
    <row r="135" spans="1:30" s="82" customFormat="1" x14ac:dyDescent="0.25">
      <c r="A135"/>
      <c r="B135"/>
      <c r="C135"/>
      <c r="D135"/>
      <c r="E135"/>
      <c r="F135"/>
      <c r="G135"/>
      <c r="H135"/>
      <c r="I135"/>
      <c r="J135"/>
      <c r="K135"/>
      <c r="L135"/>
      <c r="M135"/>
      <c r="N135"/>
      <c r="O135"/>
      <c r="P135"/>
      <c r="Q135"/>
      <c r="R135"/>
      <c r="S135"/>
      <c r="T135"/>
      <c r="U135"/>
      <c r="V135"/>
      <c r="W135"/>
      <c r="X135"/>
      <c r="Y135"/>
      <c r="Z135"/>
      <c r="AA135"/>
      <c r="AB135"/>
      <c r="AC135"/>
      <c r="AD135"/>
    </row>
    <row r="136" spans="1:30" s="82" customFormat="1" x14ac:dyDescent="0.25">
      <c r="A136"/>
      <c r="B136"/>
      <c r="C136"/>
      <c r="D136"/>
      <c r="E136"/>
      <c r="F136"/>
      <c r="G136"/>
      <c r="H136"/>
      <c r="I136"/>
      <c r="J136"/>
      <c r="K136"/>
      <c r="L136"/>
      <c r="M136"/>
      <c r="N136"/>
      <c r="O136"/>
      <c r="P136"/>
      <c r="Q136"/>
      <c r="R136"/>
      <c r="S136"/>
      <c r="T136"/>
      <c r="U136"/>
      <c r="V136"/>
      <c r="W136"/>
      <c r="X136"/>
      <c r="Y136"/>
      <c r="Z136"/>
      <c r="AA136"/>
      <c r="AB136"/>
      <c r="AC136"/>
      <c r="AD136"/>
    </row>
    <row r="137" spans="1:30" s="82" customFormat="1" x14ac:dyDescent="0.25">
      <c r="A137"/>
      <c r="B137"/>
      <c r="C137"/>
      <c r="D137"/>
      <c r="E137"/>
      <c r="F137"/>
      <c r="G137"/>
      <c r="H137"/>
      <c r="I137"/>
      <c r="J137"/>
      <c r="K137"/>
      <c r="L137"/>
      <c r="M137"/>
      <c r="N137"/>
      <c r="O137"/>
      <c r="P137"/>
      <c r="Q137"/>
      <c r="R137"/>
      <c r="S137"/>
      <c r="T137"/>
      <c r="U137"/>
      <c r="V137"/>
      <c r="W137"/>
      <c r="X137"/>
      <c r="Y137"/>
      <c r="Z137"/>
      <c r="AA137"/>
      <c r="AB137"/>
      <c r="AC137"/>
      <c r="AD137"/>
    </row>
    <row r="138" spans="1:30" s="82" customFormat="1" x14ac:dyDescent="0.25">
      <c r="A138"/>
      <c r="B138"/>
      <c r="C138"/>
      <c r="D138"/>
      <c r="E138"/>
      <c r="F138"/>
      <c r="G138"/>
      <c r="H138"/>
      <c r="I138"/>
      <c r="J138"/>
      <c r="K138"/>
      <c r="L138"/>
      <c r="M138"/>
      <c r="N138"/>
      <c r="O138"/>
      <c r="P138"/>
      <c r="Q138"/>
      <c r="R138"/>
      <c r="S138"/>
      <c r="T138"/>
      <c r="U138"/>
      <c r="V138"/>
      <c r="W138"/>
      <c r="X138"/>
      <c r="Y138"/>
      <c r="Z138"/>
      <c r="AA138"/>
      <c r="AB138"/>
      <c r="AC138"/>
      <c r="AD138"/>
    </row>
    <row r="139" spans="1:30" s="82" customFormat="1" x14ac:dyDescent="0.25">
      <c r="A139"/>
      <c r="B139"/>
      <c r="C139"/>
      <c r="D139"/>
      <c r="E139"/>
      <c r="F139"/>
      <c r="G139"/>
      <c r="H139"/>
      <c r="I139"/>
      <c r="J139"/>
      <c r="K139"/>
      <c r="L139"/>
      <c r="M139"/>
      <c r="N139"/>
      <c r="O139"/>
      <c r="P139"/>
      <c r="Q139"/>
      <c r="R139"/>
      <c r="S139"/>
      <c r="T139"/>
      <c r="U139"/>
      <c r="V139"/>
      <c r="W139"/>
      <c r="X139"/>
      <c r="Y139"/>
      <c r="Z139"/>
      <c r="AA139"/>
      <c r="AB139"/>
      <c r="AC139"/>
      <c r="AD139"/>
    </row>
    <row r="140" spans="1:30" s="82" customFormat="1" x14ac:dyDescent="0.25">
      <c r="A140"/>
      <c r="B140"/>
      <c r="C140"/>
      <c r="D140"/>
      <c r="E140"/>
      <c r="F140"/>
      <c r="G140"/>
      <c r="H140"/>
      <c r="I140"/>
      <c r="J140"/>
      <c r="K140"/>
      <c r="L140"/>
      <c r="M140"/>
      <c r="N140"/>
      <c r="O140"/>
      <c r="P140"/>
      <c r="Q140"/>
      <c r="R140"/>
      <c r="S140"/>
      <c r="T140"/>
      <c r="U140"/>
      <c r="V140"/>
      <c r="W140"/>
      <c r="X140"/>
      <c r="Y140"/>
      <c r="Z140"/>
      <c r="AA140"/>
      <c r="AB140"/>
      <c r="AC140"/>
      <c r="AD140"/>
    </row>
    <row r="141" spans="1:30" s="82" customFormat="1" x14ac:dyDescent="0.25">
      <c r="A141"/>
      <c r="B141"/>
      <c r="C141"/>
      <c r="D141"/>
      <c r="E141"/>
      <c r="F141"/>
      <c r="G141"/>
      <c r="H141"/>
      <c r="I141"/>
      <c r="J141"/>
      <c r="K141"/>
      <c r="L141"/>
      <c r="M141"/>
      <c r="N141"/>
      <c r="O141"/>
      <c r="P141"/>
      <c r="Q141"/>
      <c r="R141"/>
      <c r="S141"/>
      <c r="T141"/>
      <c r="U141"/>
      <c r="V141"/>
      <c r="W141"/>
      <c r="X141"/>
      <c r="Y141"/>
      <c r="Z141"/>
      <c r="AA141"/>
      <c r="AB141"/>
      <c r="AC141"/>
      <c r="AD141"/>
    </row>
    <row r="142" spans="1:30" s="82" customFormat="1" x14ac:dyDescent="0.25">
      <c r="A142"/>
      <c r="B142"/>
      <c r="C142"/>
      <c r="D142"/>
      <c r="E142"/>
      <c r="F142"/>
      <c r="G142"/>
      <c r="H142"/>
      <c r="I142"/>
      <c r="J142"/>
      <c r="K142"/>
      <c r="L142"/>
      <c r="M142"/>
      <c r="N142"/>
      <c r="O142"/>
      <c r="P142"/>
      <c r="Q142"/>
      <c r="R142"/>
      <c r="S142"/>
      <c r="T142"/>
      <c r="U142"/>
      <c r="V142"/>
      <c r="W142"/>
      <c r="X142"/>
      <c r="Y142"/>
      <c r="Z142"/>
      <c r="AA142"/>
      <c r="AB142"/>
      <c r="AC142"/>
      <c r="AD142"/>
    </row>
    <row r="143" spans="1:30" s="82" customFormat="1" x14ac:dyDescent="0.25">
      <c r="A143"/>
      <c r="B143"/>
      <c r="C143"/>
      <c r="D143"/>
      <c r="E143"/>
      <c r="F143"/>
      <c r="G143"/>
      <c r="H143"/>
      <c r="I143"/>
      <c r="J143"/>
      <c r="K143"/>
      <c r="L143"/>
      <c r="M143"/>
      <c r="N143"/>
      <c r="O143"/>
      <c r="P143"/>
      <c r="Q143"/>
      <c r="R143"/>
      <c r="S143"/>
      <c r="T143"/>
      <c r="U143"/>
      <c r="V143"/>
      <c r="W143"/>
      <c r="X143"/>
      <c r="Y143"/>
      <c r="Z143"/>
      <c r="AA143"/>
      <c r="AB143"/>
      <c r="AC143"/>
      <c r="AD143"/>
    </row>
    <row r="144" spans="1:30" s="82" customFormat="1" x14ac:dyDescent="0.25">
      <c r="A144"/>
      <c r="B144"/>
      <c r="C144"/>
      <c r="D144"/>
      <c r="E144"/>
      <c r="F144"/>
      <c r="G144"/>
      <c r="H144"/>
      <c r="I144"/>
      <c r="J144"/>
      <c r="K144"/>
      <c r="L144"/>
      <c r="M144"/>
      <c r="N144"/>
      <c r="O144"/>
      <c r="P144"/>
      <c r="Q144"/>
      <c r="R144"/>
      <c r="S144"/>
      <c r="T144"/>
      <c r="U144"/>
      <c r="V144"/>
      <c r="W144"/>
      <c r="X144"/>
      <c r="Y144"/>
      <c r="Z144"/>
      <c r="AA144"/>
      <c r="AB144"/>
      <c r="AC144"/>
      <c r="AD144"/>
    </row>
    <row r="145" spans="1:30" s="82" customFormat="1" x14ac:dyDescent="0.25">
      <c r="A145"/>
      <c r="B145"/>
      <c r="C145"/>
      <c r="D145"/>
      <c r="E145"/>
      <c r="F145"/>
      <c r="G145"/>
      <c r="H145"/>
      <c r="I145"/>
      <c r="J145"/>
      <c r="K145"/>
      <c r="L145"/>
      <c r="M145"/>
      <c r="N145"/>
      <c r="O145"/>
      <c r="P145"/>
      <c r="Q145"/>
      <c r="R145"/>
      <c r="S145"/>
      <c r="T145"/>
      <c r="U145"/>
      <c r="V145"/>
      <c r="W145"/>
      <c r="X145"/>
      <c r="Y145"/>
      <c r="Z145"/>
      <c r="AA145"/>
      <c r="AB145"/>
      <c r="AC145"/>
      <c r="AD145"/>
    </row>
    <row r="146" spans="1:30" s="82" customFormat="1" x14ac:dyDescent="0.25">
      <c r="A146"/>
      <c r="B146"/>
      <c r="C146"/>
      <c r="D146"/>
      <c r="E146"/>
      <c r="F146"/>
      <c r="G146"/>
      <c r="H146"/>
      <c r="I146"/>
      <c r="J146"/>
      <c r="K146"/>
      <c r="L146"/>
      <c r="M146"/>
      <c r="N146"/>
      <c r="O146"/>
      <c r="P146"/>
      <c r="Q146"/>
      <c r="R146"/>
      <c r="S146"/>
      <c r="T146"/>
      <c r="U146"/>
      <c r="V146"/>
      <c r="W146"/>
      <c r="X146"/>
      <c r="Y146"/>
      <c r="Z146"/>
      <c r="AA146"/>
      <c r="AB146"/>
      <c r="AC146"/>
      <c r="AD146"/>
    </row>
    <row r="147" spans="1:30" s="82" customFormat="1" x14ac:dyDescent="0.25">
      <c r="A147"/>
      <c r="B147"/>
      <c r="C147"/>
      <c r="D147"/>
      <c r="E147"/>
      <c r="F147"/>
      <c r="G147"/>
      <c r="H147"/>
      <c r="I147"/>
      <c r="J147"/>
      <c r="K147"/>
      <c r="L147"/>
      <c r="M147"/>
      <c r="N147"/>
      <c r="O147"/>
      <c r="P147"/>
      <c r="Q147"/>
      <c r="R147"/>
      <c r="S147"/>
      <c r="T147"/>
      <c r="U147"/>
      <c r="V147"/>
      <c r="W147"/>
      <c r="X147"/>
      <c r="Y147"/>
      <c r="Z147"/>
      <c r="AA147"/>
      <c r="AB147"/>
      <c r="AC147"/>
      <c r="AD147"/>
    </row>
    <row r="148" spans="1:30" s="82" customFormat="1" x14ac:dyDescent="0.25">
      <c r="A148"/>
      <c r="B148"/>
      <c r="C148"/>
      <c r="D148"/>
      <c r="E148"/>
      <c r="F148"/>
      <c r="G148"/>
      <c r="H148"/>
      <c r="I148"/>
      <c r="J148"/>
      <c r="K148"/>
      <c r="L148"/>
      <c r="M148"/>
      <c r="N148"/>
      <c r="O148"/>
      <c r="P148"/>
      <c r="Q148"/>
      <c r="R148"/>
      <c r="S148"/>
      <c r="T148"/>
      <c r="U148"/>
      <c r="V148"/>
      <c r="W148"/>
      <c r="X148"/>
      <c r="Y148"/>
      <c r="Z148"/>
      <c r="AA148"/>
      <c r="AB148"/>
      <c r="AC148"/>
      <c r="AD148"/>
    </row>
    <row r="149" spans="1:30" s="82" customFormat="1" x14ac:dyDescent="0.25">
      <c r="A149"/>
      <c r="B149"/>
      <c r="C149"/>
      <c r="D149"/>
      <c r="E149"/>
      <c r="F149"/>
      <c r="G149"/>
      <c r="H149"/>
      <c r="I149"/>
      <c r="J149"/>
      <c r="K149"/>
      <c r="L149"/>
      <c r="M149"/>
      <c r="N149"/>
      <c r="O149"/>
      <c r="P149"/>
      <c r="Q149"/>
      <c r="R149"/>
      <c r="S149"/>
      <c r="T149"/>
      <c r="U149"/>
      <c r="V149"/>
      <c r="W149"/>
      <c r="X149"/>
      <c r="Y149"/>
      <c r="Z149"/>
      <c r="AA149"/>
      <c r="AB149"/>
      <c r="AC149"/>
      <c r="AD149"/>
    </row>
    <row r="150" spans="1:30" s="82" customFormat="1" x14ac:dyDescent="0.25">
      <c r="A150"/>
      <c r="B150"/>
      <c r="C150"/>
      <c r="D150"/>
      <c r="E150"/>
      <c r="F150"/>
      <c r="G150"/>
      <c r="H150"/>
      <c r="I150"/>
      <c r="J150"/>
      <c r="K150"/>
      <c r="L150"/>
      <c r="M150"/>
      <c r="N150"/>
      <c r="O150"/>
      <c r="P150"/>
      <c r="Q150"/>
      <c r="R150"/>
      <c r="S150"/>
      <c r="T150"/>
      <c r="U150"/>
      <c r="V150"/>
      <c r="W150"/>
      <c r="X150"/>
      <c r="Y150"/>
      <c r="Z150"/>
      <c r="AA150"/>
      <c r="AB150"/>
      <c r="AC150"/>
      <c r="AD150"/>
    </row>
    <row r="151" spans="1:30" s="82" customFormat="1" x14ac:dyDescent="0.25">
      <c r="A151"/>
      <c r="B151"/>
      <c r="C151"/>
      <c r="D151"/>
      <c r="E151"/>
      <c r="F151"/>
      <c r="G151"/>
      <c r="H151"/>
      <c r="I151"/>
      <c r="J151"/>
      <c r="K151"/>
      <c r="L151"/>
      <c r="M151"/>
      <c r="N151"/>
      <c r="O151"/>
      <c r="P151"/>
      <c r="Q151"/>
      <c r="R151"/>
      <c r="S151"/>
      <c r="T151"/>
      <c r="U151"/>
      <c r="V151"/>
      <c r="W151"/>
      <c r="X151"/>
      <c r="Y151"/>
      <c r="Z151"/>
      <c r="AA151"/>
      <c r="AB151"/>
      <c r="AC151"/>
      <c r="AD151"/>
    </row>
    <row r="152" spans="1:30" s="82" customFormat="1" x14ac:dyDescent="0.25">
      <c r="A152"/>
      <c r="B152"/>
      <c r="C152"/>
      <c r="D152"/>
      <c r="E152"/>
      <c r="F152"/>
      <c r="G152"/>
      <c r="H152"/>
      <c r="I152"/>
      <c r="J152"/>
      <c r="K152"/>
      <c r="L152"/>
      <c r="M152"/>
      <c r="N152"/>
      <c r="O152"/>
      <c r="P152"/>
      <c r="Q152"/>
      <c r="R152"/>
      <c r="S152"/>
      <c r="T152"/>
      <c r="U152"/>
      <c r="V152"/>
      <c r="W152"/>
      <c r="X152"/>
      <c r="Y152"/>
      <c r="Z152"/>
      <c r="AA152"/>
      <c r="AB152"/>
      <c r="AC152"/>
      <c r="AD152"/>
    </row>
    <row r="153" spans="1:30" s="82" customFormat="1" x14ac:dyDescent="0.25">
      <c r="A153"/>
      <c r="B153"/>
      <c r="C153"/>
      <c r="D153"/>
      <c r="E153"/>
      <c r="F153"/>
      <c r="G153"/>
      <c r="H153"/>
      <c r="I153"/>
      <c r="J153"/>
      <c r="K153"/>
      <c r="L153"/>
      <c r="M153"/>
      <c r="N153"/>
      <c r="O153"/>
      <c r="P153"/>
      <c r="Q153"/>
      <c r="R153"/>
      <c r="S153"/>
      <c r="T153"/>
      <c r="U153"/>
      <c r="V153"/>
      <c r="W153"/>
      <c r="X153"/>
      <c r="Y153"/>
      <c r="Z153"/>
      <c r="AA153"/>
      <c r="AB153"/>
      <c r="AC153"/>
      <c r="AD153"/>
    </row>
    <row r="154" spans="1:30" s="82" customFormat="1" x14ac:dyDescent="0.25">
      <c r="A154"/>
      <c r="B154"/>
      <c r="C154"/>
      <c r="D154"/>
      <c r="E154"/>
      <c r="F154"/>
      <c r="G154"/>
      <c r="H154"/>
      <c r="I154"/>
      <c r="J154"/>
      <c r="K154"/>
      <c r="L154"/>
      <c r="M154"/>
      <c r="N154"/>
      <c r="O154"/>
      <c r="P154"/>
      <c r="Q154"/>
      <c r="R154"/>
      <c r="S154"/>
      <c r="T154"/>
      <c r="U154"/>
      <c r="V154"/>
      <c r="W154"/>
      <c r="X154"/>
      <c r="Y154"/>
      <c r="Z154"/>
      <c r="AA154"/>
      <c r="AB154"/>
      <c r="AC154"/>
      <c r="AD154"/>
    </row>
    <row r="155" spans="1:30" s="82" customFormat="1" x14ac:dyDescent="0.25">
      <c r="A155"/>
      <c r="B155"/>
      <c r="C155"/>
      <c r="D155"/>
      <c r="E155"/>
      <c r="F155"/>
      <c r="G155"/>
      <c r="H155"/>
      <c r="I155"/>
      <c r="J155"/>
      <c r="K155"/>
      <c r="L155"/>
      <c r="M155"/>
      <c r="N155"/>
      <c r="O155"/>
      <c r="P155"/>
      <c r="Q155"/>
      <c r="R155"/>
      <c r="S155"/>
      <c r="T155"/>
      <c r="U155"/>
      <c r="V155"/>
      <c r="W155"/>
      <c r="X155"/>
      <c r="Y155"/>
      <c r="Z155"/>
      <c r="AA155"/>
      <c r="AB155"/>
      <c r="AC155"/>
      <c r="AD155"/>
    </row>
    <row r="156" spans="1:30" s="82" customFormat="1" x14ac:dyDescent="0.25">
      <c r="A156"/>
      <c r="B156"/>
      <c r="C156"/>
      <c r="D156"/>
      <c r="E156"/>
      <c r="F156"/>
      <c r="G156"/>
      <c r="H156"/>
      <c r="I156"/>
      <c r="J156"/>
      <c r="K156"/>
      <c r="L156"/>
      <c r="M156"/>
      <c r="N156"/>
      <c r="O156"/>
      <c r="P156"/>
      <c r="Q156"/>
      <c r="R156"/>
      <c r="S156"/>
      <c r="T156"/>
      <c r="U156"/>
      <c r="V156"/>
      <c r="W156"/>
      <c r="X156"/>
      <c r="Y156"/>
      <c r="Z156"/>
      <c r="AA156"/>
      <c r="AB156"/>
      <c r="AC156"/>
      <c r="AD156"/>
    </row>
    <row r="157" spans="1:30" s="82" customFormat="1" x14ac:dyDescent="0.25">
      <c r="A157"/>
      <c r="B157"/>
      <c r="C157"/>
      <c r="D157"/>
      <c r="E157"/>
      <c r="F157"/>
      <c r="G157"/>
      <c r="H157"/>
      <c r="I157"/>
      <c r="J157"/>
      <c r="K157"/>
      <c r="L157"/>
      <c r="M157"/>
      <c r="N157"/>
      <c r="O157"/>
      <c r="P157"/>
      <c r="Q157"/>
      <c r="R157"/>
      <c r="S157"/>
      <c r="T157"/>
      <c r="U157"/>
      <c r="V157"/>
      <c r="W157"/>
      <c r="X157"/>
      <c r="Y157"/>
      <c r="Z157"/>
      <c r="AA157"/>
      <c r="AB157"/>
      <c r="AC157"/>
      <c r="AD157"/>
    </row>
    <row r="158" spans="1:30" s="82" customFormat="1" x14ac:dyDescent="0.25">
      <c r="A158"/>
      <c r="B158"/>
      <c r="C158"/>
      <c r="D158"/>
      <c r="E158"/>
      <c r="F158"/>
      <c r="G158"/>
      <c r="H158"/>
      <c r="I158"/>
      <c r="J158"/>
      <c r="K158"/>
      <c r="L158"/>
      <c r="M158"/>
      <c r="N158"/>
      <c r="O158"/>
      <c r="P158"/>
      <c r="Q158"/>
      <c r="R158"/>
      <c r="S158"/>
      <c r="T158"/>
      <c r="U158"/>
      <c r="V158"/>
      <c r="W158"/>
      <c r="X158"/>
      <c r="Y158"/>
      <c r="Z158"/>
      <c r="AA158"/>
      <c r="AB158"/>
      <c r="AC158"/>
      <c r="AD158"/>
    </row>
    <row r="159" spans="1:30" s="82" customFormat="1" x14ac:dyDescent="0.25">
      <c r="A159"/>
      <c r="B159"/>
      <c r="C159"/>
      <c r="D159"/>
      <c r="E159"/>
      <c r="F159"/>
      <c r="G159"/>
      <c r="H159"/>
      <c r="I159"/>
      <c r="J159"/>
      <c r="K159"/>
      <c r="L159"/>
      <c r="M159"/>
      <c r="N159"/>
      <c r="O159"/>
      <c r="P159"/>
      <c r="Q159"/>
      <c r="R159"/>
      <c r="S159"/>
      <c r="T159"/>
      <c r="U159"/>
      <c r="V159"/>
      <c r="W159"/>
      <c r="X159"/>
      <c r="Y159"/>
      <c r="Z159"/>
      <c r="AA159"/>
      <c r="AB159"/>
      <c r="AC159"/>
      <c r="AD159"/>
    </row>
    <row r="160" spans="1:30" s="82" customFormat="1" x14ac:dyDescent="0.25">
      <c r="A160"/>
      <c r="B160"/>
      <c r="C160"/>
      <c r="D160"/>
      <c r="E160"/>
      <c r="F160"/>
      <c r="G160"/>
      <c r="H160"/>
      <c r="I160"/>
      <c r="J160"/>
      <c r="K160"/>
      <c r="L160"/>
      <c r="M160"/>
      <c r="N160"/>
      <c r="O160"/>
      <c r="P160"/>
      <c r="Q160"/>
      <c r="R160"/>
      <c r="S160"/>
      <c r="T160"/>
      <c r="U160"/>
      <c r="V160"/>
      <c r="W160"/>
      <c r="X160"/>
      <c r="Y160"/>
      <c r="Z160"/>
      <c r="AA160"/>
      <c r="AB160"/>
      <c r="AC160"/>
      <c r="AD160"/>
    </row>
    <row r="161" spans="1:30" s="82" customFormat="1" x14ac:dyDescent="0.25">
      <c r="A161"/>
      <c r="B161"/>
      <c r="C161"/>
      <c r="D161"/>
      <c r="E161"/>
      <c r="F161"/>
      <c r="G161"/>
      <c r="H161"/>
      <c r="I161"/>
      <c r="J161"/>
      <c r="K161"/>
      <c r="L161"/>
      <c r="M161"/>
      <c r="N161"/>
      <c r="O161"/>
      <c r="P161"/>
      <c r="Q161"/>
      <c r="R161"/>
      <c r="S161"/>
      <c r="T161"/>
      <c r="U161"/>
      <c r="V161"/>
      <c r="W161"/>
      <c r="X161"/>
      <c r="Y161"/>
      <c r="Z161"/>
      <c r="AA161"/>
      <c r="AB161"/>
      <c r="AC161"/>
      <c r="AD161"/>
    </row>
    <row r="162" spans="1:30" s="82" customFormat="1" x14ac:dyDescent="0.25">
      <c r="A162"/>
      <c r="B162"/>
      <c r="C162"/>
      <c r="D162"/>
      <c r="E162"/>
      <c r="F162"/>
      <c r="G162"/>
      <c r="H162"/>
      <c r="I162"/>
      <c r="J162"/>
      <c r="K162"/>
      <c r="L162"/>
      <c r="M162"/>
      <c r="N162"/>
      <c r="O162"/>
      <c r="P162"/>
      <c r="Q162"/>
      <c r="R162"/>
      <c r="S162"/>
      <c r="T162"/>
      <c r="U162"/>
      <c r="V162"/>
      <c r="W162"/>
      <c r="X162"/>
      <c r="Y162"/>
      <c r="Z162"/>
      <c r="AA162"/>
      <c r="AB162"/>
      <c r="AC162"/>
      <c r="AD162"/>
    </row>
    <row r="163" spans="1:30" s="82" customFormat="1" x14ac:dyDescent="0.25">
      <c r="A163"/>
      <c r="B163"/>
      <c r="C163"/>
      <c r="D163"/>
      <c r="E163"/>
      <c r="F163"/>
      <c r="G163"/>
      <c r="H163"/>
      <c r="I163"/>
      <c r="J163"/>
      <c r="K163"/>
      <c r="L163"/>
      <c r="M163"/>
      <c r="N163"/>
      <c r="O163"/>
      <c r="P163"/>
      <c r="Q163"/>
      <c r="R163"/>
      <c r="S163"/>
      <c r="T163"/>
      <c r="U163"/>
      <c r="V163"/>
      <c r="W163"/>
      <c r="X163"/>
      <c r="Y163"/>
      <c r="Z163"/>
      <c r="AA163"/>
      <c r="AB163"/>
      <c r="AC163"/>
      <c r="AD163"/>
    </row>
    <row r="164" spans="1:30" s="82" customFormat="1" x14ac:dyDescent="0.25">
      <c r="A164"/>
      <c r="B164"/>
      <c r="C164"/>
      <c r="D164"/>
      <c r="E164"/>
      <c r="F164"/>
      <c r="G164"/>
      <c r="H164"/>
      <c r="I164"/>
      <c r="J164"/>
      <c r="K164"/>
      <c r="L164"/>
      <c r="M164"/>
      <c r="N164"/>
      <c r="O164"/>
      <c r="P164"/>
      <c r="Q164"/>
      <c r="R164"/>
      <c r="S164"/>
      <c r="T164"/>
      <c r="U164"/>
      <c r="V164"/>
      <c r="W164"/>
      <c r="X164"/>
      <c r="Y164"/>
      <c r="Z164"/>
      <c r="AA164"/>
      <c r="AB164"/>
      <c r="AC164"/>
      <c r="AD164"/>
    </row>
    <row r="165" spans="1:30" s="82" customFormat="1" x14ac:dyDescent="0.25">
      <c r="A165"/>
      <c r="B165"/>
      <c r="C165"/>
      <c r="D165"/>
      <c r="E165"/>
      <c r="F165"/>
      <c r="G165"/>
      <c r="H165"/>
      <c r="I165"/>
      <c r="J165"/>
      <c r="K165"/>
      <c r="L165"/>
      <c r="M165"/>
      <c r="N165"/>
      <c r="O165"/>
      <c r="P165"/>
      <c r="Q165"/>
      <c r="R165"/>
      <c r="S165"/>
      <c r="T165"/>
      <c r="U165"/>
      <c r="V165"/>
      <c r="W165"/>
      <c r="X165"/>
      <c r="Y165"/>
      <c r="Z165"/>
      <c r="AA165"/>
      <c r="AB165"/>
      <c r="AC165"/>
      <c r="AD165"/>
    </row>
    <row r="166" spans="1:30" s="82" customFormat="1" x14ac:dyDescent="0.25">
      <c r="A166"/>
      <c r="B166"/>
      <c r="C166"/>
      <c r="D166"/>
      <c r="E166"/>
      <c r="F166"/>
      <c r="G166"/>
      <c r="H166"/>
      <c r="I166"/>
      <c r="J166"/>
      <c r="K166"/>
      <c r="L166"/>
      <c r="M166"/>
      <c r="N166"/>
      <c r="O166"/>
      <c r="P166"/>
      <c r="Q166"/>
      <c r="R166"/>
      <c r="S166"/>
      <c r="T166"/>
      <c r="U166"/>
      <c r="V166"/>
      <c r="W166"/>
      <c r="X166"/>
      <c r="Y166"/>
      <c r="Z166"/>
      <c r="AA166"/>
      <c r="AB166"/>
      <c r="AC166"/>
      <c r="AD166"/>
    </row>
    <row r="167" spans="1:30" s="82" customFormat="1" x14ac:dyDescent="0.25">
      <c r="A167"/>
      <c r="B167"/>
      <c r="C167"/>
      <c r="D167"/>
      <c r="E167"/>
      <c r="F167"/>
      <c r="G167"/>
      <c r="H167"/>
      <c r="I167"/>
      <c r="J167"/>
      <c r="K167"/>
      <c r="L167"/>
      <c r="M167"/>
      <c r="N167"/>
      <c r="O167"/>
      <c r="P167"/>
      <c r="Q167"/>
      <c r="R167"/>
      <c r="S167"/>
      <c r="T167"/>
      <c r="U167"/>
      <c r="V167"/>
      <c r="W167"/>
      <c r="X167"/>
      <c r="Y167"/>
      <c r="Z167"/>
      <c r="AA167"/>
      <c r="AB167"/>
      <c r="AC167"/>
      <c r="AD167"/>
    </row>
    <row r="168" spans="1:30" s="82" customFormat="1" x14ac:dyDescent="0.25">
      <c r="A168"/>
      <c r="B168"/>
      <c r="C168"/>
      <c r="D168"/>
      <c r="E168"/>
      <c r="F168"/>
      <c r="G168"/>
      <c r="H168"/>
      <c r="I168"/>
      <c r="J168"/>
      <c r="K168"/>
      <c r="L168"/>
      <c r="M168"/>
      <c r="N168"/>
      <c r="O168"/>
      <c r="P168"/>
      <c r="Q168"/>
      <c r="R168"/>
      <c r="S168"/>
      <c r="T168"/>
      <c r="U168"/>
      <c r="V168"/>
      <c r="W168"/>
      <c r="X168"/>
      <c r="Y168"/>
      <c r="Z168"/>
      <c r="AA168"/>
      <c r="AB168"/>
      <c r="AC168"/>
      <c r="AD168"/>
    </row>
    <row r="169" spans="1:30" s="82" customFormat="1" x14ac:dyDescent="0.25">
      <c r="A169"/>
      <c r="B169"/>
      <c r="C169"/>
      <c r="D169"/>
      <c r="E169"/>
      <c r="F169"/>
      <c r="G169"/>
      <c r="H169"/>
      <c r="I169"/>
      <c r="J169"/>
      <c r="K169"/>
      <c r="L169"/>
      <c r="M169"/>
      <c r="N169"/>
      <c r="O169"/>
      <c r="P169"/>
      <c r="Q169"/>
      <c r="R169"/>
      <c r="S169"/>
      <c r="T169"/>
      <c r="U169"/>
      <c r="V169"/>
      <c r="W169"/>
      <c r="X169"/>
      <c r="Y169"/>
      <c r="Z169"/>
      <c r="AA169"/>
      <c r="AB169"/>
      <c r="AC169"/>
      <c r="AD169"/>
    </row>
    <row r="170" spans="1:30" s="82" customFormat="1" x14ac:dyDescent="0.25">
      <c r="A170"/>
      <c r="B170"/>
      <c r="C170"/>
      <c r="D170"/>
      <c r="E170"/>
      <c r="F170"/>
      <c r="G170"/>
      <c r="H170"/>
      <c r="I170"/>
      <c r="J170"/>
      <c r="K170"/>
      <c r="L170"/>
      <c r="M170"/>
      <c r="N170"/>
      <c r="O170"/>
      <c r="P170"/>
      <c r="Q170"/>
      <c r="R170"/>
      <c r="S170"/>
      <c r="T170"/>
      <c r="U170"/>
      <c r="V170"/>
      <c r="W170"/>
      <c r="X170"/>
      <c r="Y170"/>
      <c r="Z170"/>
      <c r="AA170"/>
      <c r="AB170"/>
      <c r="AC170"/>
      <c r="AD170"/>
    </row>
    <row r="171" spans="1:30" s="82" customFormat="1" x14ac:dyDescent="0.25">
      <c r="A171"/>
      <c r="B171"/>
      <c r="C171"/>
      <c r="D171"/>
      <c r="E171"/>
      <c r="F171"/>
      <c r="G171"/>
      <c r="H171"/>
      <c r="I171"/>
      <c r="J171"/>
      <c r="K171"/>
      <c r="L171"/>
      <c r="M171"/>
      <c r="N171"/>
      <c r="O171"/>
      <c r="P171"/>
      <c r="Q171"/>
      <c r="R171"/>
      <c r="S171"/>
      <c r="T171"/>
      <c r="U171"/>
      <c r="V171"/>
      <c r="W171"/>
      <c r="X171"/>
      <c r="Y171"/>
      <c r="Z171"/>
      <c r="AA171"/>
      <c r="AB171"/>
      <c r="AC171"/>
      <c r="AD171"/>
    </row>
    <row r="172" spans="1:30" s="82" customFormat="1" x14ac:dyDescent="0.25">
      <c r="A172"/>
      <c r="B172"/>
      <c r="C172"/>
      <c r="D172"/>
      <c r="E172"/>
      <c r="F172"/>
      <c r="G172"/>
      <c r="H172"/>
      <c r="I172"/>
      <c r="J172"/>
      <c r="K172"/>
      <c r="L172"/>
      <c r="M172"/>
      <c r="N172"/>
      <c r="O172"/>
      <c r="P172"/>
      <c r="Q172"/>
      <c r="R172"/>
      <c r="S172"/>
      <c r="T172"/>
      <c r="U172"/>
      <c r="V172"/>
      <c r="W172"/>
      <c r="X172"/>
      <c r="Y172"/>
      <c r="Z172"/>
      <c r="AA172"/>
      <c r="AB172"/>
      <c r="AC172"/>
      <c r="AD172"/>
    </row>
    <row r="173" spans="1:30" s="82" customFormat="1" x14ac:dyDescent="0.25">
      <c r="A173"/>
      <c r="B173"/>
      <c r="C173"/>
      <c r="D173"/>
      <c r="E173"/>
      <c r="F173"/>
      <c r="G173"/>
      <c r="H173"/>
      <c r="I173"/>
      <c r="J173"/>
      <c r="K173"/>
      <c r="L173"/>
      <c r="M173"/>
      <c r="N173"/>
      <c r="O173"/>
      <c r="P173"/>
      <c r="Q173"/>
      <c r="R173"/>
      <c r="S173"/>
      <c r="T173"/>
      <c r="U173"/>
      <c r="V173"/>
      <c r="W173"/>
      <c r="X173"/>
      <c r="Y173"/>
      <c r="Z173"/>
      <c r="AA173"/>
      <c r="AB173"/>
      <c r="AC173"/>
      <c r="AD173"/>
    </row>
    <row r="174" spans="1:30" s="82" customFormat="1" x14ac:dyDescent="0.25">
      <c r="A174"/>
      <c r="B174"/>
      <c r="C174"/>
      <c r="D174"/>
      <c r="E174"/>
      <c r="F174"/>
      <c r="G174"/>
      <c r="H174"/>
      <c r="I174"/>
      <c r="J174"/>
      <c r="K174"/>
      <c r="L174"/>
      <c r="M174"/>
      <c r="N174"/>
      <c r="O174"/>
      <c r="P174"/>
      <c r="Q174"/>
      <c r="R174"/>
      <c r="S174"/>
      <c r="T174"/>
      <c r="U174"/>
      <c r="V174"/>
      <c r="W174"/>
      <c r="X174"/>
      <c r="Y174"/>
      <c r="Z174"/>
      <c r="AA174"/>
      <c r="AB174"/>
      <c r="AC174"/>
      <c r="AD174"/>
    </row>
    <row r="175" spans="1:30" s="82" customFormat="1" x14ac:dyDescent="0.25">
      <c r="A175"/>
      <c r="B175"/>
      <c r="C175"/>
      <c r="D175"/>
      <c r="E175"/>
      <c r="F175"/>
      <c r="G175"/>
      <c r="H175"/>
      <c r="I175"/>
      <c r="J175"/>
      <c r="K175"/>
      <c r="L175"/>
      <c r="M175"/>
      <c r="N175"/>
      <c r="O175"/>
      <c r="P175"/>
      <c r="Q175"/>
      <c r="R175"/>
      <c r="S175"/>
      <c r="T175"/>
      <c r="U175"/>
      <c r="V175"/>
      <c r="W175"/>
      <c r="X175"/>
      <c r="Y175"/>
      <c r="Z175"/>
      <c r="AA175"/>
      <c r="AB175"/>
      <c r="AC175"/>
      <c r="AD175"/>
    </row>
    <row r="176" spans="1:30" s="82" customFormat="1" x14ac:dyDescent="0.25">
      <c r="A176"/>
      <c r="B176"/>
      <c r="C176"/>
      <c r="D176"/>
      <c r="E176"/>
      <c r="F176"/>
      <c r="G176"/>
      <c r="H176"/>
      <c r="I176"/>
      <c r="J176"/>
      <c r="K176"/>
      <c r="L176"/>
      <c r="M176"/>
      <c r="N176"/>
      <c r="O176"/>
      <c r="P176"/>
      <c r="Q176"/>
      <c r="R176"/>
      <c r="S176"/>
      <c r="T176"/>
      <c r="U176"/>
      <c r="V176"/>
      <c r="W176"/>
      <c r="X176"/>
      <c r="Y176"/>
      <c r="Z176"/>
      <c r="AA176"/>
      <c r="AB176"/>
      <c r="AC176"/>
      <c r="AD176"/>
    </row>
    <row r="177" spans="1:30" s="82" customFormat="1" x14ac:dyDescent="0.25">
      <c r="A177"/>
      <c r="B177"/>
      <c r="C177"/>
      <c r="D177"/>
      <c r="E177"/>
      <c r="F177"/>
      <c r="G177"/>
      <c r="H177"/>
      <c r="I177"/>
      <c r="J177"/>
      <c r="K177"/>
      <c r="L177"/>
      <c r="M177"/>
      <c r="N177"/>
      <c r="O177"/>
      <c r="P177"/>
      <c r="Q177"/>
      <c r="R177"/>
      <c r="S177"/>
      <c r="T177"/>
      <c r="U177"/>
      <c r="V177"/>
      <c r="W177"/>
      <c r="X177"/>
      <c r="Y177"/>
      <c r="Z177"/>
      <c r="AA177"/>
      <c r="AB177"/>
      <c r="AC177"/>
      <c r="AD177"/>
    </row>
    <row r="178" spans="1:30" s="82" customFormat="1" x14ac:dyDescent="0.25">
      <c r="A178"/>
      <c r="B178"/>
      <c r="C178"/>
      <c r="D178"/>
      <c r="E178"/>
      <c r="F178"/>
      <c r="G178"/>
      <c r="H178"/>
      <c r="I178"/>
      <c r="J178"/>
      <c r="K178"/>
      <c r="L178"/>
      <c r="M178"/>
      <c r="N178"/>
      <c r="O178"/>
      <c r="P178"/>
      <c r="Q178"/>
      <c r="R178"/>
      <c r="S178"/>
      <c r="T178"/>
      <c r="U178"/>
      <c r="V178"/>
      <c r="W178"/>
      <c r="X178"/>
      <c r="Y178"/>
      <c r="Z178"/>
      <c r="AA178"/>
      <c r="AB178"/>
      <c r="AC178"/>
      <c r="AD178"/>
    </row>
    <row r="179" spans="1:30" s="82" customFormat="1" x14ac:dyDescent="0.25">
      <c r="A179"/>
      <c r="B179"/>
      <c r="C179"/>
      <c r="D179"/>
      <c r="E179"/>
      <c r="F179"/>
      <c r="G179"/>
      <c r="H179"/>
      <c r="I179"/>
      <c r="J179"/>
      <c r="K179"/>
      <c r="L179"/>
      <c r="M179"/>
      <c r="N179"/>
      <c r="O179"/>
      <c r="P179"/>
      <c r="Q179"/>
      <c r="R179"/>
      <c r="S179"/>
      <c r="T179"/>
      <c r="U179"/>
      <c r="V179"/>
      <c r="W179"/>
      <c r="X179"/>
      <c r="Y179"/>
      <c r="Z179"/>
      <c r="AA179"/>
      <c r="AB179"/>
      <c r="AC179"/>
      <c r="AD179"/>
    </row>
    <row r="180" spans="1:30" s="82" customFormat="1" x14ac:dyDescent="0.25">
      <c r="A180"/>
      <c r="B180"/>
      <c r="C180"/>
      <c r="D180"/>
      <c r="E180"/>
      <c r="F180"/>
      <c r="G180"/>
      <c r="H180"/>
      <c r="I180"/>
      <c r="J180"/>
      <c r="K180"/>
      <c r="L180"/>
      <c r="M180"/>
      <c r="N180"/>
      <c r="O180"/>
      <c r="P180"/>
      <c r="Q180"/>
      <c r="R180"/>
      <c r="S180"/>
      <c r="T180"/>
      <c r="U180"/>
      <c r="V180"/>
      <c r="W180"/>
      <c r="X180"/>
      <c r="Y180"/>
      <c r="Z180"/>
      <c r="AA180"/>
      <c r="AB180"/>
      <c r="AC180"/>
      <c r="AD180"/>
    </row>
    <row r="181" spans="1:30" s="82" customFormat="1" x14ac:dyDescent="0.25">
      <c r="A181"/>
      <c r="B181"/>
      <c r="C181"/>
      <c r="D181"/>
      <c r="E181"/>
      <c r="F181"/>
      <c r="G181"/>
      <c r="H181"/>
      <c r="I181"/>
      <c r="J181"/>
      <c r="K181"/>
      <c r="L181"/>
      <c r="M181"/>
      <c r="N181"/>
      <c r="O181"/>
      <c r="P181"/>
      <c r="Q181"/>
      <c r="R181"/>
      <c r="S181"/>
      <c r="T181"/>
      <c r="U181"/>
      <c r="V181"/>
      <c r="W181"/>
      <c r="X181"/>
      <c r="Y181"/>
      <c r="Z181"/>
      <c r="AA181"/>
      <c r="AB181"/>
      <c r="AC181"/>
      <c r="AD181"/>
    </row>
    <row r="182" spans="1:30" s="82" customFormat="1" x14ac:dyDescent="0.25">
      <c r="A182"/>
      <c r="B182"/>
      <c r="C182"/>
      <c r="D182"/>
      <c r="E182"/>
      <c r="F182"/>
      <c r="G182"/>
      <c r="H182"/>
      <c r="I182"/>
      <c r="J182"/>
      <c r="K182"/>
      <c r="L182"/>
      <c r="M182"/>
      <c r="N182"/>
      <c r="O182"/>
      <c r="P182"/>
      <c r="Q182"/>
      <c r="R182"/>
      <c r="S182"/>
      <c r="T182"/>
      <c r="U182"/>
      <c r="V182"/>
      <c r="W182"/>
      <c r="X182"/>
      <c r="Y182"/>
      <c r="Z182"/>
      <c r="AA182"/>
      <c r="AB182"/>
      <c r="AC182"/>
      <c r="AD182"/>
    </row>
    <row r="183" spans="1:30" s="82" customFormat="1" x14ac:dyDescent="0.25">
      <c r="A183"/>
      <c r="B183"/>
      <c r="C183"/>
      <c r="D183"/>
      <c r="E183"/>
      <c r="F183"/>
      <c r="G183"/>
      <c r="H183"/>
      <c r="I183"/>
      <c r="J183"/>
      <c r="K183"/>
      <c r="L183"/>
      <c r="M183"/>
      <c r="N183"/>
      <c r="O183"/>
      <c r="P183"/>
      <c r="Q183"/>
      <c r="R183"/>
      <c r="S183"/>
      <c r="T183"/>
      <c r="U183"/>
      <c r="V183"/>
      <c r="W183"/>
      <c r="X183"/>
      <c r="Y183"/>
      <c r="Z183"/>
      <c r="AA183"/>
      <c r="AB183"/>
      <c r="AC183"/>
      <c r="AD183"/>
    </row>
    <row r="184" spans="1:30" s="82" customFormat="1" x14ac:dyDescent="0.25">
      <c r="A184"/>
      <c r="B184"/>
      <c r="C184"/>
      <c r="D184"/>
      <c r="E184"/>
      <c r="F184"/>
      <c r="G184"/>
      <c r="H184"/>
      <c r="I184"/>
      <c r="J184"/>
      <c r="K184"/>
      <c r="L184"/>
      <c r="M184"/>
      <c r="N184"/>
      <c r="O184"/>
      <c r="P184"/>
      <c r="Q184"/>
      <c r="R184"/>
      <c r="S184"/>
      <c r="T184"/>
      <c r="U184"/>
      <c r="V184"/>
      <c r="W184"/>
      <c r="X184"/>
      <c r="Y184"/>
      <c r="Z184"/>
      <c r="AA184"/>
      <c r="AB184"/>
      <c r="AC184"/>
      <c r="AD184"/>
    </row>
    <row r="185" spans="1:30" s="82" customFormat="1" x14ac:dyDescent="0.25">
      <c r="A185"/>
      <c r="B185"/>
      <c r="C185"/>
      <c r="D185"/>
      <c r="E185"/>
      <c r="F185"/>
      <c r="G185"/>
      <c r="H185"/>
      <c r="I185"/>
      <c r="J185"/>
      <c r="K185"/>
      <c r="L185"/>
      <c r="M185"/>
      <c r="N185"/>
      <c r="O185"/>
      <c r="P185"/>
      <c r="Q185"/>
      <c r="R185"/>
      <c r="S185"/>
      <c r="T185"/>
      <c r="U185"/>
      <c r="V185"/>
      <c r="W185"/>
      <c r="X185"/>
      <c r="Y185"/>
      <c r="Z185"/>
      <c r="AA185"/>
      <c r="AB185"/>
      <c r="AC185"/>
      <c r="AD185"/>
    </row>
    <row r="186" spans="1:30" s="82" customFormat="1" x14ac:dyDescent="0.25">
      <c r="A186"/>
      <c r="B186"/>
      <c r="C186"/>
      <c r="D186"/>
      <c r="E186"/>
      <c r="F186"/>
      <c r="G186"/>
      <c r="H186"/>
      <c r="I186"/>
      <c r="J186"/>
      <c r="K186"/>
      <c r="L186"/>
      <c r="M186"/>
      <c r="N186"/>
      <c r="O186"/>
      <c r="P186"/>
      <c r="Q186"/>
      <c r="R186"/>
      <c r="S186"/>
      <c r="T186"/>
      <c r="U186"/>
      <c r="V186"/>
      <c r="W186"/>
      <c r="X186"/>
      <c r="Y186"/>
      <c r="Z186"/>
      <c r="AA186"/>
      <c r="AB186"/>
      <c r="AC186"/>
      <c r="AD186"/>
    </row>
    <row r="187" spans="1:30" s="82" customFormat="1" x14ac:dyDescent="0.25">
      <c r="A187"/>
      <c r="B187"/>
      <c r="C187"/>
      <c r="D187"/>
      <c r="E187"/>
      <c r="F187"/>
      <c r="G187"/>
      <c r="H187"/>
      <c r="I187"/>
      <c r="J187"/>
      <c r="K187"/>
      <c r="L187"/>
      <c r="M187"/>
      <c r="N187"/>
      <c r="O187"/>
      <c r="P187"/>
      <c r="Q187"/>
      <c r="R187"/>
      <c r="S187"/>
      <c r="T187"/>
      <c r="U187"/>
      <c r="V187"/>
      <c r="W187"/>
      <c r="X187"/>
      <c r="Y187"/>
      <c r="Z187"/>
      <c r="AA187"/>
      <c r="AB187"/>
      <c r="AC187"/>
      <c r="AD187"/>
    </row>
    <row r="188" spans="1:30" s="82" customFormat="1" x14ac:dyDescent="0.25">
      <c r="A188"/>
      <c r="B188"/>
      <c r="C188"/>
      <c r="D188"/>
      <c r="E188"/>
      <c r="F188"/>
      <c r="G188"/>
      <c r="H188"/>
      <c r="I188"/>
      <c r="J188"/>
      <c r="K188"/>
      <c r="L188"/>
      <c r="M188"/>
      <c r="N188"/>
      <c r="O188"/>
      <c r="P188"/>
      <c r="Q188"/>
      <c r="R188"/>
      <c r="S188"/>
      <c r="T188"/>
      <c r="U188"/>
      <c r="V188"/>
      <c r="W188"/>
      <c r="X188"/>
      <c r="Y188"/>
      <c r="Z188"/>
      <c r="AA188"/>
      <c r="AB188"/>
      <c r="AC188"/>
      <c r="AD188"/>
    </row>
    <row r="189" spans="1:30" s="82" customFormat="1" x14ac:dyDescent="0.25">
      <c r="A189"/>
      <c r="B189"/>
      <c r="C189"/>
      <c r="D189"/>
      <c r="E189"/>
      <c r="F189"/>
      <c r="G189"/>
      <c r="H189"/>
      <c r="I189"/>
      <c r="J189"/>
      <c r="K189"/>
      <c r="L189"/>
      <c r="M189"/>
      <c r="N189"/>
      <c r="O189"/>
      <c r="P189"/>
      <c r="Q189"/>
      <c r="R189"/>
      <c r="S189"/>
      <c r="T189"/>
      <c r="U189"/>
      <c r="V189"/>
      <c r="W189"/>
      <c r="X189"/>
      <c r="Y189"/>
      <c r="Z189"/>
      <c r="AA189"/>
      <c r="AB189"/>
      <c r="AC189"/>
      <c r="AD189"/>
    </row>
    <row r="190" spans="1:30" s="82" customFormat="1" x14ac:dyDescent="0.25">
      <c r="A190"/>
      <c r="B190"/>
      <c r="C190"/>
      <c r="D190"/>
      <c r="E190"/>
      <c r="F190"/>
      <c r="G190"/>
      <c r="H190"/>
      <c r="I190"/>
      <c r="J190"/>
      <c r="K190"/>
      <c r="L190"/>
      <c r="M190"/>
      <c r="N190"/>
      <c r="O190"/>
      <c r="P190"/>
      <c r="Q190"/>
      <c r="R190"/>
      <c r="S190"/>
      <c r="T190"/>
      <c r="U190"/>
      <c r="V190"/>
      <c r="W190"/>
      <c r="X190"/>
      <c r="Y190"/>
      <c r="Z190"/>
      <c r="AA190"/>
      <c r="AB190"/>
      <c r="AC190"/>
      <c r="AD190"/>
    </row>
    <row r="191" spans="1:30" s="82" customFormat="1" x14ac:dyDescent="0.25">
      <c r="A191"/>
      <c r="B191"/>
      <c r="C191"/>
      <c r="D191"/>
      <c r="E191"/>
      <c r="F191"/>
      <c r="G191"/>
      <c r="H191"/>
      <c r="I191"/>
      <c r="J191"/>
      <c r="K191"/>
      <c r="L191"/>
      <c r="M191"/>
      <c r="N191"/>
      <c r="O191"/>
      <c r="P191"/>
      <c r="Q191"/>
      <c r="R191"/>
      <c r="S191"/>
      <c r="T191"/>
      <c r="U191"/>
      <c r="V191"/>
      <c r="W191"/>
      <c r="X191"/>
      <c r="Y191"/>
      <c r="Z191"/>
      <c r="AA191"/>
      <c r="AB191"/>
      <c r="AC191"/>
      <c r="AD191"/>
    </row>
    <row r="192" spans="1:30" s="82" customFormat="1" x14ac:dyDescent="0.25">
      <c r="A192"/>
      <c r="B192"/>
      <c r="C192"/>
      <c r="D192"/>
      <c r="E192"/>
      <c r="F192"/>
      <c r="G192"/>
      <c r="H192"/>
      <c r="I192"/>
      <c r="J192"/>
      <c r="K192"/>
      <c r="L192"/>
      <c r="M192"/>
      <c r="N192"/>
      <c r="O192"/>
      <c r="P192"/>
      <c r="Q192"/>
      <c r="R192"/>
      <c r="S192"/>
      <c r="T192"/>
      <c r="U192"/>
      <c r="V192"/>
      <c r="W192"/>
      <c r="X192"/>
      <c r="Y192"/>
      <c r="Z192"/>
      <c r="AA192"/>
      <c r="AB192"/>
      <c r="AC192"/>
      <c r="AD192"/>
    </row>
    <row r="193" spans="1:30" s="82" customFormat="1" x14ac:dyDescent="0.25">
      <c r="A193"/>
      <c r="B193"/>
      <c r="C193"/>
      <c r="D193"/>
      <c r="E193"/>
      <c r="F193"/>
      <c r="G193"/>
      <c r="H193"/>
      <c r="I193"/>
      <c r="J193"/>
      <c r="K193"/>
      <c r="L193"/>
      <c r="M193"/>
      <c r="N193"/>
      <c r="O193"/>
      <c r="P193"/>
      <c r="Q193"/>
      <c r="R193"/>
      <c r="S193"/>
      <c r="T193"/>
      <c r="U193"/>
      <c r="V193"/>
      <c r="W193"/>
      <c r="X193"/>
      <c r="Y193"/>
      <c r="Z193"/>
      <c r="AA193"/>
      <c r="AB193"/>
      <c r="AC193"/>
      <c r="AD193"/>
    </row>
    <row r="194" spans="1:30" s="82" customFormat="1" x14ac:dyDescent="0.25">
      <c r="A194"/>
      <c r="B194"/>
      <c r="C194"/>
      <c r="D194"/>
      <c r="E194"/>
      <c r="F194"/>
      <c r="G194"/>
      <c r="H194"/>
      <c r="I194"/>
      <c r="J194"/>
      <c r="K194"/>
      <c r="L194"/>
      <c r="M194"/>
      <c r="N194"/>
      <c r="O194"/>
      <c r="P194"/>
      <c r="Q194"/>
      <c r="R194"/>
      <c r="S194"/>
      <c r="T194"/>
      <c r="U194"/>
      <c r="V194"/>
      <c r="W194"/>
      <c r="X194"/>
      <c r="Y194"/>
      <c r="Z194"/>
      <c r="AA194"/>
      <c r="AB194"/>
      <c r="AC194"/>
      <c r="AD194"/>
    </row>
    <row r="195" spans="1:30" s="82" customFormat="1" x14ac:dyDescent="0.25">
      <c r="A195"/>
      <c r="B195"/>
      <c r="C195"/>
      <c r="D195"/>
      <c r="E195"/>
      <c r="F195"/>
      <c r="G195"/>
      <c r="H195"/>
      <c r="I195"/>
      <c r="J195"/>
      <c r="K195"/>
      <c r="L195"/>
      <c r="M195"/>
      <c r="N195"/>
      <c r="O195"/>
      <c r="P195"/>
      <c r="Q195"/>
      <c r="R195"/>
      <c r="S195"/>
      <c r="T195"/>
      <c r="U195"/>
      <c r="V195"/>
      <c r="W195"/>
      <c r="X195"/>
      <c r="Y195"/>
      <c r="Z195"/>
      <c r="AA195"/>
      <c r="AB195"/>
      <c r="AC195"/>
      <c r="AD195"/>
    </row>
    <row r="196" spans="1:30" s="82" customFormat="1" x14ac:dyDescent="0.25">
      <c r="A196"/>
      <c r="B196"/>
      <c r="C196"/>
      <c r="D196"/>
      <c r="E196"/>
      <c r="F196"/>
      <c r="G196"/>
      <c r="H196"/>
      <c r="I196"/>
      <c r="J196"/>
      <c r="K196"/>
      <c r="L196"/>
      <c r="M196"/>
      <c r="N196"/>
      <c r="O196"/>
      <c r="P196"/>
      <c r="Q196"/>
      <c r="R196"/>
      <c r="S196"/>
      <c r="T196"/>
      <c r="U196"/>
      <c r="V196"/>
      <c r="W196"/>
      <c r="X196"/>
      <c r="Y196"/>
      <c r="Z196"/>
      <c r="AA196"/>
      <c r="AB196"/>
      <c r="AC196"/>
      <c r="AD196"/>
    </row>
    <row r="197" spans="1:30" s="82" customFormat="1" x14ac:dyDescent="0.25">
      <c r="A197"/>
      <c r="B197"/>
      <c r="C197"/>
      <c r="D197"/>
      <c r="E197"/>
      <c r="F197"/>
      <c r="G197"/>
      <c r="H197"/>
      <c r="I197"/>
      <c r="J197"/>
      <c r="K197"/>
      <c r="L197"/>
      <c r="M197"/>
      <c r="N197"/>
      <c r="O197"/>
      <c r="P197"/>
      <c r="Q197"/>
      <c r="R197"/>
      <c r="S197"/>
      <c r="T197"/>
      <c r="U197"/>
      <c r="V197"/>
      <c r="W197"/>
      <c r="X197"/>
      <c r="Y197"/>
      <c r="Z197"/>
      <c r="AA197"/>
      <c r="AB197"/>
      <c r="AC197"/>
      <c r="AD197"/>
    </row>
    <row r="198" spans="1:30" s="82" customFormat="1" x14ac:dyDescent="0.25">
      <c r="A198"/>
      <c r="B198"/>
      <c r="C198"/>
      <c r="D198"/>
      <c r="E198"/>
      <c r="F198"/>
      <c r="G198"/>
      <c r="H198"/>
      <c r="I198"/>
      <c r="J198"/>
      <c r="K198"/>
      <c r="L198"/>
      <c r="M198"/>
      <c r="N198"/>
      <c r="O198"/>
      <c r="P198"/>
      <c r="Q198"/>
      <c r="R198"/>
      <c r="S198"/>
      <c r="T198"/>
      <c r="U198"/>
      <c r="V198"/>
      <c r="W198"/>
      <c r="X198"/>
      <c r="Y198"/>
      <c r="Z198"/>
      <c r="AA198"/>
      <c r="AB198"/>
      <c r="AC198"/>
      <c r="AD198"/>
    </row>
    <row r="199" spans="1:30" s="82" customFormat="1" x14ac:dyDescent="0.25">
      <c r="A199"/>
      <c r="B199"/>
      <c r="C199"/>
      <c r="D199"/>
      <c r="E199"/>
      <c r="F199"/>
      <c r="G199"/>
      <c r="H199"/>
      <c r="I199"/>
      <c r="J199"/>
      <c r="K199"/>
      <c r="L199"/>
      <c r="M199"/>
      <c r="N199"/>
      <c r="O199"/>
      <c r="P199"/>
      <c r="Q199"/>
      <c r="R199"/>
      <c r="S199"/>
      <c r="T199"/>
      <c r="U199"/>
      <c r="V199"/>
      <c r="W199"/>
      <c r="X199"/>
      <c r="Y199"/>
      <c r="Z199"/>
      <c r="AA199"/>
      <c r="AB199"/>
      <c r="AC199"/>
      <c r="AD199"/>
    </row>
    <row r="200" spans="1:30" s="82" customFormat="1" x14ac:dyDescent="0.25">
      <c r="A200"/>
      <c r="B200"/>
      <c r="C200"/>
      <c r="D200"/>
      <c r="E200"/>
      <c r="F200"/>
      <c r="G200"/>
      <c r="H200"/>
      <c r="I200"/>
      <c r="J200"/>
      <c r="K200"/>
      <c r="L200"/>
      <c r="M200"/>
      <c r="N200"/>
      <c r="O200"/>
      <c r="P200"/>
      <c r="Q200"/>
      <c r="R200"/>
      <c r="S200"/>
      <c r="T200"/>
      <c r="U200"/>
      <c r="V200"/>
      <c r="W200"/>
      <c r="X200"/>
      <c r="Y200"/>
      <c r="Z200"/>
      <c r="AA200"/>
      <c r="AB200"/>
      <c r="AC200"/>
      <c r="AD200"/>
    </row>
    <row r="201" spans="1:30" s="82" customFormat="1" x14ac:dyDescent="0.25">
      <c r="A201"/>
      <c r="B201"/>
      <c r="C201"/>
      <c r="D201"/>
      <c r="E201"/>
      <c r="F201"/>
      <c r="G201"/>
      <c r="H201"/>
      <c r="I201"/>
      <c r="J201"/>
      <c r="K201"/>
      <c r="L201"/>
      <c r="M201"/>
      <c r="N201"/>
      <c r="O201"/>
      <c r="P201"/>
      <c r="Q201"/>
      <c r="R201"/>
      <c r="S201"/>
      <c r="T201"/>
      <c r="U201"/>
      <c r="V201"/>
      <c r="W201"/>
      <c r="X201"/>
      <c r="Y201"/>
      <c r="Z201"/>
      <c r="AA201"/>
      <c r="AB201"/>
      <c r="AC201"/>
      <c r="AD201"/>
    </row>
    <row r="202" spans="1:30" s="82" customFormat="1" x14ac:dyDescent="0.25">
      <c r="A202"/>
      <c r="B202"/>
      <c r="C202"/>
      <c r="D202"/>
      <c r="E202"/>
      <c r="F202"/>
      <c r="G202"/>
      <c r="H202"/>
      <c r="I202"/>
      <c r="J202"/>
      <c r="K202"/>
      <c r="L202"/>
      <c r="M202"/>
      <c r="N202"/>
      <c r="O202"/>
      <c r="P202"/>
      <c r="Q202"/>
      <c r="R202"/>
      <c r="S202"/>
      <c r="T202"/>
      <c r="U202"/>
      <c r="V202"/>
      <c r="W202"/>
      <c r="X202"/>
      <c r="Y202"/>
      <c r="Z202"/>
      <c r="AA202"/>
      <c r="AB202"/>
      <c r="AC202"/>
      <c r="AD202"/>
    </row>
    <row r="203" spans="1:30" s="82" customFormat="1" x14ac:dyDescent="0.25">
      <c r="A203"/>
      <c r="B203"/>
      <c r="C203"/>
      <c r="D203"/>
      <c r="E203"/>
      <c r="F203"/>
      <c r="G203"/>
      <c r="H203"/>
      <c r="I203"/>
      <c r="J203"/>
      <c r="K203"/>
      <c r="L203"/>
      <c r="M203"/>
      <c r="N203"/>
      <c r="O203"/>
      <c r="P203"/>
      <c r="Q203"/>
      <c r="R203"/>
      <c r="S203"/>
      <c r="T203"/>
      <c r="U203"/>
      <c r="V203"/>
      <c r="W203"/>
      <c r="X203"/>
      <c r="Y203"/>
      <c r="Z203"/>
      <c r="AA203"/>
      <c r="AB203"/>
      <c r="AC203"/>
      <c r="AD203"/>
    </row>
    <row r="204" spans="1:30" s="82" customFormat="1" x14ac:dyDescent="0.25">
      <c r="A204"/>
      <c r="B204"/>
      <c r="C204"/>
      <c r="D204"/>
      <c r="E204"/>
      <c r="F204"/>
      <c r="G204"/>
      <c r="H204"/>
      <c r="I204"/>
      <c r="J204"/>
      <c r="K204"/>
      <c r="L204"/>
      <c r="M204"/>
      <c r="N204"/>
      <c r="O204"/>
      <c r="P204"/>
      <c r="Q204"/>
      <c r="R204"/>
      <c r="S204"/>
      <c r="T204"/>
      <c r="U204"/>
      <c r="V204"/>
      <c r="W204"/>
      <c r="X204"/>
      <c r="Y204"/>
      <c r="Z204"/>
      <c r="AA204"/>
      <c r="AB204"/>
      <c r="AC204"/>
      <c r="AD204"/>
    </row>
    <row r="205" spans="1:30" s="82" customFormat="1" x14ac:dyDescent="0.25">
      <c r="A205"/>
      <c r="B205"/>
      <c r="C205"/>
      <c r="D205"/>
      <c r="E205"/>
      <c r="F205"/>
      <c r="G205"/>
      <c r="H205"/>
      <c r="I205"/>
      <c r="J205"/>
      <c r="K205"/>
      <c r="L205"/>
      <c r="M205"/>
      <c r="N205"/>
      <c r="O205"/>
      <c r="P205"/>
      <c r="Q205"/>
      <c r="R205"/>
      <c r="S205"/>
      <c r="T205"/>
      <c r="U205"/>
      <c r="V205"/>
      <c r="W205"/>
      <c r="X205"/>
      <c r="Y205"/>
      <c r="Z205"/>
      <c r="AA205"/>
      <c r="AB205"/>
      <c r="AC205"/>
      <c r="AD205"/>
    </row>
    <row r="206" spans="1:30" s="82" customFormat="1" x14ac:dyDescent="0.25">
      <c r="A206"/>
      <c r="B206"/>
      <c r="C206"/>
      <c r="D206"/>
      <c r="E206"/>
      <c r="F206"/>
      <c r="G206"/>
      <c r="H206"/>
      <c r="I206"/>
      <c r="J206"/>
      <c r="K206"/>
      <c r="L206"/>
      <c r="M206"/>
      <c r="N206"/>
      <c r="O206"/>
      <c r="P206"/>
      <c r="Q206"/>
      <c r="R206"/>
      <c r="S206"/>
      <c r="T206"/>
      <c r="U206"/>
      <c r="V206"/>
      <c r="W206"/>
      <c r="X206"/>
      <c r="Y206"/>
      <c r="Z206"/>
      <c r="AA206"/>
      <c r="AB206"/>
      <c r="AC206"/>
      <c r="AD206"/>
    </row>
    <row r="207" spans="1:30" s="82" customFormat="1" x14ac:dyDescent="0.25">
      <c r="A207"/>
      <c r="B207"/>
      <c r="C207"/>
      <c r="D207"/>
      <c r="E207"/>
      <c r="F207"/>
      <c r="G207"/>
      <c r="H207"/>
      <c r="I207"/>
      <c r="J207"/>
      <c r="K207"/>
      <c r="L207"/>
      <c r="M207"/>
      <c r="N207"/>
      <c r="O207"/>
      <c r="P207"/>
      <c r="Q207"/>
      <c r="R207"/>
      <c r="S207"/>
      <c r="T207"/>
      <c r="U207"/>
      <c r="V207"/>
      <c r="W207"/>
      <c r="X207"/>
      <c r="Y207"/>
      <c r="Z207"/>
      <c r="AA207"/>
      <c r="AB207"/>
      <c r="AC207"/>
      <c r="AD207"/>
    </row>
    <row r="208" spans="1:30" s="82" customFormat="1" x14ac:dyDescent="0.25">
      <c r="A208"/>
      <c r="B208"/>
      <c r="C208"/>
      <c r="D208"/>
      <c r="E208"/>
      <c r="F208"/>
      <c r="G208"/>
      <c r="H208"/>
      <c r="I208"/>
      <c r="J208"/>
      <c r="K208"/>
      <c r="L208"/>
      <c r="M208"/>
      <c r="N208"/>
      <c r="O208"/>
      <c r="P208"/>
      <c r="Q208"/>
      <c r="R208"/>
      <c r="S208"/>
      <c r="T208"/>
      <c r="U208"/>
      <c r="V208"/>
      <c r="W208"/>
      <c r="X208"/>
      <c r="Y208"/>
      <c r="Z208"/>
      <c r="AA208"/>
      <c r="AB208"/>
      <c r="AC208"/>
      <c r="AD208"/>
    </row>
    <row r="209" spans="1:30" s="82" customFormat="1" x14ac:dyDescent="0.25">
      <c r="A209"/>
      <c r="B209"/>
      <c r="C209"/>
      <c r="D209"/>
      <c r="E209"/>
      <c r="F209"/>
      <c r="G209"/>
      <c r="H209"/>
      <c r="I209"/>
      <c r="J209"/>
      <c r="K209"/>
      <c r="L209"/>
      <c r="M209"/>
      <c r="N209"/>
      <c r="O209"/>
      <c r="P209"/>
      <c r="Q209"/>
      <c r="R209"/>
      <c r="S209"/>
      <c r="T209"/>
      <c r="U209"/>
      <c r="V209"/>
      <c r="W209"/>
      <c r="X209"/>
      <c r="Y209"/>
      <c r="Z209"/>
      <c r="AA209"/>
      <c r="AB209"/>
      <c r="AC209"/>
      <c r="AD209"/>
    </row>
    <row r="210" spans="1:30" s="82" customFormat="1" x14ac:dyDescent="0.25">
      <c r="A210"/>
      <c r="B210"/>
      <c r="C210"/>
      <c r="D210"/>
      <c r="E210"/>
      <c r="F210"/>
      <c r="G210"/>
      <c r="H210"/>
      <c r="I210"/>
      <c r="J210"/>
      <c r="K210"/>
      <c r="L210"/>
      <c r="M210"/>
      <c r="N210"/>
      <c r="O210"/>
      <c r="P210"/>
      <c r="Q210"/>
      <c r="R210"/>
      <c r="S210"/>
      <c r="T210"/>
      <c r="U210"/>
      <c r="V210"/>
      <c r="W210"/>
      <c r="X210"/>
      <c r="Y210"/>
      <c r="Z210"/>
      <c r="AA210"/>
      <c r="AB210"/>
      <c r="AC210"/>
      <c r="AD210"/>
    </row>
    <row r="211" spans="1:30" s="82" customFormat="1" x14ac:dyDescent="0.25">
      <c r="A211"/>
      <c r="B211"/>
      <c r="C211"/>
      <c r="D211"/>
      <c r="E211"/>
      <c r="F211"/>
      <c r="G211"/>
      <c r="H211"/>
      <c r="I211"/>
      <c r="J211"/>
      <c r="K211"/>
      <c r="L211"/>
      <c r="M211"/>
      <c r="N211"/>
      <c r="O211"/>
      <c r="P211"/>
      <c r="Q211"/>
      <c r="R211"/>
      <c r="S211"/>
      <c r="T211"/>
      <c r="U211"/>
      <c r="V211"/>
      <c r="W211"/>
      <c r="X211"/>
      <c r="Y211"/>
      <c r="Z211"/>
      <c r="AA211"/>
      <c r="AB211"/>
      <c r="AC211"/>
      <c r="AD211"/>
    </row>
    <row r="212" spans="1:30" s="82" customFormat="1" x14ac:dyDescent="0.25">
      <c r="A212"/>
      <c r="B212"/>
      <c r="C212"/>
      <c r="D212"/>
      <c r="E212"/>
      <c r="F212"/>
      <c r="G212"/>
      <c r="H212"/>
      <c r="I212"/>
      <c r="J212"/>
      <c r="K212"/>
      <c r="L212"/>
      <c r="M212"/>
      <c r="N212"/>
      <c r="O212"/>
      <c r="P212"/>
      <c r="Q212"/>
      <c r="R212"/>
      <c r="S212"/>
      <c r="T212"/>
      <c r="U212"/>
      <c r="V212"/>
      <c r="W212"/>
      <c r="X212"/>
      <c r="Y212"/>
      <c r="Z212"/>
      <c r="AA212"/>
      <c r="AB212"/>
      <c r="AC212"/>
      <c r="AD212"/>
    </row>
    <row r="213" spans="1:30" s="82" customFormat="1" x14ac:dyDescent="0.25">
      <c r="A213"/>
      <c r="B213"/>
      <c r="C213"/>
      <c r="D213"/>
      <c r="E213"/>
      <c r="F213"/>
      <c r="G213"/>
      <c r="H213"/>
      <c r="I213"/>
      <c r="J213"/>
      <c r="K213"/>
      <c r="L213"/>
      <c r="M213"/>
      <c r="N213"/>
      <c r="O213"/>
      <c r="P213"/>
      <c r="Q213"/>
      <c r="R213"/>
      <c r="S213"/>
      <c r="T213"/>
      <c r="U213"/>
      <c r="V213"/>
      <c r="W213"/>
      <c r="X213"/>
      <c r="Y213"/>
      <c r="Z213"/>
      <c r="AA213"/>
      <c r="AB213"/>
      <c r="AC213"/>
      <c r="AD213"/>
    </row>
    <row r="214" spans="1:30" s="82" customFormat="1" x14ac:dyDescent="0.25">
      <c r="A214"/>
      <c r="B214"/>
      <c r="C214"/>
      <c r="D214"/>
      <c r="E214"/>
      <c r="F214"/>
      <c r="G214"/>
      <c r="H214"/>
      <c r="I214"/>
      <c r="J214"/>
      <c r="K214"/>
      <c r="L214"/>
      <c r="M214"/>
      <c r="N214"/>
      <c r="O214"/>
      <c r="P214"/>
      <c r="Q214"/>
      <c r="R214"/>
      <c r="S214"/>
      <c r="T214"/>
      <c r="U214"/>
      <c r="V214"/>
      <c r="W214"/>
      <c r="X214"/>
      <c r="Y214"/>
      <c r="Z214"/>
      <c r="AA214"/>
      <c r="AB214"/>
      <c r="AC214"/>
      <c r="AD214"/>
    </row>
    <row r="215" spans="1:30" s="82" customFormat="1" x14ac:dyDescent="0.25">
      <c r="A215"/>
      <c r="B215"/>
      <c r="C215"/>
      <c r="D215"/>
      <c r="E215"/>
      <c r="F215"/>
      <c r="G215"/>
      <c r="H215"/>
      <c r="I215"/>
      <c r="J215"/>
      <c r="K215"/>
      <c r="L215"/>
      <c r="M215"/>
      <c r="N215"/>
      <c r="O215"/>
      <c r="P215"/>
      <c r="Q215"/>
      <c r="R215"/>
      <c r="S215"/>
      <c r="T215"/>
      <c r="U215"/>
      <c r="V215"/>
      <c r="W215"/>
      <c r="X215"/>
      <c r="Y215"/>
      <c r="Z215"/>
      <c r="AA215"/>
      <c r="AB215"/>
      <c r="AC215"/>
      <c r="AD215"/>
    </row>
    <row r="216" spans="1:30" s="82" customFormat="1" x14ac:dyDescent="0.25">
      <c r="A216"/>
      <c r="B216"/>
      <c r="C216"/>
      <c r="D216"/>
      <c r="E216"/>
      <c r="F216"/>
      <c r="G216"/>
      <c r="H216"/>
      <c r="I216"/>
      <c r="J216"/>
      <c r="K216"/>
      <c r="L216"/>
      <c r="M216"/>
      <c r="N216"/>
      <c r="O216"/>
      <c r="P216"/>
      <c r="Q216"/>
      <c r="R216"/>
      <c r="S216"/>
      <c r="T216"/>
      <c r="U216"/>
      <c r="V216"/>
      <c r="W216"/>
      <c r="X216"/>
      <c r="Y216"/>
      <c r="Z216"/>
      <c r="AA216"/>
      <c r="AB216"/>
      <c r="AC216"/>
      <c r="AD216"/>
    </row>
    <row r="217" spans="1:30" s="82" customFormat="1" x14ac:dyDescent="0.25">
      <c r="A217"/>
      <c r="B217"/>
      <c r="C217"/>
      <c r="D217"/>
      <c r="E217"/>
      <c r="F217"/>
      <c r="G217"/>
      <c r="H217"/>
      <c r="I217"/>
      <c r="J217"/>
      <c r="K217"/>
      <c r="L217"/>
      <c r="M217"/>
      <c r="N217"/>
      <c r="O217"/>
      <c r="P217"/>
      <c r="Q217"/>
      <c r="R217"/>
      <c r="S217"/>
      <c r="T217"/>
      <c r="U217"/>
      <c r="V217"/>
      <c r="W217"/>
      <c r="X217"/>
      <c r="Y217"/>
      <c r="Z217"/>
      <c r="AA217"/>
      <c r="AB217"/>
      <c r="AC217"/>
      <c r="AD217"/>
    </row>
    <row r="218" spans="1:30" s="82" customFormat="1" x14ac:dyDescent="0.25">
      <c r="A218"/>
      <c r="B218"/>
      <c r="C218"/>
      <c r="D218"/>
      <c r="E218"/>
      <c r="F218"/>
      <c r="G218"/>
      <c r="H218"/>
      <c r="I218"/>
      <c r="J218"/>
      <c r="K218"/>
      <c r="L218"/>
      <c r="M218"/>
      <c r="N218"/>
      <c r="O218"/>
      <c r="P218"/>
      <c r="Q218"/>
      <c r="R218"/>
      <c r="S218"/>
      <c r="T218"/>
      <c r="U218"/>
      <c r="V218"/>
      <c r="W218"/>
      <c r="X218"/>
      <c r="Y218"/>
      <c r="Z218"/>
      <c r="AA218"/>
      <c r="AB218"/>
      <c r="AC218"/>
      <c r="AD218"/>
    </row>
    <row r="219" spans="1:30" s="82" customFormat="1" x14ac:dyDescent="0.25">
      <c r="A219"/>
      <c r="B219"/>
      <c r="C219"/>
      <c r="D219"/>
      <c r="E219"/>
      <c r="F219"/>
      <c r="G219"/>
      <c r="H219"/>
      <c r="I219"/>
      <c r="J219"/>
      <c r="K219"/>
      <c r="L219"/>
      <c r="M219"/>
      <c r="N219"/>
      <c r="O219"/>
      <c r="P219"/>
      <c r="Q219"/>
      <c r="R219"/>
      <c r="S219"/>
      <c r="T219"/>
      <c r="U219"/>
      <c r="V219"/>
      <c r="W219"/>
      <c r="X219"/>
      <c r="Y219"/>
      <c r="Z219"/>
      <c r="AA219"/>
      <c r="AB219"/>
      <c r="AC219"/>
      <c r="AD219"/>
    </row>
    <row r="220" spans="1:30" s="82" customFormat="1" x14ac:dyDescent="0.25">
      <c r="A220"/>
      <c r="B220"/>
      <c r="C220"/>
      <c r="D220"/>
      <c r="E220"/>
      <c r="F220"/>
      <c r="G220"/>
      <c r="H220"/>
      <c r="I220"/>
      <c r="J220"/>
      <c r="K220"/>
      <c r="L220"/>
      <c r="M220"/>
      <c r="N220"/>
      <c r="O220"/>
      <c r="P220"/>
      <c r="Q220"/>
      <c r="R220"/>
      <c r="S220"/>
      <c r="T220"/>
      <c r="U220"/>
      <c r="V220"/>
      <c r="W220"/>
      <c r="X220"/>
      <c r="Y220"/>
      <c r="Z220"/>
      <c r="AA220"/>
      <c r="AB220"/>
      <c r="AC220"/>
      <c r="AD220"/>
    </row>
    <row r="221" spans="1:30" s="82" customFormat="1" x14ac:dyDescent="0.25">
      <c r="A221"/>
      <c r="B221"/>
      <c r="C221"/>
      <c r="D221"/>
      <c r="E221"/>
      <c r="F221"/>
      <c r="G221"/>
      <c r="H221"/>
      <c r="I221"/>
      <c r="J221"/>
      <c r="K221"/>
      <c r="L221"/>
      <c r="M221"/>
      <c r="N221"/>
      <c r="O221"/>
      <c r="P221"/>
      <c r="Q221"/>
      <c r="R221"/>
      <c r="S221"/>
      <c r="T221"/>
      <c r="U221"/>
      <c r="V221"/>
      <c r="W221"/>
      <c r="X221"/>
      <c r="Y221"/>
      <c r="Z221"/>
      <c r="AA221"/>
      <c r="AB221"/>
      <c r="AC221"/>
      <c r="AD221"/>
    </row>
    <row r="222" spans="1:30" s="82" customFormat="1" x14ac:dyDescent="0.25">
      <c r="A222"/>
      <c r="B222"/>
      <c r="C222"/>
      <c r="D222"/>
      <c r="E222"/>
      <c r="F222"/>
      <c r="G222"/>
      <c r="H222"/>
      <c r="I222"/>
      <c r="J222"/>
      <c r="K222"/>
      <c r="L222"/>
      <c r="M222"/>
      <c r="N222"/>
      <c r="O222"/>
      <c r="P222"/>
      <c r="Q222"/>
      <c r="R222"/>
      <c r="S222"/>
      <c r="T222"/>
      <c r="U222"/>
      <c r="V222"/>
      <c r="W222"/>
      <c r="X222"/>
      <c r="Y222"/>
      <c r="Z222"/>
      <c r="AA222"/>
      <c r="AB222"/>
      <c r="AC222"/>
      <c r="AD222"/>
    </row>
    <row r="223" spans="1:30" s="82" customFormat="1" x14ac:dyDescent="0.25">
      <c r="A223"/>
      <c r="B223"/>
      <c r="C223"/>
      <c r="D223"/>
      <c r="E223"/>
      <c r="F223"/>
      <c r="G223"/>
      <c r="H223"/>
      <c r="I223"/>
      <c r="J223"/>
      <c r="K223"/>
      <c r="L223"/>
      <c r="M223"/>
      <c r="N223"/>
      <c r="O223"/>
      <c r="P223"/>
      <c r="Q223"/>
      <c r="R223"/>
      <c r="S223"/>
      <c r="T223"/>
      <c r="U223"/>
      <c r="V223"/>
      <c r="W223"/>
      <c r="X223"/>
      <c r="Y223"/>
      <c r="Z223"/>
      <c r="AA223"/>
      <c r="AB223"/>
      <c r="AC223"/>
      <c r="AD223"/>
    </row>
    <row r="224" spans="1:30" s="82" customFormat="1" x14ac:dyDescent="0.25">
      <c r="A224"/>
      <c r="B224"/>
      <c r="C224"/>
      <c r="D224"/>
      <c r="E224"/>
      <c r="F224"/>
      <c r="G224"/>
      <c r="H224"/>
      <c r="I224"/>
      <c r="J224"/>
      <c r="K224"/>
      <c r="L224"/>
      <c r="M224"/>
      <c r="N224"/>
      <c r="O224"/>
      <c r="P224"/>
      <c r="Q224"/>
      <c r="R224"/>
      <c r="S224"/>
      <c r="T224"/>
      <c r="U224"/>
      <c r="V224"/>
      <c r="W224"/>
      <c r="X224"/>
      <c r="Y224"/>
      <c r="Z224"/>
      <c r="AA224"/>
      <c r="AB224"/>
      <c r="AC224"/>
      <c r="AD224"/>
    </row>
    <row r="225" spans="1:30" s="82" customFormat="1" x14ac:dyDescent="0.25">
      <c r="A225"/>
      <c r="B225"/>
      <c r="C225"/>
      <c r="D225"/>
      <c r="E225"/>
      <c r="F225"/>
      <c r="G225"/>
      <c r="H225"/>
      <c r="I225"/>
      <c r="J225"/>
      <c r="K225"/>
      <c r="L225"/>
      <c r="M225"/>
      <c r="N225"/>
      <c r="O225"/>
      <c r="P225"/>
      <c r="Q225"/>
      <c r="R225"/>
      <c r="S225"/>
      <c r="T225"/>
      <c r="U225"/>
      <c r="V225"/>
      <c r="W225"/>
      <c r="X225"/>
      <c r="Y225"/>
      <c r="Z225"/>
      <c r="AA225"/>
      <c r="AB225"/>
      <c r="AC225"/>
      <c r="AD225"/>
    </row>
    <row r="226" spans="1:30" s="82" customFormat="1" x14ac:dyDescent="0.25">
      <c r="A226"/>
      <c r="B226"/>
      <c r="C226"/>
      <c r="D226"/>
      <c r="E226"/>
      <c r="F226"/>
      <c r="G226"/>
      <c r="H226"/>
      <c r="I226"/>
      <c r="J226"/>
      <c r="K226"/>
      <c r="L226"/>
      <c r="M226"/>
      <c r="N226"/>
      <c r="O226"/>
      <c r="P226"/>
      <c r="Q226"/>
      <c r="R226"/>
      <c r="S226"/>
      <c r="T226"/>
      <c r="U226"/>
      <c r="V226"/>
      <c r="W226"/>
      <c r="X226"/>
      <c r="Y226"/>
      <c r="Z226"/>
      <c r="AA226"/>
      <c r="AB226"/>
      <c r="AC226"/>
      <c r="AD226"/>
    </row>
    <row r="227" spans="1:30" s="82" customFormat="1" x14ac:dyDescent="0.25">
      <c r="A227"/>
      <c r="B227"/>
      <c r="C227"/>
      <c r="D227"/>
      <c r="E227"/>
      <c r="F227"/>
      <c r="G227"/>
      <c r="H227"/>
      <c r="I227"/>
      <c r="J227"/>
      <c r="K227"/>
      <c r="L227"/>
      <c r="M227"/>
      <c r="N227"/>
      <c r="O227"/>
      <c r="P227"/>
      <c r="Q227"/>
      <c r="R227"/>
      <c r="S227"/>
      <c r="T227"/>
      <c r="U227"/>
      <c r="V227"/>
      <c r="W227"/>
      <c r="X227"/>
      <c r="Y227"/>
      <c r="Z227"/>
      <c r="AA227"/>
      <c r="AB227"/>
      <c r="AC227"/>
      <c r="AD227"/>
    </row>
    <row r="228" spans="1:30" s="82" customFormat="1" x14ac:dyDescent="0.25">
      <c r="A228"/>
      <c r="B228"/>
      <c r="C228"/>
      <c r="D228"/>
      <c r="E228"/>
      <c r="F228"/>
      <c r="G228"/>
      <c r="H228"/>
      <c r="I228"/>
      <c r="J228"/>
      <c r="K228"/>
      <c r="L228"/>
      <c r="M228"/>
      <c r="N228"/>
      <c r="O228"/>
      <c r="P228"/>
      <c r="Q228"/>
      <c r="R228"/>
      <c r="S228"/>
      <c r="T228"/>
      <c r="U228"/>
      <c r="V228"/>
      <c r="W228"/>
      <c r="X228"/>
      <c r="Y228"/>
      <c r="Z228"/>
      <c r="AA228"/>
      <c r="AB228"/>
      <c r="AC228"/>
      <c r="AD228"/>
    </row>
    <row r="229" spans="1:30" s="82" customFormat="1" x14ac:dyDescent="0.25">
      <c r="A229"/>
      <c r="B229"/>
      <c r="C229"/>
      <c r="D229"/>
      <c r="E229"/>
      <c r="F229"/>
      <c r="G229"/>
      <c r="H229"/>
      <c r="I229"/>
      <c r="J229"/>
      <c r="K229"/>
      <c r="L229"/>
      <c r="M229"/>
      <c r="N229"/>
      <c r="O229"/>
      <c r="P229"/>
      <c r="Q229"/>
      <c r="R229"/>
      <c r="S229"/>
      <c r="T229"/>
      <c r="U229"/>
      <c r="V229"/>
      <c r="W229"/>
      <c r="X229"/>
      <c r="Y229"/>
      <c r="Z229"/>
      <c r="AA229"/>
      <c r="AB229"/>
      <c r="AC229"/>
      <c r="AD229"/>
    </row>
    <row r="230" spans="1:30" s="82" customFormat="1" x14ac:dyDescent="0.25">
      <c r="A230"/>
      <c r="B230"/>
      <c r="C230"/>
      <c r="D230"/>
      <c r="E230"/>
      <c r="F230"/>
      <c r="G230"/>
      <c r="H230"/>
      <c r="I230"/>
      <c r="J230"/>
      <c r="K230"/>
      <c r="L230"/>
      <c r="M230"/>
      <c r="N230"/>
      <c r="O230"/>
      <c r="P230"/>
      <c r="Q230"/>
      <c r="R230"/>
      <c r="S230"/>
      <c r="T230"/>
      <c r="U230"/>
      <c r="V230"/>
      <c r="W230"/>
      <c r="X230"/>
      <c r="Y230"/>
      <c r="Z230"/>
      <c r="AA230"/>
      <c r="AB230"/>
      <c r="AC230"/>
      <c r="AD230"/>
    </row>
    <row r="231" spans="1:30" s="82" customFormat="1" x14ac:dyDescent="0.25">
      <c r="A231"/>
      <c r="B231"/>
      <c r="C231"/>
      <c r="D231"/>
      <c r="E231"/>
      <c r="F231"/>
      <c r="G231"/>
      <c r="H231"/>
      <c r="I231"/>
      <c r="J231"/>
      <c r="K231"/>
      <c r="L231"/>
      <c r="M231"/>
      <c r="N231"/>
      <c r="O231"/>
      <c r="P231"/>
      <c r="Q231"/>
      <c r="R231"/>
      <c r="S231"/>
      <c r="T231"/>
      <c r="U231"/>
      <c r="V231"/>
      <c r="W231"/>
      <c r="X231"/>
      <c r="Y231"/>
      <c r="Z231"/>
      <c r="AA231"/>
      <c r="AB231"/>
      <c r="AC231"/>
      <c r="AD231"/>
    </row>
    <row r="232" spans="1:30" s="82" customFormat="1" x14ac:dyDescent="0.25">
      <c r="A232"/>
      <c r="B232"/>
      <c r="C232"/>
      <c r="D232"/>
      <c r="E232"/>
      <c r="F232"/>
      <c r="G232"/>
      <c r="H232"/>
      <c r="I232"/>
      <c r="J232"/>
      <c r="K232"/>
      <c r="L232"/>
      <c r="M232"/>
      <c r="N232"/>
      <c r="O232"/>
      <c r="P232"/>
      <c r="Q232"/>
      <c r="R232"/>
      <c r="S232"/>
      <c r="T232"/>
      <c r="U232"/>
      <c r="V232"/>
      <c r="W232"/>
      <c r="X232"/>
      <c r="Y232"/>
      <c r="Z232"/>
      <c r="AA232"/>
      <c r="AB232"/>
      <c r="AC232"/>
      <c r="AD232"/>
    </row>
    <row r="233" spans="1:30" s="82" customFormat="1" x14ac:dyDescent="0.25">
      <c r="A233"/>
      <c r="B233"/>
      <c r="C233"/>
      <c r="D233"/>
      <c r="E233"/>
      <c r="F233"/>
      <c r="G233"/>
      <c r="H233"/>
      <c r="I233"/>
      <c r="J233"/>
      <c r="K233"/>
      <c r="L233"/>
      <c r="M233"/>
      <c r="N233"/>
      <c r="O233"/>
      <c r="P233"/>
      <c r="Q233"/>
      <c r="R233"/>
      <c r="S233"/>
      <c r="T233"/>
      <c r="U233"/>
      <c r="V233"/>
      <c r="W233"/>
      <c r="X233"/>
      <c r="Y233"/>
      <c r="Z233"/>
      <c r="AA233"/>
      <c r="AB233"/>
      <c r="AC233"/>
      <c r="AD233"/>
    </row>
    <row r="234" spans="1:30" s="82" customFormat="1" x14ac:dyDescent="0.25">
      <c r="A234"/>
      <c r="B234"/>
      <c r="C234"/>
      <c r="D234"/>
      <c r="E234"/>
      <c r="F234"/>
      <c r="G234"/>
      <c r="H234"/>
      <c r="I234"/>
      <c r="J234"/>
      <c r="K234"/>
      <c r="L234"/>
      <c r="M234"/>
      <c r="N234"/>
      <c r="O234"/>
      <c r="P234"/>
      <c r="Q234"/>
      <c r="R234"/>
      <c r="S234"/>
      <c r="T234"/>
      <c r="U234"/>
      <c r="V234"/>
      <c r="W234"/>
      <c r="X234"/>
      <c r="Y234"/>
      <c r="Z234"/>
      <c r="AA234"/>
      <c r="AB234"/>
      <c r="AC234"/>
      <c r="AD234"/>
    </row>
    <row r="235" spans="1:30" s="82" customFormat="1" x14ac:dyDescent="0.25">
      <c r="A235"/>
      <c r="B235"/>
      <c r="C235"/>
      <c r="D235"/>
      <c r="E235"/>
      <c r="F235"/>
      <c r="G235"/>
      <c r="H235"/>
      <c r="I235"/>
      <c r="J235"/>
      <c r="K235"/>
      <c r="L235"/>
      <c r="M235"/>
      <c r="N235"/>
      <c r="O235"/>
      <c r="P235"/>
      <c r="Q235"/>
      <c r="R235"/>
      <c r="S235"/>
      <c r="T235"/>
      <c r="U235"/>
      <c r="V235"/>
      <c r="W235"/>
      <c r="X235"/>
      <c r="Y235"/>
      <c r="Z235"/>
      <c r="AA235"/>
      <c r="AB235"/>
      <c r="AC235"/>
      <c r="AD235"/>
    </row>
    <row r="236" spans="1:30" s="82" customFormat="1" x14ac:dyDescent="0.25">
      <c r="A236"/>
      <c r="B236"/>
      <c r="C236"/>
      <c r="D236"/>
      <c r="E236"/>
      <c r="F236"/>
      <c r="G236"/>
      <c r="H236"/>
      <c r="I236"/>
      <c r="J236"/>
      <c r="K236"/>
      <c r="L236"/>
      <c r="M236"/>
      <c r="N236"/>
      <c r="O236"/>
      <c r="P236"/>
      <c r="Q236"/>
      <c r="R236"/>
      <c r="S236"/>
      <c r="T236"/>
      <c r="U236"/>
      <c r="V236"/>
      <c r="W236"/>
      <c r="X236"/>
      <c r="Y236"/>
      <c r="Z236"/>
      <c r="AA236"/>
      <c r="AB236"/>
      <c r="AC236"/>
      <c r="AD236"/>
    </row>
    <row r="237" spans="1:30" s="82" customFormat="1" x14ac:dyDescent="0.25">
      <c r="A237"/>
      <c r="B237"/>
      <c r="C237"/>
      <c r="D237"/>
      <c r="E237"/>
      <c r="F237"/>
      <c r="G237"/>
      <c r="H237"/>
      <c r="I237"/>
      <c r="J237"/>
      <c r="K237"/>
      <c r="L237"/>
      <c r="M237"/>
      <c r="N237"/>
      <c r="O237"/>
      <c r="P237"/>
      <c r="Q237"/>
      <c r="R237"/>
      <c r="S237"/>
      <c r="T237"/>
      <c r="U237"/>
      <c r="V237"/>
      <c r="W237"/>
      <c r="X237"/>
      <c r="Y237"/>
      <c r="Z237"/>
      <c r="AA237"/>
      <c r="AB237"/>
      <c r="AC237"/>
      <c r="AD237"/>
    </row>
    <row r="238" spans="1:30" s="82" customFormat="1" x14ac:dyDescent="0.25">
      <c r="A238"/>
      <c r="B238"/>
      <c r="C238"/>
      <c r="D238"/>
      <c r="E238"/>
      <c r="F238"/>
      <c r="G238"/>
      <c r="H238"/>
      <c r="I238"/>
      <c r="J238"/>
      <c r="K238"/>
      <c r="L238"/>
      <c r="M238"/>
      <c r="N238"/>
      <c r="O238"/>
      <c r="P238"/>
      <c r="Q238"/>
      <c r="R238"/>
      <c r="S238"/>
      <c r="T238"/>
      <c r="U238"/>
      <c r="V238"/>
      <c r="W238"/>
      <c r="X238"/>
      <c r="Y238"/>
      <c r="Z238"/>
      <c r="AA238"/>
      <c r="AB238"/>
      <c r="AC238"/>
      <c r="AD238"/>
    </row>
    <row r="239" spans="1:30" s="82" customFormat="1" x14ac:dyDescent="0.25">
      <c r="A239"/>
      <c r="B239"/>
      <c r="C239"/>
      <c r="D239"/>
      <c r="E239"/>
      <c r="F239"/>
      <c r="G239"/>
      <c r="H239"/>
      <c r="I239"/>
      <c r="J239"/>
      <c r="K239"/>
      <c r="L239"/>
      <c r="M239"/>
      <c r="N239"/>
      <c r="O239"/>
      <c r="P239"/>
      <c r="Q239"/>
      <c r="R239"/>
      <c r="S239"/>
      <c r="T239"/>
      <c r="U239"/>
      <c r="V239"/>
      <c r="W239"/>
      <c r="X239"/>
      <c r="Y239"/>
      <c r="Z239"/>
      <c r="AA239"/>
      <c r="AB239"/>
      <c r="AC239"/>
      <c r="AD239"/>
    </row>
    <row r="240" spans="1:30" s="82" customFormat="1" x14ac:dyDescent="0.25">
      <c r="A240"/>
      <c r="B240"/>
      <c r="C240"/>
      <c r="D240"/>
      <c r="E240"/>
      <c r="F240"/>
      <c r="G240"/>
      <c r="H240"/>
      <c r="I240"/>
      <c r="J240"/>
      <c r="K240"/>
      <c r="L240"/>
      <c r="M240"/>
      <c r="N240"/>
      <c r="O240"/>
      <c r="P240"/>
      <c r="Q240"/>
      <c r="R240"/>
      <c r="S240"/>
      <c r="T240"/>
      <c r="U240"/>
      <c r="V240"/>
      <c r="W240"/>
      <c r="X240"/>
      <c r="Y240"/>
      <c r="Z240"/>
      <c r="AA240"/>
      <c r="AB240"/>
      <c r="AC240"/>
      <c r="AD240"/>
    </row>
    <row r="241" spans="1:30" s="82" customFormat="1" x14ac:dyDescent="0.25">
      <c r="A241"/>
      <c r="B241"/>
      <c r="C241"/>
      <c r="D241"/>
      <c r="E241"/>
      <c r="F241"/>
      <c r="G241"/>
      <c r="H241"/>
      <c r="I241"/>
      <c r="J241"/>
      <c r="K241"/>
      <c r="L241"/>
      <c r="M241"/>
      <c r="N241"/>
      <c r="O241"/>
      <c r="P241"/>
      <c r="Q241"/>
      <c r="R241"/>
      <c r="S241"/>
      <c r="T241"/>
      <c r="U241"/>
      <c r="V241"/>
      <c r="W241"/>
      <c r="X241"/>
      <c r="Y241"/>
      <c r="Z241"/>
      <c r="AA241"/>
      <c r="AB241"/>
      <c r="AC241"/>
      <c r="AD241"/>
    </row>
    <row r="242" spans="1:30" s="82" customFormat="1" x14ac:dyDescent="0.25">
      <c r="A242"/>
      <c r="B242"/>
      <c r="C242"/>
      <c r="D242"/>
      <c r="E242"/>
      <c r="F242"/>
      <c r="G242"/>
      <c r="H242"/>
      <c r="I242"/>
      <c r="J242"/>
      <c r="K242"/>
      <c r="L242"/>
      <c r="M242"/>
      <c r="N242"/>
      <c r="O242"/>
      <c r="P242"/>
      <c r="Q242"/>
      <c r="R242"/>
      <c r="S242"/>
      <c r="T242"/>
      <c r="U242"/>
      <c r="V242"/>
      <c r="W242"/>
      <c r="X242"/>
      <c r="Y242"/>
      <c r="Z242"/>
      <c r="AA242"/>
      <c r="AB242"/>
      <c r="AC242"/>
      <c r="AD242"/>
    </row>
    <row r="243" spans="1:30" s="82" customFormat="1" x14ac:dyDescent="0.25">
      <c r="A243"/>
      <c r="B243"/>
      <c r="C243"/>
      <c r="D243"/>
      <c r="E243"/>
      <c r="F243"/>
      <c r="G243"/>
      <c r="H243"/>
      <c r="I243"/>
      <c r="J243"/>
      <c r="K243"/>
      <c r="L243"/>
      <c r="M243"/>
      <c r="N243"/>
      <c r="O243"/>
      <c r="P243"/>
      <c r="Q243"/>
      <c r="R243"/>
      <c r="S243"/>
      <c r="T243"/>
      <c r="U243"/>
      <c r="V243"/>
      <c r="W243"/>
      <c r="X243"/>
      <c r="Y243"/>
      <c r="Z243"/>
      <c r="AA243"/>
      <c r="AB243"/>
      <c r="AC243"/>
      <c r="AD243"/>
    </row>
    <row r="244" spans="1:30" s="82" customFormat="1" x14ac:dyDescent="0.25">
      <c r="A244"/>
      <c r="B244"/>
      <c r="C244"/>
      <c r="D244"/>
      <c r="E244"/>
      <c r="F244"/>
      <c r="G244"/>
      <c r="H244"/>
      <c r="I244"/>
      <c r="J244"/>
      <c r="K244"/>
      <c r="L244"/>
      <c r="M244"/>
      <c r="N244"/>
      <c r="O244"/>
      <c r="P244"/>
      <c r="Q244"/>
      <c r="R244"/>
      <c r="S244"/>
      <c r="T244"/>
      <c r="U244"/>
      <c r="V244"/>
      <c r="W244"/>
      <c r="X244"/>
      <c r="Y244"/>
      <c r="Z244"/>
      <c r="AA244"/>
      <c r="AB244"/>
      <c r="AC244"/>
      <c r="AD244"/>
    </row>
    <row r="245" spans="1:30" s="82" customFormat="1" x14ac:dyDescent="0.25">
      <c r="A245"/>
      <c r="B245"/>
      <c r="C245"/>
      <c r="D245"/>
      <c r="E245"/>
      <c r="F245"/>
      <c r="G245"/>
      <c r="H245"/>
      <c r="I245"/>
      <c r="J245"/>
      <c r="K245"/>
      <c r="L245"/>
      <c r="M245"/>
      <c r="N245"/>
      <c r="O245"/>
      <c r="P245"/>
      <c r="Q245"/>
      <c r="R245"/>
      <c r="S245"/>
      <c r="T245"/>
      <c r="U245"/>
      <c r="V245"/>
      <c r="W245"/>
      <c r="X245"/>
      <c r="Y245"/>
      <c r="Z245"/>
      <c r="AA245"/>
      <c r="AB245"/>
      <c r="AC245"/>
      <c r="AD245"/>
    </row>
    <row r="246" spans="1:30" s="82" customFormat="1" x14ac:dyDescent="0.25">
      <c r="A246"/>
      <c r="B246"/>
      <c r="C246"/>
      <c r="D246"/>
      <c r="E246"/>
      <c r="F246"/>
      <c r="G246"/>
      <c r="H246"/>
      <c r="I246"/>
      <c r="J246"/>
      <c r="K246"/>
      <c r="L246"/>
      <c r="M246"/>
      <c r="N246"/>
      <c r="O246"/>
      <c r="P246"/>
      <c r="Q246"/>
      <c r="R246"/>
      <c r="S246"/>
      <c r="T246"/>
      <c r="U246"/>
      <c r="V246"/>
      <c r="W246"/>
      <c r="X246"/>
      <c r="Y246"/>
      <c r="Z246"/>
      <c r="AA246"/>
      <c r="AB246"/>
      <c r="AC246"/>
      <c r="AD246"/>
    </row>
    <row r="247" spans="1:30" s="82" customFormat="1" x14ac:dyDescent="0.25">
      <c r="A247"/>
      <c r="B247"/>
      <c r="C247"/>
      <c r="D247"/>
      <c r="E247"/>
      <c r="F247"/>
      <c r="G247"/>
      <c r="H247"/>
      <c r="I247"/>
      <c r="J247"/>
      <c r="K247"/>
      <c r="L247"/>
      <c r="M247"/>
      <c r="N247"/>
      <c r="O247"/>
      <c r="P247"/>
      <c r="Q247"/>
      <c r="R247"/>
      <c r="S247"/>
      <c r="T247"/>
      <c r="U247"/>
      <c r="V247"/>
      <c r="W247"/>
      <c r="X247"/>
      <c r="Y247"/>
      <c r="Z247"/>
      <c r="AA247"/>
      <c r="AB247"/>
      <c r="AC247"/>
      <c r="AD247"/>
    </row>
    <row r="248" spans="1:30" s="82" customFormat="1" x14ac:dyDescent="0.25">
      <c r="A248"/>
      <c r="B248"/>
      <c r="C248"/>
      <c r="D248"/>
      <c r="E248"/>
      <c r="F248"/>
      <c r="G248"/>
      <c r="H248"/>
      <c r="I248"/>
      <c r="J248"/>
      <c r="K248"/>
      <c r="L248"/>
      <c r="M248"/>
      <c r="N248"/>
      <c r="O248"/>
      <c r="P248"/>
      <c r="Q248"/>
      <c r="R248"/>
      <c r="S248"/>
      <c r="T248"/>
      <c r="U248"/>
      <c r="V248"/>
      <c r="W248"/>
      <c r="X248"/>
      <c r="Y248"/>
      <c r="Z248"/>
      <c r="AA248"/>
      <c r="AB248"/>
      <c r="AC248"/>
      <c r="AD248"/>
    </row>
    <row r="249" spans="1:30" s="82" customFormat="1" x14ac:dyDescent="0.25">
      <c r="A249"/>
      <c r="B249"/>
      <c r="C249"/>
      <c r="D249"/>
      <c r="E249"/>
      <c r="F249"/>
      <c r="G249"/>
      <c r="H249"/>
      <c r="I249"/>
      <c r="J249"/>
      <c r="K249"/>
      <c r="L249"/>
      <c r="M249"/>
      <c r="N249"/>
      <c r="O249"/>
      <c r="P249"/>
      <c r="Q249"/>
      <c r="R249"/>
      <c r="S249"/>
      <c r="T249"/>
      <c r="U249"/>
      <c r="V249"/>
      <c r="W249"/>
      <c r="X249"/>
      <c r="Y249"/>
      <c r="Z249"/>
      <c r="AA249"/>
      <c r="AB249"/>
      <c r="AC249"/>
      <c r="AD249"/>
    </row>
    <row r="250" spans="1:30" s="82" customFormat="1" x14ac:dyDescent="0.25">
      <c r="A250"/>
      <c r="B250"/>
      <c r="C250"/>
      <c r="D250"/>
      <c r="E250"/>
      <c r="F250"/>
      <c r="G250"/>
      <c r="H250"/>
      <c r="I250"/>
      <c r="J250"/>
      <c r="K250"/>
      <c r="L250"/>
      <c r="M250"/>
      <c r="N250"/>
      <c r="O250"/>
      <c r="P250"/>
      <c r="Q250"/>
      <c r="R250"/>
      <c r="S250"/>
      <c r="T250"/>
      <c r="U250"/>
      <c r="V250"/>
      <c r="W250"/>
      <c r="X250"/>
      <c r="Y250"/>
      <c r="Z250"/>
      <c r="AA250"/>
      <c r="AB250"/>
      <c r="AC250"/>
      <c r="AD250"/>
    </row>
    <row r="251" spans="1:30" s="82" customFormat="1" x14ac:dyDescent="0.25">
      <c r="A251"/>
      <c r="B251"/>
      <c r="C251"/>
      <c r="D251"/>
      <c r="E251"/>
      <c r="F251"/>
      <c r="G251"/>
      <c r="H251"/>
      <c r="I251"/>
      <c r="J251"/>
      <c r="K251"/>
      <c r="L251"/>
      <c r="M251"/>
      <c r="N251"/>
      <c r="O251"/>
      <c r="P251"/>
      <c r="Q251"/>
      <c r="R251"/>
      <c r="S251"/>
      <c r="T251"/>
      <c r="U251"/>
      <c r="V251"/>
      <c r="W251"/>
      <c r="X251"/>
      <c r="Y251"/>
      <c r="Z251"/>
      <c r="AA251"/>
      <c r="AB251"/>
      <c r="AC251"/>
      <c r="AD251"/>
    </row>
    <row r="252" spans="1:30" s="82" customFormat="1" x14ac:dyDescent="0.25">
      <c r="A252"/>
      <c r="B252"/>
      <c r="C252"/>
      <c r="D252"/>
      <c r="E252"/>
      <c r="F252"/>
      <c r="G252"/>
      <c r="H252"/>
      <c r="I252"/>
      <c r="J252"/>
      <c r="K252"/>
      <c r="L252"/>
      <c r="M252"/>
      <c r="N252"/>
      <c r="O252"/>
      <c r="P252"/>
      <c r="Q252"/>
      <c r="R252"/>
      <c r="S252"/>
      <c r="T252"/>
      <c r="U252"/>
      <c r="V252"/>
      <c r="W252"/>
      <c r="X252"/>
      <c r="Y252"/>
      <c r="Z252"/>
      <c r="AA252"/>
      <c r="AB252"/>
      <c r="AC252"/>
      <c r="AD252"/>
    </row>
    <row r="253" spans="1:30" s="82" customFormat="1" x14ac:dyDescent="0.25">
      <c r="A253"/>
      <c r="B253"/>
      <c r="C253"/>
      <c r="D253"/>
      <c r="E253"/>
      <c r="F253"/>
      <c r="G253"/>
      <c r="H253"/>
      <c r="I253"/>
      <c r="J253"/>
      <c r="K253"/>
      <c r="L253"/>
      <c r="M253"/>
      <c r="N253"/>
      <c r="O253"/>
      <c r="P253"/>
      <c r="Q253"/>
      <c r="R253"/>
      <c r="S253"/>
      <c r="T253"/>
      <c r="U253"/>
      <c r="V253"/>
      <c r="W253"/>
      <c r="X253"/>
      <c r="Y253"/>
      <c r="Z253"/>
      <c r="AA253"/>
      <c r="AB253"/>
      <c r="AC253"/>
      <c r="AD253"/>
    </row>
    <row r="254" spans="1:30" s="82" customFormat="1" x14ac:dyDescent="0.25">
      <c r="A254"/>
      <c r="B254"/>
      <c r="C254"/>
      <c r="D254"/>
      <c r="E254"/>
      <c r="F254"/>
      <c r="G254"/>
      <c r="H254"/>
      <c r="I254"/>
      <c r="J254"/>
      <c r="K254"/>
      <c r="L254"/>
      <c r="M254"/>
      <c r="N254"/>
      <c r="O254"/>
      <c r="P254"/>
      <c r="Q254"/>
      <c r="R254"/>
      <c r="S254"/>
      <c r="T254"/>
      <c r="U254"/>
      <c r="V254"/>
      <c r="W254"/>
      <c r="X254"/>
      <c r="Y254"/>
      <c r="Z254"/>
      <c r="AA254"/>
      <c r="AB254"/>
      <c r="AC254"/>
      <c r="AD254"/>
    </row>
    <row r="255" spans="1:30" s="82" customFormat="1" x14ac:dyDescent="0.25">
      <c r="A255"/>
      <c r="B255"/>
      <c r="C255"/>
      <c r="D255"/>
      <c r="E255"/>
      <c r="F255"/>
      <c r="G255"/>
      <c r="H255"/>
      <c r="I255"/>
      <c r="J255"/>
      <c r="K255"/>
      <c r="L255"/>
      <c r="M255"/>
      <c r="N255"/>
      <c r="O255"/>
      <c r="P255"/>
      <c r="Q255"/>
      <c r="R255"/>
      <c r="S255"/>
      <c r="T255"/>
      <c r="U255"/>
      <c r="V255"/>
      <c r="W255"/>
      <c r="X255"/>
      <c r="Y255"/>
      <c r="Z255"/>
      <c r="AA255"/>
      <c r="AB255"/>
      <c r="AC255"/>
      <c r="AD255"/>
    </row>
    <row r="256" spans="1:30" s="82" customFormat="1" x14ac:dyDescent="0.25">
      <c r="A256"/>
      <c r="B256"/>
      <c r="C256"/>
      <c r="D256"/>
      <c r="E256"/>
      <c r="F256"/>
      <c r="G256"/>
      <c r="H256"/>
      <c r="I256"/>
      <c r="J256"/>
      <c r="K256"/>
      <c r="L256"/>
      <c r="M256"/>
      <c r="N256"/>
      <c r="O256"/>
      <c r="P256"/>
      <c r="Q256"/>
      <c r="R256"/>
      <c r="S256"/>
      <c r="T256"/>
      <c r="U256"/>
      <c r="V256"/>
      <c r="W256"/>
      <c r="X256"/>
      <c r="Y256"/>
      <c r="Z256"/>
      <c r="AA256"/>
      <c r="AB256"/>
      <c r="AC256"/>
      <c r="AD256"/>
    </row>
    <row r="257" spans="1:30" s="82" customFormat="1" x14ac:dyDescent="0.25">
      <c r="A257"/>
      <c r="B257"/>
      <c r="C257"/>
      <c r="D257"/>
      <c r="E257"/>
      <c r="F257"/>
      <c r="G257"/>
      <c r="H257"/>
      <c r="I257"/>
      <c r="J257"/>
      <c r="K257"/>
      <c r="L257"/>
      <c r="M257"/>
      <c r="N257"/>
      <c r="O257"/>
      <c r="P257"/>
      <c r="Q257"/>
      <c r="R257"/>
      <c r="S257"/>
      <c r="T257"/>
      <c r="U257"/>
      <c r="V257"/>
      <c r="W257"/>
      <c r="X257"/>
      <c r="Y257"/>
      <c r="Z257"/>
      <c r="AA257"/>
      <c r="AB257"/>
      <c r="AC257"/>
      <c r="AD257"/>
    </row>
    <row r="258" spans="1:30" s="82" customFormat="1" x14ac:dyDescent="0.25">
      <c r="A258"/>
      <c r="B258"/>
      <c r="C258"/>
      <c r="D258"/>
      <c r="E258"/>
      <c r="F258"/>
      <c r="G258"/>
      <c r="H258"/>
      <c r="I258"/>
      <c r="J258"/>
      <c r="K258"/>
      <c r="L258"/>
      <c r="M258"/>
      <c r="N258"/>
      <c r="O258"/>
      <c r="P258"/>
      <c r="Q258"/>
      <c r="R258"/>
      <c r="S258"/>
      <c r="T258"/>
      <c r="U258"/>
      <c r="V258"/>
      <c r="W258"/>
      <c r="X258"/>
      <c r="Y258"/>
      <c r="Z258"/>
      <c r="AA258"/>
      <c r="AB258"/>
      <c r="AC258"/>
      <c r="AD258"/>
    </row>
    <row r="259" spans="1:30" s="82" customFormat="1" x14ac:dyDescent="0.25">
      <c r="A259"/>
      <c r="B259"/>
      <c r="C259"/>
      <c r="D259"/>
      <c r="E259"/>
      <c r="F259"/>
      <c r="G259"/>
      <c r="H259"/>
      <c r="I259"/>
      <c r="J259"/>
      <c r="K259"/>
      <c r="L259"/>
      <c r="M259"/>
      <c r="N259"/>
      <c r="O259"/>
      <c r="P259"/>
      <c r="Q259"/>
      <c r="R259"/>
      <c r="S259"/>
      <c r="T259"/>
      <c r="U259"/>
      <c r="V259"/>
      <c r="W259"/>
      <c r="X259"/>
      <c r="Y259"/>
      <c r="Z259"/>
      <c r="AA259"/>
      <c r="AB259"/>
      <c r="AC259"/>
      <c r="AD259"/>
    </row>
    <row r="260" spans="1:30" s="82" customFormat="1" x14ac:dyDescent="0.25">
      <c r="A260"/>
      <c r="B260"/>
      <c r="C260"/>
      <c r="D260"/>
      <c r="E260"/>
      <c r="F260"/>
      <c r="G260"/>
      <c r="H260"/>
      <c r="I260"/>
      <c r="J260"/>
      <c r="K260"/>
      <c r="L260"/>
      <c r="M260"/>
      <c r="N260"/>
      <c r="O260"/>
      <c r="P260"/>
      <c r="Q260"/>
      <c r="R260"/>
      <c r="S260"/>
      <c r="T260"/>
      <c r="U260"/>
      <c r="V260"/>
      <c r="W260"/>
      <c r="X260"/>
      <c r="Y260"/>
      <c r="Z260"/>
      <c r="AA260"/>
      <c r="AB260"/>
      <c r="AC260"/>
      <c r="AD260"/>
    </row>
    <row r="261" spans="1:30" s="82" customFormat="1" x14ac:dyDescent="0.25">
      <c r="A261"/>
      <c r="B261"/>
      <c r="C261"/>
      <c r="D261"/>
      <c r="E261"/>
      <c r="F261"/>
      <c r="G261"/>
      <c r="H261"/>
      <c r="I261"/>
      <c r="J261"/>
      <c r="K261"/>
      <c r="L261"/>
      <c r="M261"/>
      <c r="N261"/>
      <c r="O261"/>
      <c r="P261"/>
      <c r="Q261"/>
      <c r="R261"/>
      <c r="S261"/>
      <c r="T261"/>
      <c r="U261"/>
      <c r="V261"/>
      <c r="W261"/>
      <c r="X261"/>
      <c r="Y261"/>
      <c r="Z261"/>
      <c r="AA261"/>
      <c r="AB261"/>
      <c r="AC261"/>
      <c r="AD261"/>
    </row>
    <row r="262" spans="1:30" s="82" customFormat="1" x14ac:dyDescent="0.25">
      <c r="A262"/>
      <c r="B262"/>
      <c r="C262"/>
      <c r="D262"/>
      <c r="E262"/>
      <c r="F262"/>
      <c r="G262"/>
      <c r="H262"/>
      <c r="I262"/>
      <c r="J262"/>
      <c r="K262"/>
      <c r="L262"/>
      <c r="M262"/>
      <c r="N262"/>
      <c r="O262"/>
      <c r="P262"/>
      <c r="Q262"/>
      <c r="R262"/>
      <c r="S262"/>
      <c r="T262"/>
      <c r="U262"/>
      <c r="V262"/>
      <c r="W262"/>
      <c r="X262"/>
      <c r="Y262"/>
      <c r="Z262"/>
      <c r="AA262"/>
      <c r="AB262"/>
      <c r="AC262"/>
      <c r="AD262"/>
    </row>
    <row r="263" spans="1:30" s="82" customFormat="1" x14ac:dyDescent="0.25">
      <c r="A263"/>
      <c r="B263"/>
      <c r="C263"/>
      <c r="D263"/>
      <c r="E263"/>
      <c r="F263"/>
      <c r="G263"/>
      <c r="H263"/>
      <c r="I263"/>
      <c r="J263"/>
      <c r="K263"/>
      <c r="L263"/>
      <c r="M263"/>
      <c r="N263"/>
      <c r="O263"/>
      <c r="P263"/>
      <c r="Q263"/>
      <c r="R263"/>
      <c r="S263"/>
      <c r="T263"/>
      <c r="U263"/>
      <c r="V263"/>
      <c r="W263"/>
      <c r="X263"/>
      <c r="Y263"/>
      <c r="Z263"/>
      <c r="AA263"/>
      <c r="AB263"/>
      <c r="AC263"/>
      <c r="AD263"/>
    </row>
    <row r="264" spans="1:30" s="82" customFormat="1" x14ac:dyDescent="0.25">
      <c r="A264"/>
      <c r="B264"/>
      <c r="C264"/>
      <c r="D264"/>
      <c r="E264"/>
      <c r="F264"/>
      <c r="G264"/>
      <c r="H264"/>
      <c r="I264"/>
      <c r="J264"/>
      <c r="K264"/>
      <c r="L264"/>
      <c r="M264"/>
      <c r="N264"/>
      <c r="O264"/>
      <c r="P264"/>
      <c r="Q264"/>
      <c r="R264"/>
      <c r="S264"/>
      <c r="T264"/>
      <c r="U264"/>
      <c r="V264"/>
      <c r="W264"/>
      <c r="X264"/>
      <c r="Y264"/>
      <c r="Z264"/>
      <c r="AA264"/>
      <c r="AB264"/>
      <c r="AC264"/>
      <c r="AD264"/>
    </row>
    <row r="265" spans="1:30" s="82" customFormat="1" x14ac:dyDescent="0.25">
      <c r="A265"/>
      <c r="B265"/>
      <c r="C265"/>
      <c r="D265"/>
      <c r="E265"/>
      <c r="F265"/>
      <c r="G265"/>
      <c r="H265"/>
      <c r="I265"/>
      <c r="J265"/>
      <c r="K265"/>
      <c r="L265"/>
      <c r="M265"/>
      <c r="N265"/>
      <c r="O265"/>
      <c r="P265"/>
      <c r="Q265"/>
      <c r="R265"/>
      <c r="S265"/>
      <c r="T265"/>
      <c r="U265"/>
      <c r="V265"/>
      <c r="W265"/>
      <c r="X265"/>
      <c r="Y265"/>
      <c r="Z265"/>
      <c r="AA265"/>
      <c r="AB265"/>
      <c r="AC265"/>
      <c r="AD265"/>
    </row>
    <row r="266" spans="1:30" s="82" customFormat="1" x14ac:dyDescent="0.25">
      <c r="A266"/>
      <c r="B266"/>
      <c r="C266"/>
      <c r="D266"/>
      <c r="E266"/>
      <c r="F266"/>
      <c r="G266"/>
      <c r="H266"/>
      <c r="I266"/>
      <c r="J266"/>
      <c r="K266"/>
      <c r="L266"/>
      <c r="M266"/>
      <c r="N266"/>
      <c r="O266"/>
      <c r="P266"/>
      <c r="Q266"/>
      <c r="R266"/>
      <c r="S266"/>
      <c r="T266"/>
      <c r="U266"/>
      <c r="V266"/>
      <c r="W266"/>
      <c r="X266"/>
      <c r="Y266"/>
      <c r="Z266"/>
      <c r="AA266"/>
      <c r="AB266"/>
      <c r="AC266"/>
      <c r="AD266"/>
    </row>
    <row r="267" spans="1:30" s="82" customFormat="1" x14ac:dyDescent="0.25">
      <c r="A267"/>
      <c r="B267"/>
      <c r="C267"/>
      <c r="D267"/>
      <c r="E267"/>
      <c r="F267"/>
      <c r="G267"/>
      <c r="H267"/>
      <c r="I267"/>
      <c r="J267"/>
      <c r="K267"/>
      <c r="L267"/>
      <c r="M267"/>
      <c r="N267"/>
      <c r="O267"/>
      <c r="P267"/>
      <c r="Q267"/>
      <c r="R267"/>
      <c r="S267"/>
      <c r="T267"/>
      <c r="U267"/>
      <c r="V267"/>
      <c r="W267"/>
      <c r="X267"/>
      <c r="Y267"/>
      <c r="Z267"/>
      <c r="AA267"/>
      <c r="AB267"/>
      <c r="AC267"/>
      <c r="AD267"/>
    </row>
    <row r="268" spans="1:30" s="82" customFormat="1" x14ac:dyDescent="0.25">
      <c r="A268"/>
      <c r="B268"/>
      <c r="C268"/>
      <c r="D268"/>
      <c r="E268"/>
      <c r="F268"/>
      <c r="G268"/>
      <c r="H268"/>
      <c r="I268"/>
      <c r="J268"/>
      <c r="K268"/>
      <c r="L268"/>
      <c r="M268"/>
      <c r="N268"/>
      <c r="O268"/>
      <c r="P268"/>
      <c r="Q268"/>
      <c r="R268"/>
      <c r="S268"/>
      <c r="T268"/>
      <c r="U268"/>
      <c r="V268"/>
      <c r="W268"/>
      <c r="X268"/>
      <c r="Y268"/>
      <c r="Z268"/>
      <c r="AA268"/>
      <c r="AB268"/>
      <c r="AC268"/>
      <c r="AD268"/>
    </row>
    <row r="269" spans="1:30" s="82" customFormat="1" x14ac:dyDescent="0.25">
      <c r="A269"/>
      <c r="B269"/>
      <c r="C269"/>
      <c r="D269"/>
      <c r="E269"/>
      <c r="F269"/>
      <c r="G269"/>
      <c r="H269"/>
      <c r="I269"/>
      <c r="J269"/>
      <c r="K269"/>
      <c r="L269"/>
      <c r="M269"/>
      <c r="N269"/>
      <c r="O269"/>
      <c r="P269"/>
      <c r="Q269"/>
      <c r="R269"/>
      <c r="S269"/>
      <c r="T269"/>
      <c r="U269"/>
      <c r="V269"/>
      <c r="W269"/>
      <c r="X269"/>
      <c r="Y269"/>
      <c r="Z269"/>
      <c r="AA269"/>
      <c r="AB269"/>
      <c r="AC269"/>
      <c r="AD269"/>
    </row>
    <row r="270" spans="1:30" s="82" customFormat="1" x14ac:dyDescent="0.25">
      <c r="A270"/>
      <c r="B270"/>
      <c r="C270"/>
      <c r="D270"/>
      <c r="E270"/>
      <c r="F270"/>
      <c r="G270"/>
      <c r="H270"/>
      <c r="I270"/>
      <c r="J270"/>
      <c r="K270"/>
      <c r="L270"/>
      <c r="M270"/>
      <c r="N270"/>
      <c r="O270"/>
      <c r="P270"/>
      <c r="Q270"/>
      <c r="R270"/>
      <c r="S270"/>
      <c r="T270"/>
      <c r="U270"/>
      <c r="V270"/>
      <c r="W270"/>
      <c r="X270"/>
      <c r="Y270"/>
      <c r="Z270"/>
      <c r="AA270"/>
      <c r="AB270"/>
      <c r="AC270"/>
      <c r="AD270"/>
    </row>
    <row r="271" spans="1:30" s="82" customFormat="1" x14ac:dyDescent="0.25">
      <c r="A271"/>
      <c r="B271"/>
      <c r="C271"/>
      <c r="D271"/>
      <c r="E271"/>
      <c r="F271"/>
      <c r="G271"/>
      <c r="H271"/>
      <c r="I271"/>
      <c r="J271"/>
      <c r="K271"/>
      <c r="L271"/>
      <c r="M271"/>
      <c r="N271"/>
      <c r="O271"/>
      <c r="P271"/>
      <c r="Q271"/>
      <c r="R271"/>
      <c r="S271"/>
      <c r="T271"/>
      <c r="U271"/>
      <c r="V271"/>
      <c r="W271"/>
      <c r="X271"/>
      <c r="Y271"/>
      <c r="Z271"/>
      <c r="AA271"/>
      <c r="AB271"/>
      <c r="AC271"/>
      <c r="AD271"/>
    </row>
    <row r="272" spans="1:30" s="82" customFormat="1" x14ac:dyDescent="0.25">
      <c r="A272"/>
      <c r="B272"/>
      <c r="C272"/>
      <c r="D272"/>
      <c r="E272"/>
      <c r="F272"/>
      <c r="G272"/>
      <c r="H272"/>
      <c r="I272"/>
      <c r="J272"/>
      <c r="K272"/>
      <c r="L272"/>
      <c r="M272"/>
      <c r="N272"/>
      <c r="O272"/>
      <c r="P272"/>
      <c r="Q272"/>
      <c r="R272"/>
      <c r="S272"/>
      <c r="T272"/>
      <c r="U272"/>
      <c r="V272"/>
      <c r="W272"/>
      <c r="X272"/>
      <c r="Y272"/>
      <c r="Z272"/>
      <c r="AA272"/>
      <c r="AB272"/>
      <c r="AC272"/>
      <c r="AD272"/>
    </row>
    <row r="273" spans="1:30" s="82" customFormat="1" x14ac:dyDescent="0.25">
      <c r="A273"/>
      <c r="B273"/>
      <c r="C273"/>
      <c r="D273"/>
      <c r="E273"/>
      <c r="F273"/>
      <c r="G273"/>
      <c r="H273"/>
      <c r="I273"/>
      <c r="J273"/>
      <c r="K273"/>
      <c r="L273"/>
      <c r="M273"/>
      <c r="N273"/>
      <c r="O273"/>
      <c r="P273"/>
      <c r="Q273"/>
      <c r="R273"/>
      <c r="S273"/>
      <c r="T273"/>
      <c r="U273"/>
      <c r="V273"/>
      <c r="W273"/>
      <c r="X273"/>
      <c r="Y273"/>
      <c r="Z273"/>
      <c r="AA273"/>
      <c r="AB273"/>
      <c r="AC273"/>
      <c r="AD273"/>
    </row>
    <row r="274" spans="1:30" s="82" customFormat="1" x14ac:dyDescent="0.25">
      <c r="A274"/>
      <c r="B274"/>
      <c r="C274"/>
      <c r="D274"/>
      <c r="E274"/>
      <c r="F274"/>
      <c r="G274"/>
      <c r="H274"/>
      <c r="I274"/>
      <c r="J274"/>
      <c r="K274"/>
      <c r="L274"/>
      <c r="M274"/>
      <c r="N274"/>
      <c r="O274"/>
      <c r="P274"/>
      <c r="Q274"/>
      <c r="R274"/>
      <c r="S274"/>
      <c r="T274"/>
      <c r="U274"/>
      <c r="V274"/>
      <c r="W274"/>
      <c r="X274"/>
      <c r="Y274"/>
      <c r="Z274"/>
      <c r="AA274"/>
      <c r="AB274"/>
      <c r="AC274"/>
      <c r="AD274"/>
    </row>
    <row r="275" spans="1:30" s="82" customFormat="1" x14ac:dyDescent="0.25">
      <c r="A275"/>
      <c r="B275"/>
      <c r="C275"/>
      <c r="D275"/>
      <c r="E275"/>
      <c r="F275"/>
      <c r="G275"/>
      <c r="H275"/>
      <c r="I275"/>
      <c r="J275"/>
      <c r="K275"/>
      <c r="L275"/>
      <c r="M275"/>
      <c r="N275"/>
      <c r="O275"/>
      <c r="P275"/>
      <c r="Q275"/>
      <c r="R275"/>
      <c r="S275"/>
      <c r="T275"/>
      <c r="U275"/>
      <c r="V275"/>
      <c r="W275"/>
      <c r="X275"/>
      <c r="Y275"/>
      <c r="Z275"/>
      <c r="AA275"/>
      <c r="AB275"/>
      <c r="AC275"/>
      <c r="AD275"/>
    </row>
    <row r="276" spans="1:30" s="82" customFormat="1" x14ac:dyDescent="0.25">
      <c r="A276"/>
      <c r="B276"/>
      <c r="C276"/>
      <c r="D276"/>
      <c r="E276"/>
      <c r="F276"/>
      <c r="G276"/>
      <c r="H276"/>
      <c r="I276"/>
      <c r="J276"/>
      <c r="K276"/>
      <c r="L276"/>
      <c r="M276"/>
      <c r="N276"/>
      <c r="O276"/>
      <c r="P276"/>
      <c r="Q276"/>
      <c r="R276"/>
      <c r="S276"/>
      <c r="T276"/>
      <c r="U276"/>
      <c r="V276"/>
      <c r="W276"/>
      <c r="X276"/>
      <c r="Y276"/>
      <c r="Z276"/>
      <c r="AA276"/>
      <c r="AB276"/>
      <c r="AC276"/>
      <c r="AD276"/>
    </row>
    <row r="277" spans="1:30" s="82" customFormat="1" x14ac:dyDescent="0.25">
      <c r="A277"/>
      <c r="B277"/>
      <c r="C277"/>
      <c r="D277"/>
      <c r="E277"/>
      <c r="F277"/>
      <c r="G277"/>
      <c r="H277"/>
      <c r="I277"/>
      <c r="J277"/>
      <c r="K277"/>
      <c r="L277"/>
      <c r="M277"/>
      <c r="N277"/>
      <c r="O277"/>
      <c r="P277"/>
      <c r="Q277"/>
      <c r="R277"/>
      <c r="S277"/>
      <c r="T277"/>
      <c r="U277"/>
      <c r="V277"/>
      <c r="W277"/>
      <c r="X277"/>
      <c r="Y277"/>
      <c r="Z277"/>
      <c r="AA277"/>
      <c r="AB277"/>
      <c r="AC277"/>
      <c r="AD277"/>
    </row>
    <row r="278" spans="1:30" s="82" customFormat="1" x14ac:dyDescent="0.25">
      <c r="A278"/>
      <c r="B278"/>
      <c r="C278"/>
      <c r="D278"/>
      <c r="E278"/>
      <c r="F278"/>
      <c r="G278"/>
      <c r="H278"/>
      <c r="I278"/>
      <c r="J278"/>
      <c r="K278"/>
      <c r="L278"/>
      <c r="M278"/>
      <c r="N278"/>
      <c r="O278"/>
      <c r="P278"/>
      <c r="Q278"/>
      <c r="R278"/>
      <c r="S278"/>
      <c r="T278"/>
      <c r="U278"/>
      <c r="V278"/>
      <c r="W278"/>
      <c r="X278"/>
      <c r="Y278"/>
      <c r="Z278"/>
      <c r="AA278"/>
      <c r="AB278"/>
      <c r="AC278"/>
      <c r="AD278"/>
    </row>
    <row r="279" spans="1:30" s="82" customFormat="1" x14ac:dyDescent="0.25">
      <c r="A279"/>
      <c r="B279"/>
      <c r="C279"/>
      <c r="D279"/>
      <c r="E279"/>
      <c r="F279"/>
      <c r="G279"/>
      <c r="H279"/>
      <c r="I279"/>
      <c r="J279"/>
      <c r="K279"/>
      <c r="L279"/>
      <c r="M279"/>
      <c r="N279"/>
      <c r="O279"/>
      <c r="P279"/>
      <c r="Q279"/>
      <c r="R279"/>
      <c r="S279"/>
      <c r="T279"/>
      <c r="U279"/>
      <c r="V279"/>
      <c r="W279"/>
      <c r="X279"/>
      <c r="Y279"/>
      <c r="Z279"/>
      <c r="AA279"/>
      <c r="AB279"/>
      <c r="AC279"/>
      <c r="AD279"/>
    </row>
    <row r="280" spans="1:30" s="82" customFormat="1" x14ac:dyDescent="0.25">
      <c r="A280"/>
      <c r="B280"/>
      <c r="C280"/>
      <c r="D280"/>
      <c r="E280"/>
      <c r="F280"/>
      <c r="G280"/>
      <c r="H280"/>
      <c r="I280"/>
      <c r="J280"/>
      <c r="K280"/>
      <c r="L280"/>
      <c r="M280"/>
      <c r="N280"/>
      <c r="O280"/>
      <c r="P280"/>
      <c r="Q280"/>
      <c r="R280"/>
      <c r="S280"/>
      <c r="T280"/>
      <c r="U280"/>
      <c r="V280"/>
      <c r="W280"/>
      <c r="X280"/>
      <c r="Y280"/>
      <c r="Z280"/>
      <c r="AA280"/>
      <c r="AB280"/>
      <c r="AC280"/>
      <c r="AD280"/>
    </row>
    <row r="281" spans="1:30" s="82" customFormat="1" x14ac:dyDescent="0.25">
      <c r="A281"/>
      <c r="B281"/>
      <c r="C281"/>
      <c r="D281"/>
      <c r="E281"/>
      <c r="F281"/>
      <c r="G281"/>
      <c r="H281"/>
      <c r="I281"/>
      <c r="J281"/>
      <c r="K281"/>
      <c r="L281"/>
      <c r="M281"/>
      <c r="N281"/>
      <c r="O281"/>
      <c r="P281"/>
      <c r="Q281"/>
      <c r="R281"/>
      <c r="S281"/>
      <c r="T281"/>
      <c r="U281"/>
      <c r="V281"/>
      <c r="W281"/>
      <c r="X281"/>
      <c r="Y281"/>
      <c r="Z281"/>
      <c r="AA281"/>
      <c r="AB281"/>
      <c r="AC281"/>
      <c r="AD281"/>
    </row>
    <row r="282" spans="1:30" s="82" customFormat="1" x14ac:dyDescent="0.25">
      <c r="A282"/>
      <c r="B282"/>
      <c r="C282"/>
      <c r="D282"/>
      <c r="E282"/>
      <c r="F282"/>
      <c r="G282"/>
      <c r="H282"/>
      <c r="I282"/>
      <c r="J282"/>
      <c r="K282"/>
      <c r="L282"/>
      <c r="M282"/>
      <c r="N282"/>
      <c r="O282"/>
      <c r="P282"/>
      <c r="Q282"/>
      <c r="R282"/>
      <c r="S282"/>
      <c r="T282"/>
      <c r="U282"/>
      <c r="V282"/>
      <c r="W282"/>
      <c r="X282"/>
      <c r="Y282"/>
      <c r="Z282"/>
      <c r="AA282"/>
      <c r="AB282"/>
      <c r="AC282"/>
      <c r="AD282"/>
    </row>
    <row r="283" spans="1:30" s="82" customFormat="1" x14ac:dyDescent="0.25">
      <c r="A283"/>
      <c r="B283"/>
      <c r="C283"/>
      <c r="D283"/>
      <c r="E283"/>
      <c r="F283"/>
      <c r="G283"/>
      <c r="H283"/>
      <c r="I283"/>
      <c r="J283"/>
      <c r="K283"/>
      <c r="L283"/>
      <c r="M283"/>
      <c r="N283"/>
      <c r="O283"/>
      <c r="P283"/>
      <c r="Q283"/>
      <c r="R283"/>
      <c r="S283"/>
      <c r="T283"/>
      <c r="U283"/>
      <c r="V283"/>
      <c r="W283"/>
      <c r="X283"/>
      <c r="Y283"/>
      <c r="Z283"/>
      <c r="AA283"/>
      <c r="AB283"/>
      <c r="AC283"/>
      <c r="AD283"/>
    </row>
    <row r="284" spans="1:30" s="82" customFormat="1" x14ac:dyDescent="0.25">
      <c r="A284"/>
      <c r="B284"/>
      <c r="C284"/>
      <c r="D284"/>
      <c r="E284"/>
      <c r="F284"/>
      <c r="G284"/>
      <c r="H284"/>
      <c r="I284"/>
      <c r="J284"/>
      <c r="K284"/>
      <c r="L284"/>
      <c r="M284"/>
      <c r="N284"/>
      <c r="O284"/>
      <c r="P284"/>
      <c r="Q284"/>
      <c r="R284"/>
      <c r="S284"/>
      <c r="T284"/>
      <c r="U284"/>
      <c r="V284"/>
      <c r="W284"/>
      <c r="X284"/>
      <c r="Y284"/>
      <c r="Z284"/>
      <c r="AA284"/>
      <c r="AB284"/>
      <c r="AC284"/>
      <c r="AD284"/>
    </row>
    <row r="285" spans="1:30" s="82" customFormat="1" x14ac:dyDescent="0.25">
      <c r="A285"/>
      <c r="B285"/>
      <c r="C285"/>
      <c r="D285"/>
      <c r="E285"/>
      <c r="F285"/>
      <c r="G285"/>
      <c r="H285"/>
      <c r="I285"/>
      <c r="J285"/>
      <c r="K285"/>
      <c r="L285"/>
      <c r="M285"/>
      <c r="N285"/>
      <c r="O285"/>
      <c r="P285"/>
      <c r="Q285"/>
      <c r="R285"/>
      <c r="S285"/>
      <c r="T285"/>
      <c r="U285"/>
      <c r="V285"/>
      <c r="W285"/>
      <c r="X285"/>
      <c r="Y285"/>
      <c r="Z285"/>
      <c r="AA285"/>
      <c r="AB285"/>
      <c r="AC285"/>
      <c r="AD285"/>
    </row>
    <row r="286" spans="1:30" s="82" customFormat="1" x14ac:dyDescent="0.25">
      <c r="A286"/>
      <c r="B286"/>
      <c r="C286"/>
      <c r="D286"/>
      <c r="E286"/>
      <c r="F286"/>
      <c r="G286"/>
      <c r="H286"/>
      <c r="I286"/>
      <c r="J286"/>
      <c r="K286"/>
      <c r="L286"/>
      <c r="M286"/>
      <c r="N286"/>
      <c r="O286"/>
      <c r="P286"/>
      <c r="Q286"/>
      <c r="R286"/>
      <c r="S286"/>
      <c r="T286"/>
      <c r="U286"/>
      <c r="V286"/>
      <c r="W286"/>
      <c r="X286"/>
      <c r="Y286"/>
      <c r="Z286"/>
      <c r="AA286"/>
      <c r="AB286"/>
      <c r="AC286"/>
      <c r="AD286"/>
    </row>
    <row r="287" spans="1:30" s="82" customFormat="1" x14ac:dyDescent="0.25">
      <c r="A287"/>
      <c r="B287"/>
      <c r="C287"/>
      <c r="D287"/>
      <c r="E287"/>
      <c r="F287"/>
      <c r="G287"/>
      <c r="H287"/>
      <c r="I287"/>
      <c r="J287"/>
      <c r="K287"/>
      <c r="L287"/>
      <c r="M287"/>
      <c r="N287"/>
      <c r="O287"/>
      <c r="P287"/>
      <c r="Q287"/>
      <c r="R287"/>
      <c r="S287"/>
      <c r="T287"/>
      <c r="U287"/>
      <c r="V287"/>
      <c r="W287"/>
      <c r="X287"/>
      <c r="Y287"/>
      <c r="Z287"/>
      <c r="AA287"/>
      <c r="AB287"/>
      <c r="AC287"/>
      <c r="AD287"/>
    </row>
    <row r="288" spans="1:30" s="82" customFormat="1" x14ac:dyDescent="0.25">
      <c r="A288"/>
      <c r="B288"/>
      <c r="C288"/>
      <c r="D288"/>
      <c r="E288"/>
      <c r="F288"/>
      <c r="G288"/>
      <c r="H288"/>
      <c r="I288"/>
      <c r="J288"/>
      <c r="K288"/>
      <c r="L288"/>
      <c r="M288"/>
      <c r="N288"/>
      <c r="O288"/>
      <c r="P288"/>
      <c r="Q288"/>
      <c r="R288"/>
      <c r="S288"/>
      <c r="T288"/>
      <c r="U288"/>
      <c r="V288"/>
      <c r="W288"/>
      <c r="X288"/>
      <c r="Y288"/>
      <c r="Z288"/>
      <c r="AA288"/>
      <c r="AB288"/>
      <c r="AC288"/>
      <c r="AD288"/>
    </row>
    <row r="289" spans="1:30" s="82" customFormat="1" x14ac:dyDescent="0.25">
      <c r="A289"/>
      <c r="B289"/>
      <c r="C289"/>
      <c r="D289"/>
      <c r="E289"/>
      <c r="F289"/>
      <c r="G289"/>
      <c r="H289"/>
      <c r="I289"/>
      <c r="J289"/>
      <c r="K289"/>
      <c r="L289"/>
      <c r="M289"/>
      <c r="N289"/>
      <c r="O289"/>
      <c r="P289"/>
      <c r="Q289"/>
      <c r="R289"/>
      <c r="S289"/>
      <c r="T289"/>
      <c r="U289"/>
      <c r="V289"/>
      <c r="W289"/>
      <c r="X289"/>
      <c r="Y289"/>
      <c r="Z289"/>
      <c r="AA289"/>
      <c r="AB289"/>
      <c r="AC289"/>
      <c r="AD289"/>
    </row>
    <row r="290" spans="1:30" s="82" customFormat="1" x14ac:dyDescent="0.25">
      <c r="A290"/>
      <c r="B290"/>
      <c r="C290"/>
      <c r="D290"/>
      <c r="E290"/>
      <c r="F290"/>
      <c r="G290"/>
      <c r="H290"/>
      <c r="I290"/>
      <c r="J290"/>
      <c r="K290"/>
      <c r="L290"/>
      <c r="M290"/>
      <c r="N290"/>
      <c r="O290"/>
      <c r="P290"/>
      <c r="Q290"/>
      <c r="R290"/>
      <c r="S290"/>
      <c r="T290"/>
      <c r="U290"/>
      <c r="V290"/>
      <c r="W290"/>
      <c r="X290"/>
      <c r="Y290"/>
      <c r="Z290"/>
      <c r="AA290"/>
      <c r="AB290"/>
      <c r="AC290"/>
      <c r="AD290"/>
    </row>
    <row r="291" spans="1:30" s="82" customFormat="1" x14ac:dyDescent="0.25">
      <c r="A291"/>
      <c r="B291"/>
      <c r="C291"/>
      <c r="D291"/>
      <c r="E291"/>
      <c r="F291"/>
      <c r="G291"/>
      <c r="H291"/>
      <c r="I291"/>
      <c r="J291"/>
      <c r="K291"/>
      <c r="L291"/>
      <c r="M291"/>
      <c r="N291"/>
      <c r="O291"/>
      <c r="P291"/>
      <c r="Q291"/>
      <c r="R291"/>
      <c r="S291"/>
      <c r="T291"/>
      <c r="U291"/>
      <c r="V291"/>
      <c r="W291"/>
      <c r="X291"/>
      <c r="Y291"/>
      <c r="Z291"/>
      <c r="AA291"/>
      <c r="AB291"/>
      <c r="AC291"/>
      <c r="AD291"/>
    </row>
    <row r="292" spans="1:30" s="82" customFormat="1" x14ac:dyDescent="0.25">
      <c r="A292"/>
      <c r="B292"/>
      <c r="C292"/>
      <c r="D292"/>
      <c r="E292"/>
      <c r="F292"/>
      <c r="G292"/>
      <c r="H292"/>
      <c r="I292"/>
      <c r="J292"/>
      <c r="K292"/>
      <c r="L292"/>
      <c r="M292"/>
      <c r="N292"/>
      <c r="O292"/>
      <c r="P292"/>
      <c r="Q292"/>
      <c r="R292"/>
      <c r="S292"/>
      <c r="T292"/>
      <c r="U292"/>
      <c r="V292"/>
      <c r="W292"/>
      <c r="X292"/>
      <c r="Y292"/>
      <c r="Z292"/>
      <c r="AA292"/>
      <c r="AB292"/>
      <c r="AC292"/>
      <c r="AD292"/>
    </row>
    <row r="293" spans="1:30" s="82" customFormat="1" x14ac:dyDescent="0.25">
      <c r="A293"/>
      <c r="B293"/>
      <c r="C293"/>
      <c r="D293"/>
      <c r="E293"/>
      <c r="F293"/>
      <c r="G293"/>
      <c r="H293"/>
      <c r="I293"/>
      <c r="J293"/>
      <c r="K293"/>
      <c r="L293"/>
      <c r="M293"/>
      <c r="N293"/>
      <c r="O293"/>
      <c r="P293"/>
      <c r="Q293"/>
      <c r="R293"/>
      <c r="S293"/>
      <c r="T293"/>
      <c r="U293"/>
      <c r="V293"/>
      <c r="W293"/>
      <c r="X293"/>
      <c r="Y293"/>
      <c r="Z293"/>
      <c r="AA293"/>
      <c r="AB293"/>
      <c r="AC293"/>
      <c r="AD293"/>
    </row>
    <row r="294" spans="1:30" s="82" customFormat="1" x14ac:dyDescent="0.25">
      <c r="A294"/>
      <c r="B294"/>
      <c r="C294"/>
      <c r="D294"/>
      <c r="E294"/>
      <c r="F294"/>
      <c r="G294"/>
      <c r="H294"/>
      <c r="I294"/>
      <c r="J294"/>
      <c r="K294"/>
      <c r="L294"/>
      <c r="M294"/>
      <c r="N294"/>
      <c r="O294"/>
      <c r="P294"/>
      <c r="Q294"/>
      <c r="R294"/>
      <c r="S294"/>
      <c r="T294"/>
      <c r="U294"/>
      <c r="V294"/>
      <c r="W294"/>
      <c r="X294"/>
      <c r="Y294"/>
      <c r="Z294"/>
      <c r="AA294"/>
      <c r="AB294"/>
      <c r="AC294"/>
      <c r="AD294"/>
    </row>
    <row r="295" spans="1:30" s="82" customFormat="1" x14ac:dyDescent="0.25">
      <c r="A295"/>
      <c r="B295"/>
      <c r="C295"/>
      <c r="D295"/>
      <c r="E295"/>
      <c r="F295"/>
      <c r="G295"/>
      <c r="H295"/>
      <c r="I295"/>
      <c r="J295"/>
      <c r="K295"/>
      <c r="L295"/>
      <c r="M295"/>
      <c r="N295"/>
      <c r="O295"/>
      <c r="P295"/>
      <c r="Q295"/>
      <c r="R295"/>
      <c r="S295"/>
      <c r="T295"/>
      <c r="U295"/>
      <c r="V295"/>
      <c r="W295"/>
      <c r="X295"/>
      <c r="Y295"/>
      <c r="Z295"/>
      <c r="AA295"/>
      <c r="AB295"/>
      <c r="AC295"/>
      <c r="AD295"/>
    </row>
    <row r="296" spans="1:30" s="82" customFormat="1" x14ac:dyDescent="0.25">
      <c r="A296"/>
      <c r="B296"/>
      <c r="C296"/>
      <c r="D296"/>
      <c r="E296"/>
      <c r="F296"/>
      <c r="G296"/>
      <c r="H296"/>
      <c r="I296"/>
      <c r="J296"/>
      <c r="K296"/>
      <c r="L296"/>
      <c r="M296"/>
      <c r="N296"/>
      <c r="O296"/>
      <c r="P296"/>
      <c r="Q296"/>
      <c r="R296"/>
      <c r="S296"/>
      <c r="T296"/>
      <c r="U296"/>
      <c r="V296"/>
      <c r="W296"/>
      <c r="X296"/>
      <c r="Y296"/>
      <c r="Z296"/>
      <c r="AA296"/>
      <c r="AB296"/>
      <c r="AC296"/>
      <c r="AD296"/>
    </row>
    <row r="297" spans="1:30" s="82" customFormat="1" x14ac:dyDescent="0.25">
      <c r="A297"/>
      <c r="B297"/>
      <c r="C297"/>
      <c r="D297"/>
      <c r="E297"/>
      <c r="F297"/>
      <c r="G297"/>
      <c r="H297"/>
      <c r="I297"/>
      <c r="J297"/>
      <c r="K297"/>
      <c r="L297"/>
      <c r="M297"/>
      <c r="N297"/>
      <c r="O297"/>
      <c r="P297"/>
      <c r="Q297"/>
      <c r="R297"/>
      <c r="S297"/>
      <c r="T297"/>
      <c r="U297"/>
      <c r="V297"/>
      <c r="W297"/>
      <c r="X297"/>
      <c r="Y297"/>
      <c r="Z297"/>
      <c r="AA297"/>
      <c r="AB297"/>
      <c r="AC297"/>
      <c r="AD297"/>
    </row>
    <row r="298" spans="1:30" s="82" customFormat="1" x14ac:dyDescent="0.25">
      <c r="A298"/>
      <c r="B298"/>
      <c r="C298"/>
      <c r="D298"/>
      <c r="E298"/>
      <c r="F298"/>
      <c r="G298"/>
      <c r="H298"/>
      <c r="I298"/>
      <c r="J298"/>
      <c r="K298"/>
      <c r="L298"/>
      <c r="M298"/>
      <c r="N298"/>
      <c r="O298"/>
      <c r="P298"/>
      <c r="Q298"/>
      <c r="R298"/>
      <c r="S298"/>
      <c r="T298"/>
      <c r="U298"/>
      <c r="V298"/>
      <c r="W298"/>
      <c r="X298"/>
      <c r="Y298"/>
      <c r="Z298"/>
      <c r="AA298"/>
      <c r="AB298"/>
      <c r="AC298"/>
      <c r="AD298"/>
    </row>
    <row r="299" spans="1:30" s="82" customFormat="1" x14ac:dyDescent="0.25">
      <c r="A299"/>
      <c r="B299"/>
      <c r="C299"/>
      <c r="D299"/>
      <c r="E299"/>
      <c r="F299"/>
      <c r="G299"/>
      <c r="H299"/>
      <c r="I299"/>
      <c r="J299"/>
      <c r="K299"/>
      <c r="L299"/>
      <c r="M299"/>
      <c r="N299"/>
      <c r="O299"/>
      <c r="P299"/>
      <c r="Q299"/>
      <c r="R299"/>
      <c r="S299"/>
      <c r="T299"/>
      <c r="U299"/>
      <c r="V299"/>
      <c r="W299"/>
      <c r="X299"/>
      <c r="Y299"/>
      <c r="Z299"/>
      <c r="AA299"/>
      <c r="AB299"/>
      <c r="AC299"/>
      <c r="AD299"/>
    </row>
    <row r="300" spans="1:30" s="82" customFormat="1" x14ac:dyDescent="0.25">
      <c r="A300"/>
      <c r="B300"/>
      <c r="C300"/>
      <c r="D300"/>
      <c r="E300"/>
      <c r="F300"/>
      <c r="G300"/>
      <c r="H300"/>
      <c r="I300"/>
      <c r="J300"/>
      <c r="K300"/>
      <c r="L300"/>
      <c r="M300"/>
      <c r="N300"/>
      <c r="O300"/>
      <c r="P300"/>
      <c r="Q300"/>
      <c r="R300"/>
      <c r="S300"/>
      <c r="T300"/>
      <c r="U300"/>
      <c r="V300"/>
      <c r="W300"/>
      <c r="X300"/>
      <c r="Y300"/>
      <c r="Z300"/>
      <c r="AA300"/>
      <c r="AB300"/>
      <c r="AC300"/>
      <c r="AD300"/>
    </row>
    <row r="301" spans="1:30" s="82" customFormat="1" x14ac:dyDescent="0.25">
      <c r="A301"/>
      <c r="B301"/>
      <c r="C301"/>
      <c r="D301"/>
      <c r="E301"/>
      <c r="F301"/>
      <c r="G301"/>
      <c r="H301"/>
      <c r="I301"/>
      <c r="J301"/>
      <c r="K301"/>
      <c r="L301"/>
      <c r="M301"/>
      <c r="N301"/>
      <c r="O301"/>
      <c r="P301"/>
      <c r="Q301"/>
      <c r="R301"/>
      <c r="S301"/>
      <c r="T301"/>
      <c r="U301"/>
      <c r="V301"/>
      <c r="W301"/>
      <c r="X301"/>
      <c r="Y301"/>
      <c r="Z301"/>
      <c r="AA301"/>
      <c r="AB301"/>
      <c r="AC301"/>
      <c r="AD301"/>
    </row>
    <row r="302" spans="1:30" s="82" customFormat="1" x14ac:dyDescent="0.25">
      <c r="A302"/>
      <c r="B302"/>
      <c r="C302"/>
      <c r="D302"/>
      <c r="E302"/>
      <c r="F302"/>
      <c r="G302"/>
      <c r="H302"/>
      <c r="I302"/>
      <c r="J302"/>
      <c r="K302"/>
      <c r="L302"/>
      <c r="M302"/>
      <c r="N302"/>
      <c r="O302"/>
      <c r="P302"/>
      <c r="Q302"/>
      <c r="R302"/>
      <c r="S302"/>
      <c r="T302"/>
      <c r="U302"/>
      <c r="V302"/>
      <c r="W302"/>
      <c r="X302"/>
      <c r="Y302"/>
      <c r="Z302"/>
      <c r="AA302"/>
      <c r="AB302"/>
      <c r="AC302"/>
      <c r="AD302"/>
    </row>
    <row r="303" spans="1:30" s="82" customFormat="1" x14ac:dyDescent="0.25">
      <c r="A303"/>
      <c r="B303"/>
      <c r="C303"/>
      <c r="D303"/>
      <c r="E303"/>
      <c r="F303"/>
      <c r="G303"/>
      <c r="H303"/>
      <c r="I303"/>
      <c r="J303"/>
      <c r="K303"/>
      <c r="L303"/>
      <c r="M303"/>
      <c r="N303"/>
      <c r="O303"/>
      <c r="P303"/>
      <c r="Q303"/>
      <c r="R303"/>
      <c r="S303"/>
      <c r="T303"/>
      <c r="U303"/>
      <c r="V303"/>
      <c r="W303"/>
      <c r="X303"/>
      <c r="Y303"/>
      <c r="Z303"/>
      <c r="AA303"/>
      <c r="AB303"/>
      <c r="AC303"/>
      <c r="AD303"/>
    </row>
    <row r="304" spans="1:30" s="82" customFormat="1" x14ac:dyDescent="0.25">
      <c r="A304"/>
      <c r="B304"/>
      <c r="C304"/>
      <c r="D304"/>
      <c r="E304"/>
      <c r="F304"/>
      <c r="G304"/>
      <c r="H304"/>
      <c r="I304"/>
      <c r="J304"/>
      <c r="K304"/>
      <c r="L304"/>
      <c r="M304"/>
      <c r="N304"/>
      <c r="O304"/>
      <c r="P304"/>
      <c r="Q304"/>
      <c r="R304"/>
      <c r="S304"/>
      <c r="T304"/>
      <c r="U304"/>
      <c r="V304"/>
      <c r="W304"/>
      <c r="X304"/>
      <c r="Y304"/>
      <c r="Z304"/>
      <c r="AA304"/>
      <c r="AB304"/>
      <c r="AC304"/>
      <c r="AD304"/>
    </row>
    <row r="305" spans="1:30" s="82" customFormat="1" x14ac:dyDescent="0.25">
      <c r="A305"/>
      <c r="B305"/>
      <c r="C305"/>
      <c r="D305"/>
      <c r="E305"/>
      <c r="F305"/>
      <c r="G305"/>
      <c r="H305"/>
      <c r="I305"/>
      <c r="J305"/>
      <c r="K305"/>
      <c r="L305"/>
      <c r="M305"/>
      <c r="N305"/>
      <c r="O305"/>
      <c r="P305"/>
      <c r="Q305"/>
      <c r="R305"/>
      <c r="S305"/>
      <c r="T305"/>
      <c r="U305"/>
      <c r="V305"/>
      <c r="W305"/>
      <c r="X305"/>
      <c r="Y305"/>
      <c r="Z305"/>
      <c r="AA305"/>
      <c r="AB305"/>
      <c r="AC305"/>
      <c r="AD305"/>
    </row>
    <row r="306" spans="1:30" s="82" customFormat="1" x14ac:dyDescent="0.25">
      <c r="A306"/>
      <c r="B306"/>
      <c r="C306"/>
      <c r="D306"/>
      <c r="E306"/>
      <c r="F306"/>
      <c r="G306"/>
      <c r="H306"/>
      <c r="I306"/>
      <c r="J306"/>
      <c r="K306"/>
      <c r="L306"/>
      <c r="M306"/>
      <c r="N306"/>
      <c r="O306"/>
      <c r="P306"/>
      <c r="Q306"/>
      <c r="R306"/>
      <c r="S306"/>
      <c r="T306"/>
      <c r="U306"/>
      <c r="V306"/>
      <c r="W306"/>
      <c r="X306"/>
      <c r="Y306"/>
      <c r="Z306"/>
      <c r="AA306"/>
      <c r="AB306"/>
      <c r="AC306"/>
      <c r="AD306"/>
    </row>
    <row r="307" spans="1:30" s="82" customFormat="1" x14ac:dyDescent="0.25">
      <c r="A307"/>
      <c r="B307"/>
      <c r="C307"/>
      <c r="D307"/>
      <c r="E307"/>
      <c r="F307"/>
      <c r="G307"/>
      <c r="H307"/>
      <c r="I307"/>
      <c r="J307"/>
      <c r="K307"/>
      <c r="L307"/>
      <c r="M307"/>
      <c r="N307"/>
      <c r="O307"/>
      <c r="P307"/>
      <c r="Q307"/>
      <c r="R307"/>
      <c r="S307"/>
      <c r="T307"/>
      <c r="U307"/>
      <c r="V307"/>
      <c r="W307"/>
      <c r="X307"/>
      <c r="Y307"/>
      <c r="Z307"/>
      <c r="AA307"/>
      <c r="AB307"/>
      <c r="AC307"/>
      <c r="AD307"/>
    </row>
    <row r="308" spans="1:30" s="82" customFormat="1" x14ac:dyDescent="0.25">
      <c r="A308"/>
      <c r="B308"/>
      <c r="C308"/>
      <c r="D308"/>
      <c r="E308"/>
      <c r="F308"/>
      <c r="G308"/>
      <c r="H308"/>
      <c r="I308"/>
      <c r="J308"/>
      <c r="K308"/>
      <c r="L308"/>
      <c r="M308"/>
      <c r="N308"/>
      <c r="O308"/>
      <c r="P308"/>
      <c r="Q308"/>
      <c r="R308"/>
      <c r="S308"/>
      <c r="T308"/>
      <c r="U308"/>
      <c r="V308"/>
      <c r="W308"/>
      <c r="X308"/>
      <c r="Y308"/>
      <c r="Z308"/>
      <c r="AA308"/>
      <c r="AB308"/>
      <c r="AC308"/>
      <c r="AD308"/>
    </row>
    <row r="309" spans="1:30" s="82" customFormat="1" x14ac:dyDescent="0.25">
      <c r="A309"/>
      <c r="B309"/>
      <c r="C309"/>
      <c r="D309"/>
      <c r="E309"/>
      <c r="F309"/>
      <c r="G309"/>
      <c r="H309"/>
      <c r="I309"/>
      <c r="J309"/>
      <c r="K309"/>
      <c r="L309"/>
      <c r="M309"/>
      <c r="N309"/>
      <c r="O309"/>
      <c r="P309"/>
      <c r="Q309"/>
      <c r="R309"/>
      <c r="S309"/>
      <c r="T309"/>
      <c r="U309"/>
      <c r="V309"/>
      <c r="W309"/>
      <c r="X309"/>
      <c r="Y309"/>
      <c r="Z309"/>
      <c r="AA309"/>
      <c r="AB309"/>
      <c r="AC309"/>
      <c r="AD309"/>
    </row>
    <row r="310" spans="1:30" s="82" customFormat="1" x14ac:dyDescent="0.25">
      <c r="A310"/>
      <c r="B310"/>
      <c r="C310"/>
      <c r="D310"/>
      <c r="E310"/>
      <c r="F310"/>
      <c r="G310"/>
      <c r="H310"/>
      <c r="I310"/>
      <c r="J310"/>
      <c r="K310"/>
      <c r="L310"/>
      <c r="M310"/>
      <c r="N310"/>
      <c r="O310"/>
      <c r="P310"/>
      <c r="Q310"/>
      <c r="R310"/>
      <c r="S310"/>
      <c r="T310"/>
      <c r="U310"/>
      <c r="V310"/>
      <c r="W310"/>
      <c r="X310"/>
      <c r="Y310"/>
      <c r="Z310"/>
      <c r="AA310"/>
      <c r="AB310"/>
      <c r="AC310"/>
      <c r="AD310"/>
    </row>
    <row r="311" spans="1:30" s="82" customFormat="1" x14ac:dyDescent="0.25">
      <c r="A311"/>
      <c r="B311"/>
      <c r="C311"/>
      <c r="D311"/>
      <c r="E311"/>
      <c r="F311"/>
      <c r="G311"/>
      <c r="H311"/>
      <c r="I311"/>
      <c r="J311"/>
      <c r="K311"/>
      <c r="L311"/>
      <c r="M311"/>
      <c r="N311"/>
      <c r="O311"/>
      <c r="P311"/>
      <c r="Q311"/>
      <c r="R311"/>
      <c r="S311"/>
      <c r="T311"/>
      <c r="U311"/>
      <c r="V311"/>
      <c r="W311"/>
      <c r="X311"/>
      <c r="Y311"/>
      <c r="Z311"/>
      <c r="AA311"/>
      <c r="AB311"/>
      <c r="AC311"/>
      <c r="AD311"/>
    </row>
    <row r="312" spans="1:30" s="82" customFormat="1" x14ac:dyDescent="0.25">
      <c r="A312"/>
      <c r="B312"/>
      <c r="C312"/>
      <c r="D312"/>
      <c r="E312"/>
      <c r="F312"/>
      <c r="G312"/>
      <c r="H312"/>
      <c r="I312"/>
      <c r="J312"/>
      <c r="K312"/>
      <c r="L312"/>
      <c r="M312"/>
      <c r="N312"/>
      <c r="O312"/>
      <c r="P312"/>
      <c r="Q312"/>
      <c r="R312"/>
      <c r="S312"/>
      <c r="T312"/>
      <c r="U312"/>
      <c r="V312"/>
      <c r="W312"/>
      <c r="X312"/>
      <c r="Y312"/>
      <c r="Z312"/>
      <c r="AA312"/>
      <c r="AB312"/>
      <c r="AC312"/>
      <c r="AD312"/>
    </row>
    <row r="313" spans="1:30" s="82" customFormat="1" x14ac:dyDescent="0.25">
      <c r="A313"/>
      <c r="B313"/>
      <c r="C313"/>
      <c r="D313"/>
      <c r="E313"/>
      <c r="F313"/>
      <c r="G313"/>
      <c r="H313"/>
      <c r="I313"/>
      <c r="J313"/>
      <c r="K313"/>
      <c r="L313"/>
      <c r="M313"/>
      <c r="N313"/>
      <c r="O313"/>
      <c r="P313"/>
      <c r="Q313"/>
      <c r="R313"/>
      <c r="S313"/>
      <c r="T313"/>
      <c r="U313"/>
      <c r="V313"/>
      <c r="W313"/>
      <c r="X313"/>
      <c r="Y313"/>
      <c r="Z313"/>
      <c r="AA313"/>
      <c r="AB313"/>
      <c r="AC313"/>
      <c r="AD313"/>
    </row>
    <row r="314" spans="1:30" s="82" customFormat="1" x14ac:dyDescent="0.25">
      <c r="A314"/>
      <c r="B314"/>
      <c r="C314"/>
      <c r="D314"/>
      <c r="E314"/>
      <c r="F314"/>
      <c r="G314"/>
      <c r="H314"/>
      <c r="I314"/>
      <c r="J314"/>
      <c r="K314"/>
      <c r="L314"/>
      <c r="M314"/>
      <c r="N314"/>
      <c r="O314"/>
      <c r="P314"/>
      <c r="Q314"/>
      <c r="R314"/>
      <c r="S314"/>
      <c r="T314"/>
      <c r="U314"/>
      <c r="V314"/>
      <c r="W314"/>
      <c r="X314"/>
      <c r="Y314"/>
      <c r="Z314"/>
      <c r="AA314"/>
      <c r="AB314"/>
      <c r="AC314"/>
      <c r="AD314"/>
    </row>
    <row r="315" spans="1:30" s="82" customFormat="1" x14ac:dyDescent="0.25">
      <c r="A315"/>
      <c r="B315"/>
      <c r="C315"/>
      <c r="D315"/>
      <c r="E315"/>
      <c r="F315"/>
      <c r="G315"/>
      <c r="H315"/>
      <c r="I315"/>
      <c r="J315"/>
      <c r="K315"/>
      <c r="L315"/>
      <c r="M315"/>
      <c r="N315"/>
      <c r="O315"/>
      <c r="P315"/>
      <c r="Q315"/>
      <c r="R315"/>
      <c r="S315"/>
      <c r="T315"/>
      <c r="U315"/>
      <c r="V315"/>
      <c r="W315"/>
      <c r="X315"/>
      <c r="Y315"/>
      <c r="Z315"/>
      <c r="AA315"/>
      <c r="AB315"/>
      <c r="AC315"/>
      <c r="AD315"/>
    </row>
    <row r="316" spans="1:30" s="82" customFormat="1" x14ac:dyDescent="0.25">
      <c r="A316"/>
      <c r="B316"/>
      <c r="C316"/>
      <c r="D316"/>
      <c r="E316"/>
      <c r="F316"/>
      <c r="G316"/>
      <c r="H316"/>
      <c r="I316"/>
      <c r="J316"/>
      <c r="K316"/>
      <c r="L316"/>
      <c r="M316"/>
      <c r="N316"/>
      <c r="O316"/>
      <c r="P316"/>
      <c r="Q316"/>
      <c r="R316"/>
      <c r="S316"/>
      <c r="T316"/>
      <c r="U316"/>
      <c r="V316"/>
      <c r="W316"/>
      <c r="X316"/>
      <c r="Y316"/>
      <c r="Z316"/>
      <c r="AA316"/>
      <c r="AB316"/>
      <c r="AC316"/>
      <c r="AD316"/>
    </row>
    <row r="317" spans="1:30" s="82" customFormat="1" x14ac:dyDescent="0.25">
      <c r="A317"/>
      <c r="B317"/>
      <c r="C317"/>
      <c r="D317"/>
      <c r="E317"/>
      <c r="F317"/>
      <c r="G317"/>
      <c r="H317"/>
      <c r="I317"/>
      <c r="J317"/>
      <c r="K317"/>
      <c r="L317"/>
      <c r="M317"/>
      <c r="N317"/>
      <c r="O317"/>
      <c r="P317"/>
      <c r="Q317"/>
      <c r="R317"/>
      <c r="S317"/>
      <c r="T317"/>
      <c r="U317"/>
      <c r="V317"/>
      <c r="W317"/>
      <c r="X317"/>
      <c r="Y317"/>
      <c r="Z317"/>
      <c r="AA317"/>
      <c r="AB317"/>
      <c r="AC317"/>
      <c r="AD317"/>
    </row>
    <row r="318" spans="1:30" s="82" customFormat="1" x14ac:dyDescent="0.25">
      <c r="A318"/>
      <c r="B318"/>
      <c r="C318"/>
      <c r="D318"/>
      <c r="E318"/>
      <c r="F318"/>
      <c r="G318"/>
      <c r="H318"/>
      <c r="I318"/>
      <c r="J318"/>
      <c r="K318"/>
      <c r="L318"/>
      <c r="M318"/>
      <c r="N318"/>
      <c r="O318"/>
      <c r="P318"/>
      <c r="Q318"/>
      <c r="R318"/>
      <c r="S318"/>
      <c r="T318"/>
      <c r="U318"/>
      <c r="V318"/>
      <c r="W318"/>
      <c r="X318"/>
      <c r="Y318"/>
      <c r="Z318"/>
      <c r="AA318"/>
      <c r="AB318"/>
      <c r="AC318"/>
      <c r="AD318"/>
    </row>
    <row r="319" spans="1:30" s="82" customFormat="1" x14ac:dyDescent="0.25">
      <c r="A319"/>
      <c r="B319"/>
      <c r="C319"/>
      <c r="D319"/>
      <c r="E319"/>
      <c r="F319"/>
      <c r="G319"/>
      <c r="H319"/>
      <c r="I319"/>
      <c r="J319"/>
      <c r="K319"/>
      <c r="L319"/>
      <c r="M319"/>
      <c r="N319"/>
      <c r="O319"/>
      <c r="P319"/>
      <c r="Q319"/>
      <c r="R319"/>
      <c r="S319"/>
      <c r="T319"/>
      <c r="U319"/>
      <c r="V319"/>
      <c r="W319"/>
      <c r="X319"/>
      <c r="Y319"/>
      <c r="Z319"/>
      <c r="AA319"/>
      <c r="AB319"/>
      <c r="AC319"/>
      <c r="AD319"/>
    </row>
    <row r="320" spans="1:30" s="82" customFormat="1" x14ac:dyDescent="0.25">
      <c r="A320"/>
      <c r="B320"/>
      <c r="C320"/>
      <c r="D320"/>
      <c r="E320"/>
      <c r="F320"/>
      <c r="G320"/>
      <c r="H320"/>
      <c r="I320"/>
      <c r="J320"/>
      <c r="K320"/>
      <c r="L320"/>
      <c r="M320"/>
      <c r="N320"/>
      <c r="O320"/>
      <c r="P320"/>
      <c r="Q320"/>
      <c r="R320"/>
      <c r="S320"/>
      <c r="T320"/>
      <c r="U320"/>
      <c r="V320"/>
      <c r="W320"/>
      <c r="X320"/>
      <c r="Y320"/>
      <c r="Z320"/>
      <c r="AA320"/>
      <c r="AB320"/>
      <c r="AC320"/>
      <c r="AD320"/>
    </row>
    <row r="321" spans="1:30" s="82" customFormat="1" x14ac:dyDescent="0.25">
      <c r="A321"/>
      <c r="B321"/>
      <c r="C321"/>
      <c r="D321"/>
      <c r="E321"/>
      <c r="F321"/>
      <c r="G321"/>
      <c r="H321"/>
      <c r="I321"/>
      <c r="J321"/>
      <c r="K321"/>
      <c r="L321"/>
      <c r="M321"/>
      <c r="N321"/>
      <c r="O321"/>
      <c r="P321"/>
      <c r="Q321"/>
      <c r="R321"/>
      <c r="S321"/>
      <c r="T321"/>
      <c r="U321"/>
      <c r="V321"/>
      <c r="W321"/>
      <c r="X321"/>
      <c r="Y321"/>
      <c r="Z321"/>
      <c r="AA321"/>
      <c r="AB321"/>
      <c r="AC321"/>
      <c r="AD321"/>
    </row>
    <row r="322" spans="1:30" s="82" customFormat="1" x14ac:dyDescent="0.25">
      <c r="A322"/>
      <c r="B322"/>
      <c r="C322"/>
      <c r="D322"/>
      <c r="E322"/>
      <c r="F322"/>
      <c r="G322"/>
      <c r="H322"/>
      <c r="I322"/>
      <c r="J322"/>
      <c r="K322"/>
      <c r="L322"/>
      <c r="M322"/>
      <c r="N322"/>
      <c r="O322"/>
      <c r="P322"/>
      <c r="Q322"/>
      <c r="R322"/>
      <c r="S322"/>
      <c r="T322"/>
      <c r="U322"/>
      <c r="V322"/>
      <c r="W322"/>
      <c r="X322"/>
      <c r="Y322"/>
      <c r="Z322"/>
      <c r="AA322"/>
      <c r="AB322"/>
      <c r="AC322"/>
      <c r="AD322"/>
    </row>
    <row r="323" spans="1:30" s="82" customFormat="1" x14ac:dyDescent="0.25">
      <c r="A323"/>
      <c r="B323"/>
      <c r="C323"/>
      <c r="D323"/>
      <c r="E323"/>
      <c r="F323"/>
      <c r="G323"/>
      <c r="H323"/>
      <c r="I323"/>
      <c r="J323"/>
      <c r="K323"/>
      <c r="L323"/>
      <c r="M323"/>
      <c r="N323"/>
      <c r="O323"/>
      <c r="P323"/>
      <c r="Q323"/>
      <c r="R323"/>
      <c r="S323"/>
      <c r="T323"/>
      <c r="U323"/>
      <c r="V323"/>
      <c r="W323"/>
      <c r="X323"/>
      <c r="Y323"/>
      <c r="Z323"/>
      <c r="AA323"/>
      <c r="AB323"/>
      <c r="AC323"/>
      <c r="AD323"/>
    </row>
    <row r="324" spans="1:30" s="82" customFormat="1" x14ac:dyDescent="0.25">
      <c r="A324"/>
      <c r="B324"/>
      <c r="C324"/>
      <c r="D324"/>
      <c r="E324"/>
      <c r="F324"/>
      <c r="G324"/>
      <c r="H324"/>
      <c r="I324"/>
      <c r="J324"/>
      <c r="K324"/>
      <c r="L324"/>
      <c r="M324"/>
      <c r="N324"/>
      <c r="O324"/>
      <c r="P324"/>
      <c r="Q324"/>
      <c r="R324"/>
      <c r="S324"/>
      <c r="T324"/>
      <c r="U324"/>
      <c r="V324"/>
      <c r="W324"/>
      <c r="X324"/>
      <c r="Y324"/>
      <c r="Z324"/>
      <c r="AA324"/>
      <c r="AB324"/>
      <c r="AC324"/>
      <c r="AD324"/>
    </row>
    <row r="325" spans="1:30" s="82" customFormat="1" x14ac:dyDescent="0.25">
      <c r="A325"/>
      <c r="B325"/>
      <c r="C325"/>
      <c r="D325"/>
      <c r="E325"/>
      <c r="F325"/>
      <c r="G325"/>
      <c r="H325"/>
      <c r="I325"/>
      <c r="J325"/>
      <c r="K325"/>
      <c r="L325"/>
      <c r="M325"/>
      <c r="N325"/>
      <c r="O325"/>
      <c r="P325"/>
      <c r="Q325"/>
      <c r="R325"/>
      <c r="S325"/>
      <c r="T325"/>
      <c r="U325"/>
      <c r="V325"/>
      <c r="W325"/>
      <c r="X325"/>
      <c r="Y325"/>
      <c r="Z325"/>
      <c r="AA325"/>
      <c r="AB325"/>
      <c r="AC325"/>
      <c r="AD325"/>
    </row>
    <row r="326" spans="1:30" s="82" customFormat="1" x14ac:dyDescent="0.25">
      <c r="A326"/>
      <c r="B326"/>
      <c r="C326"/>
      <c r="D326"/>
      <c r="E326"/>
      <c r="F326"/>
      <c r="G326"/>
      <c r="H326"/>
      <c r="I326"/>
      <c r="J326"/>
      <c r="K326"/>
      <c r="L326"/>
      <c r="M326"/>
      <c r="N326"/>
      <c r="O326"/>
      <c r="P326"/>
      <c r="Q326"/>
      <c r="R326"/>
      <c r="S326"/>
      <c r="T326"/>
      <c r="U326"/>
      <c r="V326"/>
      <c r="W326"/>
      <c r="X326"/>
      <c r="Y326"/>
      <c r="Z326"/>
      <c r="AA326"/>
      <c r="AB326"/>
      <c r="AC326"/>
      <c r="AD326"/>
    </row>
    <row r="327" spans="1:30" s="82" customFormat="1" x14ac:dyDescent="0.25">
      <c r="A327"/>
      <c r="B327"/>
      <c r="C327"/>
      <c r="D327"/>
      <c r="E327"/>
      <c r="F327"/>
      <c r="G327"/>
      <c r="H327"/>
      <c r="I327"/>
      <c r="J327"/>
      <c r="K327"/>
      <c r="L327"/>
      <c r="M327"/>
      <c r="N327"/>
      <c r="O327"/>
      <c r="P327"/>
      <c r="Q327"/>
      <c r="R327"/>
      <c r="S327"/>
      <c r="T327"/>
      <c r="U327"/>
      <c r="V327"/>
      <c r="W327"/>
      <c r="X327"/>
      <c r="Y327"/>
      <c r="Z327"/>
      <c r="AA327"/>
      <c r="AB327"/>
      <c r="AC327"/>
      <c r="AD327"/>
    </row>
    <row r="328" spans="1:30" s="82" customFormat="1" x14ac:dyDescent="0.25">
      <c r="A328"/>
      <c r="B328"/>
      <c r="C328"/>
      <c r="D328"/>
      <c r="E328"/>
      <c r="F328"/>
      <c r="G328"/>
      <c r="H328"/>
      <c r="I328"/>
      <c r="J328"/>
      <c r="K328"/>
      <c r="L328"/>
      <c r="M328"/>
      <c r="N328"/>
      <c r="O328"/>
      <c r="P328"/>
      <c r="Q328"/>
      <c r="R328"/>
      <c r="S328"/>
      <c r="T328"/>
      <c r="U328"/>
      <c r="V328"/>
      <c r="W328"/>
      <c r="X328"/>
      <c r="Y328"/>
      <c r="Z328"/>
      <c r="AA328"/>
      <c r="AB328"/>
      <c r="AC328"/>
      <c r="AD328"/>
    </row>
    <row r="329" spans="1:30" s="82" customFormat="1" x14ac:dyDescent="0.25">
      <c r="A329"/>
      <c r="B329"/>
      <c r="C329"/>
      <c r="D329"/>
      <c r="E329"/>
      <c r="F329"/>
      <c r="G329"/>
      <c r="H329"/>
      <c r="I329"/>
      <c r="J329"/>
      <c r="K329"/>
      <c r="L329"/>
      <c r="M329"/>
      <c r="N329"/>
      <c r="O329"/>
      <c r="P329"/>
      <c r="Q329"/>
      <c r="R329"/>
      <c r="S329"/>
      <c r="T329"/>
      <c r="U329"/>
      <c r="V329"/>
      <c r="W329"/>
      <c r="X329"/>
      <c r="Y329"/>
      <c r="Z329"/>
      <c r="AA329"/>
      <c r="AB329"/>
      <c r="AC329"/>
      <c r="AD329"/>
    </row>
    <row r="330" spans="1:30" s="82" customFormat="1" x14ac:dyDescent="0.25">
      <c r="A330"/>
      <c r="B330"/>
      <c r="C330"/>
      <c r="D330"/>
      <c r="E330"/>
      <c r="F330"/>
      <c r="G330"/>
      <c r="H330"/>
      <c r="I330"/>
      <c r="J330"/>
      <c r="K330"/>
      <c r="L330"/>
      <c r="M330"/>
      <c r="N330"/>
      <c r="O330"/>
      <c r="P330"/>
      <c r="Q330"/>
      <c r="R330"/>
      <c r="S330"/>
      <c r="T330"/>
      <c r="U330"/>
      <c r="V330"/>
      <c r="W330"/>
      <c r="X330"/>
      <c r="Y330"/>
      <c r="Z330"/>
      <c r="AA330"/>
      <c r="AB330"/>
      <c r="AC330"/>
      <c r="AD330"/>
    </row>
    <row r="331" spans="1:30" s="82" customFormat="1" x14ac:dyDescent="0.25">
      <c r="A331"/>
      <c r="B331"/>
      <c r="C331"/>
      <c r="D331"/>
      <c r="E331"/>
      <c r="F331"/>
      <c r="G331"/>
      <c r="H331"/>
      <c r="I331"/>
      <c r="J331"/>
      <c r="K331"/>
      <c r="L331"/>
      <c r="M331"/>
      <c r="N331"/>
      <c r="O331"/>
      <c r="P331"/>
      <c r="Q331"/>
      <c r="R331"/>
      <c r="S331"/>
      <c r="T331"/>
      <c r="U331"/>
      <c r="V331"/>
      <c r="W331"/>
      <c r="X331"/>
      <c r="Y331"/>
      <c r="Z331"/>
      <c r="AA331"/>
      <c r="AB331"/>
      <c r="AC331"/>
      <c r="AD331"/>
    </row>
    <row r="332" spans="1:30" s="82" customFormat="1" x14ac:dyDescent="0.25">
      <c r="A332"/>
      <c r="B332"/>
      <c r="C332"/>
      <c r="D332"/>
      <c r="E332"/>
      <c r="F332"/>
      <c r="G332"/>
      <c r="H332"/>
      <c r="I332"/>
      <c r="J332"/>
      <c r="K332"/>
      <c r="L332"/>
      <c r="M332"/>
      <c r="N332"/>
      <c r="O332"/>
      <c r="P332"/>
      <c r="Q332"/>
      <c r="R332"/>
      <c r="S332"/>
      <c r="T332"/>
      <c r="U332"/>
      <c r="V332"/>
      <c r="W332"/>
      <c r="X332"/>
      <c r="Y332"/>
      <c r="Z332"/>
      <c r="AA332"/>
      <c r="AB332"/>
      <c r="AC332"/>
      <c r="AD332"/>
    </row>
    <row r="333" spans="1:30" s="82" customFormat="1" x14ac:dyDescent="0.25">
      <c r="A333"/>
      <c r="B333"/>
      <c r="C333"/>
      <c r="D333"/>
      <c r="E333"/>
      <c r="F333"/>
      <c r="G333"/>
      <c r="H333"/>
      <c r="I333"/>
      <c r="J333"/>
      <c r="K333"/>
      <c r="L333"/>
      <c r="M333"/>
      <c r="N333"/>
      <c r="O333"/>
      <c r="P333"/>
      <c r="Q333"/>
      <c r="R333"/>
      <c r="S333"/>
      <c r="T333"/>
      <c r="U333"/>
      <c r="V333"/>
      <c r="W333"/>
      <c r="X333"/>
      <c r="Y333"/>
      <c r="Z333"/>
      <c r="AA333"/>
      <c r="AB333"/>
      <c r="AC333"/>
      <c r="AD333"/>
    </row>
    <row r="334" spans="1:30" s="82" customFormat="1" x14ac:dyDescent="0.25">
      <c r="A334"/>
      <c r="B334"/>
      <c r="C334"/>
      <c r="D334"/>
      <c r="E334"/>
      <c r="F334"/>
      <c r="G334"/>
      <c r="H334"/>
      <c r="I334"/>
      <c r="J334"/>
      <c r="K334"/>
      <c r="L334"/>
      <c r="M334"/>
      <c r="N334"/>
      <c r="O334"/>
      <c r="P334"/>
      <c r="Q334"/>
      <c r="R334"/>
      <c r="S334"/>
      <c r="T334"/>
      <c r="U334"/>
      <c r="V334"/>
      <c r="W334"/>
      <c r="X334"/>
      <c r="Y334"/>
      <c r="Z334"/>
      <c r="AA334"/>
      <c r="AB334"/>
      <c r="AC334"/>
      <c r="AD334"/>
    </row>
    <row r="335" spans="1:30" s="82" customFormat="1" x14ac:dyDescent="0.25">
      <c r="A335"/>
      <c r="B335"/>
      <c r="C335"/>
      <c r="D335"/>
      <c r="E335"/>
      <c r="F335"/>
      <c r="G335"/>
      <c r="H335"/>
      <c r="I335"/>
      <c r="J335"/>
      <c r="K335"/>
      <c r="L335"/>
      <c r="M335"/>
      <c r="N335"/>
      <c r="O335"/>
      <c r="P335"/>
      <c r="Q335"/>
      <c r="R335"/>
      <c r="S335"/>
      <c r="T335"/>
      <c r="U335"/>
      <c r="V335"/>
      <c r="W335"/>
      <c r="X335"/>
      <c r="Y335"/>
      <c r="Z335"/>
      <c r="AA335"/>
      <c r="AB335"/>
      <c r="AC335"/>
      <c r="AD335"/>
    </row>
    <row r="336" spans="1:30" s="82" customFormat="1" x14ac:dyDescent="0.25">
      <c r="A336"/>
      <c r="B336"/>
      <c r="C336"/>
      <c r="D336"/>
      <c r="E336"/>
      <c r="F336"/>
      <c r="G336"/>
      <c r="H336"/>
      <c r="I336"/>
      <c r="J336"/>
      <c r="K336"/>
      <c r="L336"/>
      <c r="M336"/>
      <c r="N336"/>
      <c r="O336"/>
      <c r="P336"/>
      <c r="Q336"/>
      <c r="R336"/>
      <c r="S336"/>
      <c r="T336"/>
      <c r="U336"/>
      <c r="V336"/>
      <c r="W336"/>
      <c r="X336"/>
      <c r="Y336"/>
      <c r="Z336"/>
      <c r="AA336"/>
      <c r="AB336"/>
      <c r="AC336"/>
      <c r="AD336"/>
    </row>
    <row r="337" spans="1:30" s="82" customFormat="1" x14ac:dyDescent="0.25">
      <c r="A337"/>
      <c r="B337"/>
      <c r="C337"/>
      <c r="D337"/>
      <c r="E337"/>
      <c r="F337"/>
      <c r="G337"/>
      <c r="H337"/>
      <c r="I337"/>
      <c r="J337"/>
      <c r="K337"/>
      <c r="L337"/>
      <c r="M337"/>
      <c r="N337"/>
      <c r="O337"/>
      <c r="P337"/>
      <c r="Q337"/>
      <c r="R337"/>
      <c r="S337"/>
      <c r="T337"/>
      <c r="U337"/>
      <c r="V337"/>
      <c r="W337"/>
      <c r="X337"/>
      <c r="Y337"/>
      <c r="Z337"/>
      <c r="AA337"/>
      <c r="AB337"/>
      <c r="AC337"/>
      <c r="AD337"/>
    </row>
    <row r="338" spans="1:30" s="82" customFormat="1" x14ac:dyDescent="0.25">
      <c r="A338"/>
      <c r="B338"/>
      <c r="C338"/>
      <c r="D338"/>
      <c r="E338"/>
      <c r="F338"/>
      <c r="G338"/>
      <c r="H338"/>
      <c r="I338"/>
      <c r="J338"/>
      <c r="K338"/>
      <c r="L338"/>
      <c r="M338"/>
      <c r="N338"/>
      <c r="O338"/>
      <c r="P338"/>
      <c r="Q338"/>
      <c r="R338"/>
      <c r="S338"/>
      <c r="T338"/>
      <c r="U338"/>
      <c r="V338"/>
      <c r="W338"/>
      <c r="X338"/>
      <c r="Y338"/>
      <c r="Z338"/>
      <c r="AA338"/>
      <c r="AB338"/>
      <c r="AC338"/>
      <c r="AD338"/>
    </row>
    <row r="339" spans="1:30" s="82" customFormat="1" x14ac:dyDescent="0.25">
      <c r="A339"/>
      <c r="B339"/>
      <c r="C339"/>
      <c r="D339"/>
      <c r="E339"/>
      <c r="F339"/>
      <c r="G339"/>
      <c r="H339"/>
      <c r="I339"/>
      <c r="J339"/>
      <c r="K339"/>
      <c r="L339"/>
      <c r="M339"/>
      <c r="N339"/>
      <c r="O339"/>
      <c r="P339"/>
      <c r="Q339"/>
      <c r="R339"/>
      <c r="S339"/>
      <c r="T339"/>
      <c r="U339"/>
      <c r="V339"/>
      <c r="W339"/>
      <c r="X339"/>
      <c r="Y339"/>
      <c r="Z339"/>
      <c r="AA339"/>
      <c r="AB339"/>
      <c r="AC339"/>
      <c r="AD339"/>
    </row>
    <row r="340" spans="1:30" s="82" customFormat="1" x14ac:dyDescent="0.25">
      <c r="A340"/>
      <c r="B340"/>
      <c r="C340"/>
      <c r="D340"/>
      <c r="E340"/>
      <c r="F340"/>
      <c r="G340"/>
      <c r="H340"/>
      <c r="I340"/>
      <c r="J340"/>
      <c r="K340"/>
      <c r="L340"/>
      <c r="M340"/>
      <c r="N340"/>
      <c r="O340"/>
      <c r="P340"/>
      <c r="Q340"/>
      <c r="R340"/>
      <c r="S340"/>
      <c r="T340"/>
      <c r="U340"/>
      <c r="V340"/>
      <c r="W340"/>
      <c r="X340"/>
      <c r="Y340"/>
      <c r="Z340"/>
      <c r="AA340"/>
      <c r="AB340"/>
      <c r="AC340"/>
      <c r="AD340"/>
    </row>
    <row r="341" spans="1:30" s="82" customFormat="1" x14ac:dyDescent="0.25">
      <c r="A341"/>
      <c r="B341"/>
      <c r="C341"/>
      <c r="D341"/>
      <c r="E341"/>
      <c r="F341"/>
      <c r="G341"/>
      <c r="H341"/>
      <c r="I341"/>
      <c r="J341"/>
      <c r="K341"/>
      <c r="L341"/>
      <c r="M341"/>
      <c r="N341"/>
      <c r="O341"/>
      <c r="P341"/>
      <c r="Q341"/>
      <c r="R341"/>
      <c r="S341"/>
      <c r="T341"/>
      <c r="U341"/>
      <c r="V341"/>
      <c r="W341"/>
      <c r="X341"/>
      <c r="Y341"/>
      <c r="Z341"/>
      <c r="AA341"/>
      <c r="AB341"/>
      <c r="AC341"/>
      <c r="AD341"/>
    </row>
    <row r="342" spans="1:30" s="82" customFormat="1" x14ac:dyDescent="0.25">
      <c r="A342"/>
      <c r="B342"/>
      <c r="C342"/>
      <c r="D342"/>
      <c r="E342"/>
      <c r="F342"/>
      <c r="G342"/>
      <c r="H342"/>
      <c r="I342"/>
      <c r="J342"/>
      <c r="K342"/>
      <c r="L342"/>
      <c r="M342"/>
      <c r="N342"/>
      <c r="O342"/>
      <c r="P342"/>
      <c r="Q342"/>
      <c r="R342"/>
      <c r="S342"/>
      <c r="T342"/>
      <c r="U342"/>
      <c r="V342"/>
      <c r="W342"/>
      <c r="X342"/>
      <c r="Y342"/>
      <c r="Z342"/>
      <c r="AA342"/>
      <c r="AB342"/>
      <c r="AC342"/>
      <c r="AD342"/>
    </row>
    <row r="343" spans="1:30" s="82" customFormat="1" x14ac:dyDescent="0.25">
      <c r="A343"/>
      <c r="B343"/>
      <c r="C343"/>
      <c r="D343"/>
      <c r="E343"/>
      <c r="F343"/>
      <c r="G343"/>
      <c r="H343"/>
      <c r="I343"/>
      <c r="J343"/>
      <c r="K343"/>
      <c r="L343"/>
      <c r="M343"/>
      <c r="N343"/>
      <c r="O343"/>
      <c r="P343"/>
      <c r="Q343"/>
      <c r="R343"/>
      <c r="S343"/>
      <c r="T343"/>
      <c r="U343"/>
      <c r="V343"/>
      <c r="W343"/>
      <c r="X343"/>
      <c r="Y343"/>
      <c r="Z343"/>
      <c r="AA343"/>
      <c r="AB343"/>
      <c r="AC343"/>
      <c r="AD343"/>
    </row>
    <row r="344" spans="1:30" s="82" customFormat="1" x14ac:dyDescent="0.25">
      <c r="A344"/>
      <c r="B344"/>
      <c r="C344"/>
      <c r="D344"/>
      <c r="E344"/>
      <c r="F344"/>
      <c r="G344"/>
      <c r="H344"/>
      <c r="I344"/>
      <c r="J344"/>
      <c r="K344"/>
      <c r="L344"/>
      <c r="M344"/>
      <c r="N344"/>
      <c r="O344"/>
      <c r="P344"/>
      <c r="Q344"/>
      <c r="R344"/>
      <c r="S344"/>
      <c r="T344"/>
      <c r="U344"/>
      <c r="V344"/>
      <c r="W344"/>
      <c r="X344"/>
      <c r="Y344"/>
      <c r="Z344"/>
      <c r="AA344"/>
      <c r="AB344"/>
      <c r="AC344"/>
      <c r="AD344"/>
    </row>
    <row r="345" spans="1:30" s="82" customFormat="1" x14ac:dyDescent="0.25">
      <c r="A345"/>
      <c r="B345"/>
      <c r="C345"/>
      <c r="D345"/>
      <c r="E345"/>
      <c r="F345"/>
      <c r="G345"/>
      <c r="H345"/>
      <c r="I345"/>
      <c r="J345"/>
      <c r="K345"/>
      <c r="L345"/>
      <c r="M345"/>
      <c r="N345"/>
      <c r="O345"/>
      <c r="P345"/>
      <c r="Q345"/>
      <c r="R345"/>
      <c r="S345"/>
      <c r="T345"/>
      <c r="U345"/>
      <c r="V345"/>
      <c r="W345"/>
      <c r="X345"/>
      <c r="Y345"/>
      <c r="Z345"/>
      <c r="AA345"/>
      <c r="AB345"/>
      <c r="AC345"/>
      <c r="AD345"/>
    </row>
    <row r="346" spans="1:30" s="82" customFormat="1" x14ac:dyDescent="0.25">
      <c r="A346"/>
      <c r="B346"/>
      <c r="C346"/>
      <c r="D346"/>
      <c r="E346"/>
      <c r="F346"/>
      <c r="G346"/>
      <c r="H346"/>
      <c r="I346"/>
      <c r="J346"/>
      <c r="K346"/>
      <c r="L346"/>
      <c r="M346"/>
      <c r="N346"/>
      <c r="O346"/>
      <c r="P346"/>
      <c r="Q346"/>
      <c r="R346"/>
      <c r="S346"/>
      <c r="T346"/>
      <c r="U346"/>
      <c r="V346"/>
      <c r="W346"/>
      <c r="X346"/>
      <c r="Y346"/>
      <c r="Z346"/>
      <c r="AA346"/>
      <c r="AB346"/>
      <c r="AC346"/>
      <c r="AD346"/>
    </row>
    <row r="347" spans="1:30" s="82" customFormat="1" x14ac:dyDescent="0.25">
      <c r="A347"/>
      <c r="B347"/>
      <c r="C347"/>
      <c r="D347"/>
      <c r="E347"/>
      <c r="F347"/>
      <c r="G347"/>
      <c r="H347"/>
      <c r="I347"/>
      <c r="J347"/>
      <c r="K347"/>
      <c r="L347"/>
      <c r="M347"/>
      <c r="N347"/>
      <c r="O347"/>
      <c r="P347"/>
      <c r="Q347"/>
      <c r="R347"/>
      <c r="S347"/>
      <c r="T347"/>
      <c r="U347"/>
      <c r="V347"/>
      <c r="W347"/>
      <c r="X347"/>
      <c r="Y347"/>
      <c r="Z347"/>
      <c r="AA347"/>
      <c r="AB347"/>
      <c r="AC347"/>
      <c r="AD347"/>
    </row>
    <row r="348" spans="1:30" s="82" customFormat="1" x14ac:dyDescent="0.25">
      <c r="A348"/>
      <c r="B348"/>
      <c r="C348"/>
      <c r="D348"/>
      <c r="E348"/>
      <c r="F348"/>
      <c r="G348"/>
      <c r="H348"/>
      <c r="I348"/>
      <c r="J348"/>
      <c r="K348"/>
      <c r="L348"/>
      <c r="M348"/>
      <c r="N348"/>
      <c r="O348"/>
      <c r="P348"/>
      <c r="Q348"/>
      <c r="R348"/>
      <c r="S348"/>
      <c r="T348"/>
      <c r="U348"/>
      <c r="V348"/>
      <c r="W348"/>
      <c r="X348"/>
      <c r="Y348"/>
      <c r="Z348"/>
      <c r="AA348"/>
      <c r="AB348"/>
      <c r="AC348"/>
      <c r="AD348"/>
    </row>
    <row r="349" spans="1:30" s="82" customFormat="1" x14ac:dyDescent="0.25">
      <c r="A349"/>
      <c r="B349"/>
      <c r="C349"/>
      <c r="D349"/>
      <c r="E349"/>
      <c r="F349"/>
      <c r="G349"/>
      <c r="H349"/>
      <c r="I349"/>
      <c r="J349"/>
      <c r="K349"/>
      <c r="L349"/>
      <c r="M349"/>
      <c r="N349"/>
      <c r="O349"/>
      <c r="P349"/>
      <c r="Q349"/>
      <c r="R349"/>
      <c r="S349"/>
      <c r="T349"/>
      <c r="U349"/>
      <c r="V349"/>
      <c r="W349"/>
      <c r="X349"/>
      <c r="Y349"/>
      <c r="Z349"/>
      <c r="AA349"/>
      <c r="AB349"/>
      <c r="AC349"/>
      <c r="AD349"/>
    </row>
    <row r="350" spans="1:30" s="82" customFormat="1" x14ac:dyDescent="0.25">
      <c r="A350"/>
      <c r="B350"/>
      <c r="C350"/>
      <c r="D350"/>
      <c r="E350"/>
      <c r="F350"/>
      <c r="G350"/>
      <c r="H350"/>
      <c r="I350"/>
      <c r="J350"/>
      <c r="K350"/>
      <c r="L350"/>
      <c r="M350"/>
      <c r="N350"/>
      <c r="O350"/>
      <c r="P350"/>
      <c r="Q350"/>
      <c r="R350"/>
      <c r="S350"/>
      <c r="T350"/>
      <c r="U350"/>
      <c r="V350"/>
      <c r="W350"/>
      <c r="X350"/>
      <c r="Y350"/>
      <c r="Z350"/>
      <c r="AA350"/>
      <c r="AB350"/>
      <c r="AC350"/>
      <c r="AD350"/>
    </row>
    <row r="351" spans="1:30" s="82" customFormat="1" x14ac:dyDescent="0.25">
      <c r="A351"/>
      <c r="B351"/>
      <c r="C351"/>
      <c r="D351"/>
      <c r="E351"/>
      <c r="F351"/>
      <c r="G351"/>
      <c r="H351"/>
      <c r="I351"/>
      <c r="J351"/>
      <c r="K351"/>
      <c r="L351"/>
      <c r="M351"/>
      <c r="N351"/>
      <c r="O351"/>
      <c r="P351"/>
      <c r="Q351"/>
      <c r="R351"/>
      <c r="S351"/>
      <c r="T351"/>
      <c r="U351"/>
      <c r="V351"/>
      <c r="W351"/>
      <c r="X351"/>
      <c r="Y351"/>
      <c r="Z351"/>
      <c r="AA351"/>
      <c r="AB351"/>
      <c r="AC351"/>
      <c r="AD351"/>
    </row>
    <row r="352" spans="1:30" s="82" customFormat="1" x14ac:dyDescent="0.25">
      <c r="A352"/>
      <c r="B352"/>
      <c r="C352"/>
      <c r="D352"/>
      <c r="E352"/>
      <c r="F352"/>
      <c r="G352"/>
      <c r="H352"/>
      <c r="I352"/>
      <c r="J352"/>
      <c r="K352"/>
      <c r="L352"/>
      <c r="M352"/>
      <c r="N352"/>
      <c r="O352"/>
      <c r="P352"/>
      <c r="Q352"/>
      <c r="R352"/>
      <c r="S352"/>
      <c r="T352"/>
      <c r="U352"/>
      <c r="V352"/>
      <c r="W352"/>
      <c r="X352"/>
      <c r="Y352"/>
      <c r="Z352"/>
      <c r="AA352"/>
      <c r="AB352"/>
      <c r="AC352"/>
      <c r="AD352"/>
    </row>
    <row r="353" spans="1:30" s="82" customFormat="1" x14ac:dyDescent="0.25">
      <c r="A353"/>
      <c r="B353"/>
      <c r="C353"/>
      <c r="D353"/>
      <c r="E353"/>
      <c r="F353"/>
      <c r="G353"/>
      <c r="H353"/>
      <c r="I353"/>
      <c r="J353"/>
      <c r="K353"/>
      <c r="L353"/>
      <c r="M353"/>
      <c r="N353"/>
      <c r="O353"/>
      <c r="P353"/>
      <c r="Q353"/>
      <c r="R353"/>
      <c r="S353"/>
      <c r="T353"/>
      <c r="U353"/>
      <c r="V353"/>
      <c r="W353"/>
      <c r="X353"/>
      <c r="Y353"/>
      <c r="Z353"/>
      <c r="AA353"/>
      <c r="AB353"/>
      <c r="AC353"/>
      <c r="AD353"/>
    </row>
    <row r="354" spans="1:30" s="82" customFormat="1" x14ac:dyDescent="0.25">
      <c r="A354"/>
      <c r="B354"/>
      <c r="C354"/>
      <c r="D354"/>
      <c r="E354"/>
      <c r="F354"/>
      <c r="G354"/>
      <c r="H354"/>
      <c r="I354"/>
      <c r="J354"/>
      <c r="K354"/>
      <c r="L354"/>
      <c r="M354"/>
      <c r="N354"/>
      <c r="O354"/>
      <c r="P354"/>
      <c r="Q354"/>
      <c r="R354"/>
      <c r="S354"/>
      <c r="T354"/>
      <c r="U354"/>
      <c r="V354"/>
      <c r="W354"/>
      <c r="X354"/>
      <c r="Y354"/>
      <c r="Z354"/>
      <c r="AA354"/>
      <c r="AB354"/>
      <c r="AC354"/>
      <c r="AD354"/>
    </row>
    <row r="355" spans="1:30" s="82" customFormat="1" x14ac:dyDescent="0.25">
      <c r="A355"/>
      <c r="B355"/>
      <c r="C355"/>
      <c r="D355"/>
      <c r="E355"/>
      <c r="F355"/>
      <c r="G355"/>
      <c r="H355"/>
      <c r="I355"/>
      <c r="J355"/>
      <c r="K355"/>
      <c r="L355"/>
      <c r="M355"/>
      <c r="N355"/>
      <c r="O355"/>
      <c r="P355"/>
      <c r="Q355"/>
      <c r="R355"/>
      <c r="S355"/>
      <c r="T355"/>
      <c r="U355"/>
      <c r="V355"/>
      <c r="W355"/>
      <c r="X355"/>
      <c r="Y355"/>
      <c r="Z355"/>
      <c r="AA355"/>
      <c r="AB355"/>
      <c r="AC355"/>
      <c r="AD355"/>
    </row>
    <row r="356" spans="1:30" s="82" customFormat="1" x14ac:dyDescent="0.25">
      <c r="A356"/>
      <c r="B356"/>
      <c r="C356"/>
      <c r="D356"/>
      <c r="E356"/>
      <c r="F356"/>
      <c r="G356"/>
      <c r="H356"/>
      <c r="I356"/>
      <c r="J356"/>
      <c r="K356"/>
      <c r="L356"/>
      <c r="M356"/>
      <c r="N356"/>
      <c r="O356"/>
      <c r="P356"/>
      <c r="Q356"/>
      <c r="R356"/>
      <c r="S356"/>
      <c r="T356"/>
      <c r="U356"/>
      <c r="V356"/>
      <c r="W356"/>
      <c r="X356"/>
      <c r="Y356"/>
      <c r="Z356"/>
      <c r="AA356"/>
      <c r="AB356"/>
      <c r="AC356"/>
      <c r="AD356"/>
    </row>
    <row r="357" spans="1:30" s="82" customFormat="1" x14ac:dyDescent="0.25">
      <c r="A357"/>
      <c r="B357"/>
      <c r="C357"/>
      <c r="D357"/>
      <c r="E357"/>
      <c r="F357"/>
      <c r="G357"/>
      <c r="H357"/>
      <c r="I357"/>
      <c r="J357"/>
      <c r="K357"/>
      <c r="L357"/>
      <c r="M357"/>
      <c r="N357"/>
      <c r="O357"/>
      <c r="P357"/>
      <c r="Q357"/>
      <c r="R357"/>
      <c r="S357"/>
      <c r="T357"/>
      <c r="U357"/>
      <c r="V357"/>
      <c r="W357"/>
      <c r="X357"/>
      <c r="Y357"/>
      <c r="Z357"/>
      <c r="AA357"/>
      <c r="AB357"/>
      <c r="AC357"/>
      <c r="AD357"/>
    </row>
    <row r="358" spans="1:30" s="82" customFormat="1" x14ac:dyDescent="0.25">
      <c r="A358"/>
      <c r="B358"/>
      <c r="C358"/>
      <c r="D358"/>
      <c r="E358"/>
      <c r="F358"/>
      <c r="G358"/>
      <c r="H358"/>
      <c r="I358"/>
      <c r="J358"/>
      <c r="K358"/>
      <c r="L358"/>
      <c r="M358"/>
      <c r="N358"/>
      <c r="O358"/>
      <c r="P358"/>
      <c r="Q358"/>
      <c r="R358"/>
      <c r="S358"/>
      <c r="T358"/>
      <c r="U358"/>
      <c r="V358"/>
      <c r="W358"/>
      <c r="X358"/>
      <c r="Y358"/>
      <c r="Z358"/>
      <c r="AA358"/>
      <c r="AB358"/>
      <c r="AC358"/>
      <c r="AD358"/>
    </row>
    <row r="359" spans="1:30" s="82" customFormat="1" x14ac:dyDescent="0.25">
      <c r="A359"/>
      <c r="B359"/>
      <c r="C359"/>
      <c r="D359"/>
      <c r="E359"/>
      <c r="F359"/>
      <c r="G359"/>
      <c r="H359"/>
      <c r="I359"/>
      <c r="J359"/>
      <c r="K359"/>
      <c r="L359"/>
      <c r="M359"/>
      <c r="N359"/>
      <c r="O359"/>
      <c r="P359"/>
      <c r="Q359"/>
      <c r="R359"/>
      <c r="S359"/>
      <c r="T359"/>
      <c r="U359"/>
      <c r="V359"/>
      <c r="W359"/>
      <c r="X359"/>
      <c r="Y359"/>
      <c r="Z359"/>
      <c r="AA359"/>
      <c r="AB359"/>
      <c r="AC359"/>
      <c r="AD359"/>
    </row>
    <row r="360" spans="1:30" s="82" customFormat="1" x14ac:dyDescent="0.25">
      <c r="A360"/>
      <c r="B360"/>
      <c r="C360"/>
      <c r="D360"/>
      <c r="E360"/>
      <c r="F360"/>
      <c r="G360"/>
      <c r="H360"/>
      <c r="I360"/>
      <c r="J360"/>
      <c r="K360"/>
      <c r="L360"/>
      <c r="M360"/>
      <c r="N360"/>
      <c r="O360"/>
      <c r="P360"/>
      <c r="Q360"/>
      <c r="R360"/>
      <c r="S360"/>
      <c r="T360"/>
      <c r="U360"/>
      <c r="V360"/>
      <c r="W360"/>
      <c r="X360"/>
      <c r="Y360"/>
      <c r="Z360"/>
      <c r="AA360"/>
      <c r="AB360"/>
      <c r="AC360"/>
      <c r="AD360"/>
    </row>
    <row r="361" spans="1:30" s="82" customFormat="1" x14ac:dyDescent="0.25">
      <c r="A361"/>
      <c r="B361"/>
      <c r="C361"/>
      <c r="D361"/>
      <c r="E361"/>
      <c r="F361"/>
      <c r="G361"/>
      <c r="H361"/>
      <c r="I361"/>
      <c r="J361"/>
      <c r="K361"/>
      <c r="L361"/>
      <c r="M361"/>
      <c r="N361"/>
      <c r="O361"/>
      <c r="P361"/>
      <c r="Q361"/>
      <c r="R361"/>
      <c r="S361"/>
      <c r="T361"/>
      <c r="U361"/>
      <c r="V361"/>
      <c r="W361"/>
      <c r="X361"/>
      <c r="Y361"/>
      <c r="Z361"/>
      <c r="AA361"/>
      <c r="AB361"/>
      <c r="AC361"/>
      <c r="AD361"/>
    </row>
    <row r="362" spans="1:30" s="82" customFormat="1" x14ac:dyDescent="0.25">
      <c r="A362"/>
      <c r="B362"/>
      <c r="C362"/>
      <c r="D362"/>
      <c r="E362"/>
      <c r="F362"/>
      <c r="G362"/>
      <c r="H362"/>
      <c r="I362"/>
      <c r="J362"/>
      <c r="K362"/>
      <c r="L362"/>
      <c r="M362"/>
      <c r="N362"/>
      <c r="O362"/>
      <c r="P362"/>
      <c r="Q362"/>
      <c r="R362"/>
      <c r="S362"/>
      <c r="T362"/>
      <c r="U362"/>
      <c r="V362"/>
      <c r="W362"/>
      <c r="X362"/>
      <c r="Y362"/>
      <c r="Z362"/>
      <c r="AA362"/>
      <c r="AB362"/>
      <c r="AC362"/>
      <c r="AD362"/>
    </row>
    <row r="363" spans="1:30" s="82" customFormat="1" x14ac:dyDescent="0.25">
      <c r="A363"/>
      <c r="B363"/>
      <c r="C363"/>
      <c r="D363"/>
      <c r="E363"/>
      <c r="F363"/>
      <c r="G363"/>
      <c r="H363"/>
      <c r="I363"/>
      <c r="J363"/>
      <c r="K363"/>
      <c r="L363"/>
      <c r="M363"/>
      <c r="N363"/>
      <c r="O363"/>
      <c r="P363"/>
      <c r="Q363"/>
      <c r="R363"/>
      <c r="S363"/>
      <c r="T363"/>
      <c r="U363"/>
      <c r="V363"/>
      <c r="W363"/>
      <c r="X363"/>
      <c r="Y363"/>
      <c r="Z363"/>
      <c r="AA363"/>
      <c r="AB363"/>
      <c r="AC363"/>
      <c r="AD363"/>
    </row>
    <row r="364" spans="1:30" s="82" customFormat="1" x14ac:dyDescent="0.25">
      <c r="A364"/>
      <c r="B364"/>
      <c r="C364"/>
      <c r="D364"/>
      <c r="E364"/>
      <c r="F364"/>
      <c r="G364"/>
      <c r="H364"/>
      <c r="I364"/>
      <c r="J364"/>
      <c r="K364"/>
      <c r="L364"/>
      <c r="M364"/>
      <c r="N364"/>
      <c r="O364"/>
      <c r="P364"/>
      <c r="Q364"/>
      <c r="R364"/>
      <c r="S364"/>
      <c r="T364"/>
      <c r="U364"/>
      <c r="V364"/>
      <c r="W364"/>
      <c r="X364"/>
      <c r="Y364"/>
      <c r="Z364"/>
      <c r="AA364"/>
      <c r="AB364"/>
      <c r="AC364"/>
      <c r="AD364"/>
    </row>
    <row r="365" spans="1:30" s="82" customFormat="1" x14ac:dyDescent="0.25">
      <c r="A365"/>
      <c r="B365"/>
      <c r="C365"/>
      <c r="D365"/>
      <c r="E365"/>
      <c r="F365"/>
      <c r="G365"/>
      <c r="H365"/>
      <c r="I365"/>
      <c r="J365"/>
      <c r="K365"/>
      <c r="L365"/>
      <c r="M365"/>
      <c r="N365"/>
      <c r="O365"/>
      <c r="P365"/>
      <c r="Q365"/>
      <c r="R365"/>
      <c r="S365"/>
      <c r="T365"/>
      <c r="U365"/>
      <c r="V365"/>
      <c r="W365"/>
      <c r="X365"/>
      <c r="Y365"/>
      <c r="Z365"/>
      <c r="AA365"/>
      <c r="AB365"/>
      <c r="AC365"/>
      <c r="AD365"/>
    </row>
    <row r="366" spans="1:30" s="82" customFormat="1" x14ac:dyDescent="0.25">
      <c r="A366"/>
      <c r="B366"/>
      <c r="C366"/>
      <c r="D366"/>
      <c r="E366"/>
      <c r="F366"/>
      <c r="G366"/>
      <c r="H366"/>
      <c r="I366"/>
      <c r="J366"/>
      <c r="K366"/>
      <c r="L366"/>
      <c r="M366"/>
      <c r="N366"/>
      <c r="O366"/>
      <c r="P366"/>
      <c r="Q366"/>
      <c r="R366"/>
      <c r="S366"/>
      <c r="T366"/>
      <c r="U366"/>
      <c r="V366"/>
      <c r="W366"/>
      <c r="X366"/>
      <c r="Y366"/>
      <c r="Z366"/>
      <c r="AA366"/>
      <c r="AB366"/>
      <c r="AC366"/>
      <c r="AD366"/>
    </row>
    <row r="367" spans="1:30" s="82" customFormat="1" x14ac:dyDescent="0.25">
      <c r="A367"/>
      <c r="B367"/>
      <c r="C367"/>
      <c r="D367"/>
      <c r="E367"/>
      <c r="F367"/>
      <c r="G367"/>
      <c r="H367"/>
      <c r="I367"/>
      <c r="J367"/>
      <c r="K367"/>
      <c r="L367"/>
      <c r="M367"/>
      <c r="N367"/>
      <c r="O367"/>
      <c r="P367"/>
      <c r="Q367"/>
      <c r="R367"/>
      <c r="S367"/>
      <c r="T367"/>
      <c r="U367"/>
      <c r="V367"/>
      <c r="W367"/>
      <c r="X367"/>
      <c r="Y367"/>
      <c r="Z367"/>
      <c r="AA367"/>
      <c r="AB367"/>
      <c r="AC367"/>
      <c r="AD367"/>
    </row>
    <row r="368" spans="1:30" s="82" customFormat="1" x14ac:dyDescent="0.25">
      <c r="A368"/>
      <c r="B368"/>
      <c r="C368"/>
      <c r="D368"/>
      <c r="E368"/>
      <c r="F368"/>
      <c r="G368"/>
      <c r="H368"/>
      <c r="I368"/>
      <c r="J368"/>
      <c r="K368"/>
      <c r="L368"/>
      <c r="M368"/>
      <c r="N368"/>
      <c r="O368"/>
      <c r="P368"/>
      <c r="Q368"/>
      <c r="R368"/>
      <c r="S368"/>
      <c r="T368"/>
      <c r="U368"/>
      <c r="V368"/>
      <c r="W368"/>
      <c r="X368"/>
      <c r="Y368"/>
      <c r="Z368"/>
      <c r="AA368"/>
      <c r="AB368"/>
      <c r="AC368"/>
      <c r="AD368"/>
    </row>
    <row r="369" spans="1:30" s="82" customFormat="1" x14ac:dyDescent="0.25">
      <c r="A369"/>
      <c r="B369"/>
      <c r="C369"/>
      <c r="D369"/>
      <c r="E369"/>
      <c r="F369"/>
      <c r="G369"/>
      <c r="H369"/>
      <c r="I369"/>
      <c r="J369"/>
      <c r="K369"/>
      <c r="L369"/>
      <c r="M369"/>
      <c r="N369"/>
      <c r="O369"/>
      <c r="P369"/>
      <c r="Q369"/>
      <c r="R369"/>
      <c r="S369"/>
      <c r="T369"/>
      <c r="U369"/>
      <c r="V369"/>
      <c r="W369"/>
      <c r="X369"/>
      <c r="Y369"/>
      <c r="Z369"/>
      <c r="AA369"/>
      <c r="AB369"/>
      <c r="AC369"/>
      <c r="AD369"/>
    </row>
    <row r="370" spans="1:30" s="82" customFormat="1" x14ac:dyDescent="0.25">
      <c r="A370"/>
      <c r="B370"/>
      <c r="C370"/>
      <c r="D370"/>
      <c r="E370"/>
      <c r="F370"/>
      <c r="G370"/>
      <c r="H370"/>
      <c r="I370"/>
      <c r="J370"/>
      <c r="K370"/>
      <c r="L370"/>
      <c r="M370"/>
      <c r="N370"/>
      <c r="O370"/>
      <c r="P370"/>
      <c r="Q370"/>
      <c r="R370"/>
      <c r="S370"/>
      <c r="T370"/>
      <c r="U370"/>
      <c r="V370"/>
      <c r="W370"/>
      <c r="X370"/>
      <c r="Y370"/>
      <c r="Z370"/>
      <c r="AA370"/>
      <c r="AB370"/>
      <c r="AC370"/>
      <c r="AD370"/>
    </row>
    <row r="371" spans="1:30" s="82" customFormat="1" x14ac:dyDescent="0.25">
      <c r="A371"/>
      <c r="B371"/>
      <c r="C371"/>
      <c r="D371"/>
      <c r="E371"/>
      <c r="F371"/>
      <c r="G371"/>
      <c r="H371"/>
      <c r="I371"/>
      <c r="J371"/>
      <c r="K371"/>
      <c r="L371"/>
      <c r="M371"/>
      <c r="N371"/>
      <c r="O371"/>
      <c r="P371"/>
      <c r="Q371"/>
      <c r="R371"/>
      <c r="S371"/>
      <c r="T371"/>
      <c r="U371"/>
      <c r="V371"/>
      <c r="W371"/>
      <c r="X371"/>
      <c r="Y371"/>
      <c r="Z371"/>
      <c r="AA371"/>
      <c r="AB371"/>
      <c r="AC371"/>
      <c r="AD371"/>
    </row>
    <row r="372" spans="1:30" s="82" customFormat="1" x14ac:dyDescent="0.25">
      <c r="A372"/>
      <c r="B372"/>
      <c r="C372"/>
      <c r="D372"/>
      <c r="E372"/>
      <c r="F372"/>
      <c r="G372"/>
      <c r="H372"/>
      <c r="I372"/>
      <c r="J372"/>
      <c r="K372"/>
      <c r="L372"/>
      <c r="M372"/>
      <c r="N372"/>
      <c r="O372"/>
      <c r="P372"/>
      <c r="Q372"/>
      <c r="R372"/>
      <c r="S372"/>
      <c r="T372"/>
      <c r="U372"/>
      <c r="V372"/>
      <c r="W372"/>
      <c r="X372"/>
      <c r="Y372"/>
      <c r="Z372"/>
      <c r="AA372"/>
      <c r="AB372"/>
      <c r="AC372"/>
      <c r="AD372"/>
    </row>
    <row r="373" spans="1:30" s="82" customFormat="1" x14ac:dyDescent="0.25">
      <c r="A373"/>
      <c r="B373"/>
      <c r="C373"/>
      <c r="D373"/>
      <c r="E373"/>
      <c r="F373"/>
      <c r="G373"/>
      <c r="H373"/>
      <c r="I373"/>
      <c r="J373"/>
      <c r="K373"/>
      <c r="L373"/>
      <c r="M373"/>
      <c r="N373"/>
      <c r="O373"/>
      <c r="P373"/>
      <c r="Q373"/>
      <c r="R373"/>
      <c r="S373"/>
      <c r="T373"/>
      <c r="U373"/>
      <c r="V373"/>
      <c r="W373"/>
      <c r="X373"/>
      <c r="Y373"/>
      <c r="Z373"/>
      <c r="AA373"/>
      <c r="AB373"/>
      <c r="AC373"/>
      <c r="AD373"/>
    </row>
    <row r="374" spans="1:30" s="82" customFormat="1" x14ac:dyDescent="0.25">
      <c r="A374"/>
      <c r="B374"/>
      <c r="C374"/>
      <c r="D374"/>
      <c r="E374"/>
      <c r="F374"/>
      <c r="G374"/>
      <c r="H374"/>
      <c r="I374"/>
      <c r="J374"/>
      <c r="K374"/>
      <c r="L374"/>
      <c r="M374"/>
      <c r="N374"/>
      <c r="O374"/>
      <c r="P374"/>
      <c r="Q374"/>
      <c r="R374"/>
      <c r="S374"/>
      <c r="T374"/>
      <c r="U374"/>
      <c r="V374"/>
      <c r="W374"/>
      <c r="X374"/>
      <c r="Y374"/>
      <c r="Z374"/>
      <c r="AA374"/>
      <c r="AB374"/>
      <c r="AC374"/>
      <c r="AD374"/>
    </row>
    <row r="375" spans="1:30" s="82" customFormat="1" x14ac:dyDescent="0.25">
      <c r="A375"/>
      <c r="B375"/>
      <c r="C375"/>
      <c r="D375"/>
      <c r="E375"/>
      <c r="F375"/>
      <c r="G375"/>
      <c r="H375"/>
      <c r="I375"/>
      <c r="J375"/>
      <c r="K375"/>
      <c r="L375"/>
      <c r="M375"/>
      <c r="N375"/>
      <c r="O375"/>
      <c r="P375"/>
      <c r="Q375"/>
      <c r="R375"/>
      <c r="S375"/>
      <c r="T375"/>
      <c r="U375"/>
      <c r="V375"/>
      <c r="W375"/>
      <c r="X375"/>
      <c r="Y375"/>
      <c r="Z375"/>
      <c r="AA375"/>
      <c r="AB375"/>
      <c r="AC375"/>
      <c r="AD375"/>
    </row>
    <row r="376" spans="1:30" s="82" customFormat="1" x14ac:dyDescent="0.25">
      <c r="A376"/>
      <c r="B376"/>
      <c r="C376"/>
      <c r="D376"/>
      <c r="E376"/>
      <c r="F376"/>
      <c r="G376"/>
      <c r="H376"/>
      <c r="I376"/>
      <c r="J376"/>
      <c r="K376"/>
      <c r="L376"/>
      <c r="M376"/>
      <c r="N376"/>
      <c r="O376"/>
      <c r="P376"/>
      <c r="Q376"/>
      <c r="R376"/>
      <c r="S376"/>
      <c r="T376"/>
      <c r="U376"/>
      <c r="V376"/>
      <c r="W376"/>
      <c r="X376"/>
      <c r="Y376"/>
      <c r="Z376"/>
      <c r="AA376"/>
      <c r="AB376"/>
      <c r="AC376"/>
      <c r="AD376"/>
    </row>
    <row r="377" spans="1:30" s="82" customFormat="1" x14ac:dyDescent="0.25">
      <c r="A377"/>
      <c r="B377"/>
      <c r="C377"/>
      <c r="D377"/>
      <c r="E377"/>
      <c r="F377"/>
      <c r="G377"/>
      <c r="H377"/>
      <c r="I377"/>
      <c r="J377"/>
      <c r="K377"/>
      <c r="L377"/>
      <c r="M377"/>
      <c r="N377"/>
      <c r="O377"/>
      <c r="P377"/>
      <c r="Q377"/>
      <c r="R377"/>
      <c r="S377"/>
      <c r="T377"/>
      <c r="U377"/>
      <c r="V377"/>
      <c r="W377"/>
      <c r="X377"/>
      <c r="Y377"/>
      <c r="Z377"/>
      <c r="AA377"/>
      <c r="AB377"/>
      <c r="AC377"/>
      <c r="AD377"/>
    </row>
    <row r="378" spans="1:30" s="82" customFormat="1" x14ac:dyDescent="0.25">
      <c r="A378"/>
      <c r="B378"/>
      <c r="C378"/>
      <c r="D378"/>
      <c r="E378"/>
      <c r="F378"/>
      <c r="G378"/>
      <c r="H378"/>
      <c r="I378"/>
      <c r="J378"/>
      <c r="K378"/>
      <c r="L378"/>
      <c r="M378"/>
      <c r="N378"/>
      <c r="O378"/>
      <c r="P378"/>
      <c r="Q378"/>
      <c r="R378"/>
      <c r="S378"/>
      <c r="T378"/>
      <c r="U378"/>
      <c r="V378"/>
      <c r="W378"/>
      <c r="X378"/>
      <c r="Y378"/>
      <c r="Z378"/>
      <c r="AA378"/>
      <c r="AB378"/>
      <c r="AC378"/>
      <c r="AD378"/>
    </row>
    <row r="379" spans="1:30" s="82" customFormat="1" x14ac:dyDescent="0.25">
      <c r="A379"/>
      <c r="B379"/>
      <c r="C379"/>
      <c r="D379"/>
      <c r="E379"/>
      <c r="F379"/>
      <c r="G379"/>
      <c r="H379"/>
      <c r="I379"/>
      <c r="J379"/>
      <c r="K379"/>
      <c r="L379"/>
      <c r="M379"/>
      <c r="N379"/>
      <c r="O379"/>
      <c r="P379"/>
      <c r="Q379"/>
      <c r="R379"/>
      <c r="S379"/>
      <c r="T379"/>
      <c r="U379"/>
      <c r="V379"/>
      <c r="W379"/>
      <c r="X379"/>
      <c r="Y379"/>
      <c r="Z379"/>
      <c r="AA379"/>
      <c r="AB379"/>
      <c r="AC379"/>
      <c r="AD379"/>
    </row>
    <row r="380" spans="1:30" s="82" customFormat="1" x14ac:dyDescent="0.25">
      <c r="A380"/>
      <c r="B380"/>
      <c r="C380"/>
      <c r="D380"/>
      <c r="E380"/>
      <c r="F380"/>
      <c r="G380"/>
      <c r="H380"/>
      <c r="I380"/>
      <c r="J380"/>
      <c r="K380"/>
      <c r="L380"/>
      <c r="M380"/>
      <c r="N380"/>
      <c r="O380"/>
      <c r="P380"/>
      <c r="Q380"/>
      <c r="R380"/>
      <c r="S380"/>
      <c r="T380"/>
      <c r="U380"/>
      <c r="V380"/>
      <c r="W380"/>
      <c r="X380"/>
      <c r="Y380"/>
      <c r="Z380"/>
      <c r="AA380"/>
      <c r="AB380"/>
      <c r="AC380"/>
      <c r="AD380"/>
    </row>
    <row r="381" spans="1:30" s="82" customFormat="1" x14ac:dyDescent="0.25">
      <c r="A381"/>
      <c r="B381"/>
      <c r="C381"/>
      <c r="D381"/>
      <c r="E381"/>
      <c r="F381"/>
      <c r="G381"/>
      <c r="H381"/>
      <c r="I381"/>
      <c r="J381"/>
      <c r="K381"/>
      <c r="L381"/>
      <c r="M381"/>
      <c r="N381"/>
      <c r="O381"/>
      <c r="P381"/>
      <c r="Q381"/>
      <c r="R381"/>
      <c r="S381"/>
      <c r="T381"/>
      <c r="U381"/>
      <c r="V381"/>
      <c r="W381"/>
      <c r="X381"/>
      <c r="Y381"/>
      <c r="Z381"/>
      <c r="AA381"/>
      <c r="AB381"/>
      <c r="AC381"/>
      <c r="AD381"/>
    </row>
    <row r="382" spans="1:30" s="82" customFormat="1" x14ac:dyDescent="0.25">
      <c r="A382"/>
      <c r="B382"/>
      <c r="C382"/>
      <c r="D382"/>
      <c r="E382"/>
      <c r="F382"/>
      <c r="G382"/>
      <c r="H382"/>
      <c r="I382"/>
      <c r="J382"/>
      <c r="K382"/>
      <c r="L382"/>
      <c r="M382"/>
      <c r="N382"/>
      <c r="O382"/>
      <c r="P382"/>
      <c r="Q382"/>
      <c r="R382"/>
      <c r="S382"/>
      <c r="T382"/>
      <c r="U382"/>
      <c r="V382"/>
      <c r="W382"/>
      <c r="X382"/>
      <c r="Y382"/>
      <c r="Z382"/>
      <c r="AA382"/>
      <c r="AB382"/>
      <c r="AC382"/>
      <c r="AD382"/>
    </row>
    <row r="383" spans="1:30" s="82" customFormat="1" x14ac:dyDescent="0.25">
      <c r="A383"/>
      <c r="B383"/>
      <c r="C383"/>
      <c r="D383"/>
      <c r="E383"/>
      <c r="F383"/>
      <c r="G383"/>
      <c r="H383"/>
      <c r="I383"/>
      <c r="J383"/>
      <c r="K383"/>
      <c r="L383"/>
      <c r="M383"/>
      <c r="N383"/>
      <c r="O383"/>
      <c r="P383"/>
      <c r="Q383"/>
      <c r="R383"/>
      <c r="S383"/>
      <c r="T383"/>
      <c r="U383"/>
      <c r="V383"/>
      <c r="W383"/>
      <c r="X383"/>
      <c r="Y383"/>
      <c r="Z383"/>
      <c r="AA383"/>
      <c r="AB383"/>
      <c r="AC383"/>
      <c r="AD383"/>
    </row>
    <row r="384" spans="1:30" s="82" customFormat="1" x14ac:dyDescent="0.25">
      <c r="A384"/>
      <c r="B384"/>
      <c r="C384"/>
      <c r="D384"/>
      <c r="E384"/>
      <c r="F384"/>
      <c r="G384"/>
      <c r="H384"/>
      <c r="I384"/>
      <c r="J384"/>
      <c r="K384"/>
      <c r="L384"/>
      <c r="M384"/>
      <c r="N384"/>
      <c r="O384"/>
      <c r="P384"/>
      <c r="Q384"/>
      <c r="R384"/>
      <c r="S384"/>
      <c r="T384"/>
      <c r="U384"/>
      <c r="V384"/>
      <c r="W384"/>
      <c r="X384"/>
      <c r="Y384"/>
      <c r="Z384"/>
      <c r="AA384"/>
      <c r="AB384"/>
      <c r="AC384"/>
      <c r="AD384"/>
    </row>
    <row r="385" spans="1:30" s="82" customFormat="1" x14ac:dyDescent="0.25">
      <c r="A385"/>
      <c r="B385"/>
      <c r="C385"/>
      <c r="D385"/>
      <c r="E385"/>
      <c r="F385"/>
      <c r="G385"/>
      <c r="H385"/>
      <c r="I385"/>
      <c r="J385"/>
      <c r="K385"/>
      <c r="L385"/>
      <c r="M385"/>
      <c r="N385"/>
      <c r="O385"/>
      <c r="P385"/>
      <c r="Q385"/>
      <c r="R385"/>
      <c r="S385"/>
      <c r="T385"/>
      <c r="U385"/>
      <c r="V385"/>
      <c r="W385"/>
      <c r="X385"/>
      <c r="Y385"/>
      <c r="Z385"/>
      <c r="AA385"/>
      <c r="AB385"/>
      <c r="AC385"/>
      <c r="AD385"/>
    </row>
    <row r="386" spans="1:30" s="82" customFormat="1" x14ac:dyDescent="0.25">
      <c r="A386"/>
      <c r="B386"/>
      <c r="C386"/>
      <c r="D386"/>
      <c r="E386"/>
      <c r="F386"/>
      <c r="G386"/>
      <c r="H386"/>
      <c r="I386"/>
      <c r="J386"/>
      <c r="K386"/>
      <c r="L386"/>
      <c r="M386"/>
      <c r="N386"/>
      <c r="O386"/>
      <c r="P386"/>
      <c r="Q386"/>
      <c r="R386"/>
      <c r="S386"/>
      <c r="T386"/>
      <c r="U386"/>
      <c r="V386"/>
      <c r="W386"/>
      <c r="X386"/>
      <c r="Y386"/>
      <c r="Z386"/>
      <c r="AA386"/>
      <c r="AB386"/>
      <c r="AC386"/>
      <c r="AD386"/>
    </row>
    <row r="387" spans="1:30" s="82" customFormat="1" x14ac:dyDescent="0.25">
      <c r="A387"/>
      <c r="B387"/>
      <c r="C387"/>
      <c r="D387"/>
      <c r="E387"/>
      <c r="F387"/>
      <c r="G387"/>
      <c r="H387"/>
      <c r="I387"/>
      <c r="J387"/>
      <c r="K387"/>
      <c r="L387"/>
      <c r="M387"/>
      <c r="N387"/>
      <c r="O387"/>
      <c r="P387"/>
      <c r="Q387"/>
      <c r="R387"/>
      <c r="S387"/>
      <c r="T387"/>
      <c r="U387"/>
      <c r="V387"/>
      <c r="W387"/>
      <c r="X387"/>
      <c r="Y387"/>
      <c r="Z387"/>
      <c r="AA387"/>
      <c r="AB387"/>
      <c r="AC387"/>
      <c r="AD387"/>
    </row>
    <row r="388" spans="1:30" s="82" customFormat="1" x14ac:dyDescent="0.25">
      <c r="A388"/>
      <c r="B388"/>
      <c r="C388"/>
      <c r="D388"/>
      <c r="E388"/>
      <c r="F388"/>
      <c r="G388"/>
      <c r="H388"/>
      <c r="I388"/>
      <c r="J388"/>
      <c r="K388"/>
      <c r="L388"/>
      <c r="M388"/>
      <c r="N388"/>
      <c r="O388"/>
      <c r="P388"/>
      <c r="Q388"/>
      <c r="R388"/>
      <c r="S388"/>
      <c r="T388"/>
      <c r="U388"/>
      <c r="V388"/>
      <c r="W388"/>
      <c r="X388"/>
      <c r="Y388"/>
      <c r="Z388"/>
      <c r="AA388"/>
      <c r="AB388"/>
      <c r="AC388"/>
      <c r="AD388"/>
    </row>
    <row r="389" spans="1:30" s="82" customFormat="1" x14ac:dyDescent="0.25">
      <c r="A389"/>
      <c r="B389"/>
      <c r="C389"/>
      <c r="D389"/>
      <c r="E389"/>
      <c r="F389"/>
      <c r="G389"/>
      <c r="H389"/>
      <c r="I389"/>
      <c r="J389"/>
      <c r="K389"/>
      <c r="L389"/>
      <c r="M389"/>
      <c r="N389"/>
      <c r="O389"/>
      <c r="P389"/>
      <c r="Q389"/>
      <c r="R389"/>
      <c r="S389"/>
      <c r="T389"/>
      <c r="U389"/>
      <c r="V389"/>
      <c r="W389"/>
      <c r="X389"/>
      <c r="Y389"/>
      <c r="Z389"/>
      <c r="AA389"/>
      <c r="AB389"/>
      <c r="AC389"/>
      <c r="AD389"/>
    </row>
    <row r="390" spans="1:30" s="82" customFormat="1" x14ac:dyDescent="0.25">
      <c r="A390"/>
      <c r="B390"/>
      <c r="C390"/>
      <c r="D390"/>
      <c r="E390"/>
      <c r="F390"/>
      <c r="G390"/>
      <c r="H390"/>
      <c r="I390"/>
      <c r="J390"/>
      <c r="K390"/>
      <c r="L390"/>
      <c r="M390"/>
      <c r="N390"/>
      <c r="O390"/>
      <c r="P390"/>
      <c r="Q390"/>
      <c r="R390"/>
      <c r="S390"/>
      <c r="T390"/>
      <c r="U390"/>
      <c r="V390"/>
      <c r="W390"/>
      <c r="X390"/>
      <c r="Y390"/>
      <c r="Z390"/>
      <c r="AA390"/>
      <c r="AB390"/>
      <c r="AC390"/>
      <c r="AD390"/>
    </row>
    <row r="391" spans="1:30" s="82" customFormat="1" x14ac:dyDescent="0.25">
      <c r="A391"/>
      <c r="B391"/>
      <c r="C391"/>
      <c r="D391"/>
      <c r="E391"/>
      <c r="F391"/>
      <c r="G391"/>
      <c r="H391"/>
      <c r="I391"/>
      <c r="J391"/>
      <c r="K391"/>
      <c r="L391"/>
      <c r="M391"/>
      <c r="N391"/>
      <c r="O391"/>
      <c r="P391"/>
      <c r="Q391"/>
      <c r="R391"/>
      <c r="S391"/>
      <c r="T391"/>
      <c r="U391"/>
      <c r="V391"/>
      <c r="W391"/>
      <c r="X391"/>
      <c r="Y391"/>
      <c r="Z391"/>
      <c r="AA391"/>
      <c r="AB391"/>
      <c r="AC391"/>
      <c r="AD391"/>
    </row>
    <row r="392" spans="1:30" s="82" customFormat="1" x14ac:dyDescent="0.25">
      <c r="A392"/>
      <c r="B392"/>
      <c r="C392"/>
      <c r="D392"/>
      <c r="E392"/>
      <c r="F392"/>
      <c r="G392"/>
      <c r="H392"/>
      <c r="I392"/>
      <c r="J392"/>
      <c r="K392"/>
      <c r="L392"/>
      <c r="M392"/>
      <c r="N392"/>
      <c r="O392"/>
      <c r="P392"/>
      <c r="Q392"/>
      <c r="R392"/>
      <c r="S392"/>
      <c r="T392"/>
      <c r="U392"/>
      <c r="V392"/>
      <c r="W392"/>
      <c r="X392"/>
      <c r="Y392"/>
      <c r="Z392"/>
      <c r="AA392"/>
      <c r="AB392"/>
      <c r="AC392"/>
      <c r="AD392"/>
    </row>
    <row r="393" spans="1:30" s="82" customFormat="1" x14ac:dyDescent="0.25">
      <c r="A393"/>
      <c r="B393"/>
      <c r="C393"/>
      <c r="D393"/>
      <c r="E393"/>
      <c r="F393"/>
      <c r="G393"/>
      <c r="H393"/>
      <c r="I393"/>
      <c r="J393"/>
      <c r="K393"/>
      <c r="L393"/>
      <c r="M393"/>
      <c r="N393"/>
      <c r="O393"/>
      <c r="P393"/>
      <c r="Q393"/>
      <c r="R393"/>
      <c r="S393"/>
      <c r="T393"/>
      <c r="U393"/>
      <c r="V393"/>
      <c r="W393"/>
      <c r="X393"/>
      <c r="Y393"/>
      <c r="Z393"/>
      <c r="AA393"/>
      <c r="AB393"/>
      <c r="AC393"/>
      <c r="AD393"/>
    </row>
    <row r="394" spans="1:30" s="82" customFormat="1" x14ac:dyDescent="0.25">
      <c r="A394"/>
      <c r="B394"/>
      <c r="C394"/>
      <c r="D394"/>
      <c r="E394"/>
      <c r="F394"/>
      <c r="G394"/>
      <c r="H394"/>
      <c r="I394"/>
      <c r="J394"/>
      <c r="K394"/>
      <c r="L394"/>
      <c r="M394"/>
      <c r="N394"/>
      <c r="O394"/>
      <c r="P394"/>
      <c r="Q394"/>
      <c r="R394"/>
      <c r="S394"/>
      <c r="T394"/>
      <c r="U394"/>
      <c r="V394"/>
      <c r="W394"/>
      <c r="X394"/>
      <c r="Y394"/>
      <c r="Z394"/>
      <c r="AA394"/>
      <c r="AB394"/>
      <c r="AC394"/>
      <c r="AD394"/>
    </row>
    <row r="395" spans="1:30" s="82" customFormat="1" x14ac:dyDescent="0.25">
      <c r="A395"/>
      <c r="B395"/>
      <c r="C395"/>
      <c r="D395"/>
      <c r="E395"/>
      <c r="F395"/>
      <c r="G395"/>
      <c r="H395"/>
      <c r="I395"/>
      <c r="J395"/>
      <c r="K395"/>
      <c r="L395"/>
      <c r="M395"/>
      <c r="N395"/>
      <c r="O395"/>
      <c r="P395"/>
      <c r="Q395"/>
      <c r="R395"/>
      <c r="S395"/>
      <c r="T395"/>
      <c r="U395"/>
      <c r="V395"/>
      <c r="W395"/>
      <c r="X395"/>
      <c r="Y395"/>
      <c r="Z395"/>
      <c r="AA395"/>
      <c r="AB395"/>
      <c r="AC395"/>
      <c r="AD395"/>
    </row>
    <row r="396" spans="1:30" s="82" customFormat="1" x14ac:dyDescent="0.25">
      <c r="A396"/>
      <c r="B396"/>
      <c r="C396"/>
      <c r="D396"/>
      <c r="E396"/>
      <c r="F396"/>
      <c r="G396"/>
      <c r="H396"/>
      <c r="I396"/>
      <c r="J396"/>
      <c r="K396"/>
      <c r="L396"/>
      <c r="M396"/>
      <c r="N396"/>
      <c r="O396"/>
      <c r="P396"/>
      <c r="Q396"/>
      <c r="R396"/>
      <c r="S396"/>
      <c r="T396"/>
      <c r="U396"/>
      <c r="V396"/>
      <c r="W396"/>
      <c r="X396"/>
      <c r="Y396"/>
      <c r="Z396"/>
      <c r="AA396"/>
      <c r="AB396"/>
      <c r="AC396"/>
      <c r="AD396"/>
    </row>
    <row r="397" spans="1:30" s="82" customFormat="1" x14ac:dyDescent="0.25">
      <c r="A397"/>
      <c r="B397"/>
      <c r="C397"/>
      <c r="D397"/>
      <c r="E397"/>
      <c r="F397"/>
      <c r="G397"/>
      <c r="H397"/>
      <c r="I397"/>
      <c r="J397"/>
      <c r="K397"/>
      <c r="L397"/>
      <c r="M397"/>
      <c r="N397"/>
      <c r="O397"/>
      <c r="P397"/>
      <c r="Q397"/>
      <c r="R397"/>
      <c r="S397"/>
      <c r="T397"/>
      <c r="U397"/>
      <c r="V397"/>
      <c r="W397"/>
      <c r="X397"/>
      <c r="Y397"/>
      <c r="Z397"/>
      <c r="AA397"/>
      <c r="AB397"/>
      <c r="AC397"/>
      <c r="AD397"/>
    </row>
    <row r="398" spans="1:30" s="82" customFormat="1" x14ac:dyDescent="0.25">
      <c r="A398"/>
      <c r="B398"/>
      <c r="C398"/>
      <c r="D398"/>
      <c r="E398"/>
      <c r="F398"/>
      <c r="G398"/>
      <c r="H398"/>
      <c r="I398"/>
      <c r="J398"/>
      <c r="K398"/>
      <c r="L398"/>
      <c r="M398"/>
      <c r="N398"/>
      <c r="O398"/>
      <c r="P398"/>
      <c r="Q398"/>
      <c r="R398"/>
      <c r="S398"/>
      <c r="T398"/>
      <c r="U398"/>
      <c r="V398"/>
      <c r="W398"/>
      <c r="X398"/>
      <c r="Y398"/>
      <c r="Z398"/>
      <c r="AA398"/>
      <c r="AB398"/>
      <c r="AC398"/>
      <c r="AD398"/>
    </row>
    <row r="399" spans="1:30" s="82" customFormat="1" x14ac:dyDescent="0.25">
      <c r="A399"/>
      <c r="B399"/>
      <c r="C399"/>
      <c r="D399"/>
      <c r="E399"/>
      <c r="F399"/>
      <c r="G399"/>
      <c r="H399"/>
      <c r="I399"/>
      <c r="J399"/>
      <c r="K399"/>
      <c r="L399"/>
      <c r="M399"/>
      <c r="N399"/>
      <c r="O399"/>
      <c r="P399"/>
      <c r="Q399"/>
      <c r="R399"/>
      <c r="S399"/>
      <c r="T399"/>
      <c r="U399"/>
      <c r="V399"/>
      <c r="W399"/>
      <c r="X399"/>
      <c r="Y399"/>
      <c r="Z399"/>
      <c r="AA399"/>
      <c r="AB399"/>
      <c r="AC399"/>
      <c r="AD399"/>
    </row>
    <row r="400" spans="1:30" s="82" customFormat="1" x14ac:dyDescent="0.25">
      <c r="A400"/>
      <c r="B400"/>
      <c r="C400"/>
      <c r="D400"/>
      <c r="E400"/>
      <c r="F400"/>
      <c r="G400"/>
      <c r="H400"/>
      <c r="I400"/>
      <c r="J400"/>
      <c r="K400"/>
      <c r="L400"/>
      <c r="M400"/>
      <c r="N400"/>
      <c r="O400"/>
      <c r="P400"/>
      <c r="Q400"/>
      <c r="R400"/>
      <c r="S400"/>
      <c r="T400"/>
      <c r="U400"/>
      <c r="V400"/>
      <c r="W400"/>
      <c r="X400"/>
      <c r="Y400"/>
      <c r="Z400"/>
      <c r="AA400"/>
      <c r="AB400"/>
      <c r="AC400"/>
      <c r="AD400"/>
    </row>
    <row r="401" spans="1:30" s="82" customFormat="1" x14ac:dyDescent="0.25">
      <c r="A401"/>
      <c r="B401"/>
      <c r="C401"/>
      <c r="D401"/>
      <c r="E401"/>
      <c r="F401"/>
      <c r="G401"/>
      <c r="H401"/>
      <c r="I401"/>
      <c r="J401"/>
      <c r="K401"/>
      <c r="L401"/>
      <c r="M401"/>
      <c r="N401"/>
      <c r="O401"/>
      <c r="P401"/>
      <c r="Q401"/>
      <c r="R401"/>
      <c r="S401"/>
      <c r="T401"/>
      <c r="U401"/>
      <c r="V401"/>
      <c r="W401"/>
      <c r="X401"/>
      <c r="Y401"/>
      <c r="Z401"/>
      <c r="AA401"/>
      <c r="AB401"/>
      <c r="AC401"/>
      <c r="AD401"/>
    </row>
    <row r="402" spans="1:30" s="82" customFormat="1" x14ac:dyDescent="0.25">
      <c r="A402"/>
      <c r="B402"/>
      <c r="C402"/>
      <c r="D402"/>
      <c r="E402"/>
      <c r="F402"/>
      <c r="G402"/>
      <c r="H402"/>
      <c r="I402"/>
      <c r="J402"/>
      <c r="K402"/>
      <c r="L402"/>
      <c r="M402"/>
      <c r="N402"/>
      <c r="O402"/>
      <c r="P402"/>
      <c r="Q402"/>
      <c r="R402"/>
      <c r="S402"/>
      <c r="T402"/>
      <c r="U402"/>
      <c r="V402"/>
      <c r="W402"/>
      <c r="X402"/>
      <c r="Y402"/>
      <c r="Z402"/>
      <c r="AA402"/>
      <c r="AB402"/>
      <c r="AC402"/>
      <c r="AD402"/>
    </row>
    <row r="403" spans="1:30" s="82" customFormat="1" x14ac:dyDescent="0.25">
      <c r="A403"/>
      <c r="B403"/>
      <c r="C403"/>
      <c r="D403"/>
      <c r="E403"/>
      <c r="F403"/>
      <c r="G403"/>
      <c r="H403"/>
      <c r="I403"/>
      <c r="J403"/>
      <c r="K403"/>
      <c r="L403"/>
      <c r="M403"/>
      <c r="N403"/>
      <c r="O403"/>
      <c r="P403"/>
      <c r="Q403"/>
      <c r="R403"/>
      <c r="S403"/>
      <c r="T403"/>
      <c r="U403"/>
      <c r="V403"/>
      <c r="W403"/>
      <c r="X403"/>
      <c r="Y403"/>
      <c r="Z403"/>
      <c r="AA403"/>
      <c r="AB403"/>
      <c r="AC403"/>
      <c r="AD403"/>
    </row>
    <row r="404" spans="1:30" s="82" customFormat="1" x14ac:dyDescent="0.25">
      <c r="A404"/>
      <c r="B404"/>
      <c r="C404"/>
      <c r="D404"/>
      <c r="E404"/>
      <c r="F404"/>
      <c r="G404"/>
      <c r="H404"/>
      <c r="I404"/>
      <c r="J404"/>
      <c r="K404"/>
      <c r="L404"/>
      <c r="M404"/>
      <c r="N404"/>
      <c r="O404"/>
      <c r="P404"/>
      <c r="Q404"/>
      <c r="R404"/>
      <c r="S404"/>
      <c r="T404"/>
      <c r="U404"/>
      <c r="V404"/>
      <c r="W404"/>
      <c r="X404"/>
      <c r="Y404"/>
      <c r="Z404"/>
      <c r="AA404"/>
      <c r="AB404"/>
      <c r="AC404"/>
      <c r="AD404"/>
    </row>
    <row r="405" spans="1:30" s="82" customFormat="1" x14ac:dyDescent="0.25">
      <c r="A405"/>
      <c r="B405"/>
      <c r="C405"/>
      <c r="D405"/>
      <c r="E405"/>
      <c r="F405"/>
      <c r="G405"/>
      <c r="H405"/>
      <c r="I405"/>
      <c r="J405"/>
      <c r="K405"/>
      <c r="L405"/>
      <c r="M405"/>
      <c r="N405"/>
      <c r="O405"/>
      <c r="P405"/>
      <c r="Q405"/>
      <c r="R405"/>
      <c r="S405"/>
      <c r="T405"/>
      <c r="U405"/>
      <c r="V405"/>
      <c r="W405"/>
      <c r="X405"/>
      <c r="Y405"/>
      <c r="Z405"/>
      <c r="AA405"/>
      <c r="AB405"/>
      <c r="AC405"/>
      <c r="AD405"/>
    </row>
    <row r="406" spans="1:30" s="82" customFormat="1" x14ac:dyDescent="0.25">
      <c r="A406"/>
      <c r="B406"/>
      <c r="C406"/>
      <c r="D406"/>
      <c r="E406"/>
      <c r="F406"/>
      <c r="G406"/>
      <c r="H406"/>
      <c r="I406"/>
      <c r="J406"/>
      <c r="K406"/>
      <c r="L406"/>
      <c r="M406"/>
      <c r="N406"/>
      <c r="O406"/>
      <c r="P406"/>
      <c r="Q406"/>
      <c r="R406"/>
      <c r="S406"/>
      <c r="T406"/>
      <c r="U406"/>
      <c r="V406"/>
      <c r="W406"/>
      <c r="X406"/>
      <c r="Y406"/>
      <c r="Z406"/>
      <c r="AA406"/>
      <c r="AB406"/>
      <c r="AC406"/>
      <c r="AD406"/>
    </row>
    <row r="407" spans="1:30" s="82" customFormat="1" x14ac:dyDescent="0.25">
      <c r="A407"/>
      <c r="B407"/>
      <c r="C407"/>
      <c r="D407"/>
      <c r="E407"/>
      <c r="F407"/>
      <c r="G407"/>
      <c r="H407"/>
      <c r="I407"/>
      <c r="J407"/>
      <c r="K407"/>
      <c r="L407"/>
      <c r="M407"/>
      <c r="N407"/>
      <c r="O407"/>
      <c r="P407"/>
      <c r="Q407"/>
      <c r="R407"/>
      <c r="S407"/>
      <c r="T407"/>
      <c r="U407"/>
      <c r="V407"/>
      <c r="W407"/>
      <c r="X407"/>
      <c r="Y407"/>
      <c r="Z407"/>
      <c r="AA407"/>
      <c r="AB407"/>
      <c r="AC407"/>
      <c r="AD407"/>
    </row>
    <row r="408" spans="1:30" s="82" customFormat="1" x14ac:dyDescent="0.25">
      <c r="A408"/>
      <c r="B408"/>
      <c r="C408"/>
      <c r="D408"/>
      <c r="E408"/>
      <c r="F408"/>
      <c r="G408"/>
      <c r="H408"/>
      <c r="I408"/>
      <c r="J408"/>
      <c r="K408"/>
      <c r="L408"/>
      <c r="M408"/>
      <c r="N408"/>
      <c r="O408"/>
      <c r="P408"/>
      <c r="Q408"/>
      <c r="R408"/>
      <c r="S408"/>
      <c r="T408"/>
      <c r="U408"/>
      <c r="V408"/>
      <c r="W408"/>
      <c r="X408"/>
      <c r="Y408"/>
      <c r="Z408"/>
      <c r="AA408"/>
      <c r="AB408"/>
      <c r="AC408"/>
      <c r="AD408"/>
    </row>
    <row r="409" spans="1:30" s="82" customFormat="1" x14ac:dyDescent="0.25">
      <c r="A409"/>
      <c r="B409"/>
      <c r="C409"/>
      <c r="D409"/>
      <c r="E409"/>
      <c r="F409"/>
      <c r="G409"/>
      <c r="H409"/>
      <c r="I409"/>
      <c r="J409"/>
      <c r="K409"/>
      <c r="L409"/>
      <c r="M409"/>
      <c r="N409"/>
      <c r="O409"/>
      <c r="P409"/>
      <c r="Q409"/>
      <c r="R409"/>
      <c r="S409"/>
      <c r="T409"/>
      <c r="U409"/>
      <c r="V409"/>
      <c r="W409"/>
      <c r="X409"/>
      <c r="Y409"/>
      <c r="Z409"/>
      <c r="AA409"/>
      <c r="AB409"/>
      <c r="AC409"/>
      <c r="AD409"/>
    </row>
    <row r="410" spans="1:30" s="82" customFormat="1" x14ac:dyDescent="0.25">
      <c r="A410"/>
      <c r="B410"/>
      <c r="C410"/>
      <c r="D410"/>
      <c r="E410"/>
      <c r="F410"/>
      <c r="G410"/>
      <c r="H410"/>
      <c r="I410"/>
      <c r="J410"/>
      <c r="K410"/>
      <c r="L410"/>
      <c r="M410"/>
      <c r="N410"/>
      <c r="O410"/>
      <c r="P410"/>
      <c r="Q410"/>
      <c r="R410"/>
      <c r="S410"/>
      <c r="T410"/>
      <c r="U410"/>
      <c r="V410"/>
      <c r="W410"/>
      <c r="X410"/>
      <c r="Y410"/>
      <c r="Z410"/>
      <c r="AA410"/>
      <c r="AB410"/>
      <c r="AC410"/>
      <c r="AD410"/>
    </row>
    <row r="411" spans="1:30" s="82" customFormat="1" x14ac:dyDescent="0.25">
      <c r="A411"/>
      <c r="B411"/>
      <c r="C411"/>
      <c r="D411"/>
      <c r="E411"/>
      <c r="F411"/>
      <c r="G411"/>
      <c r="H411"/>
      <c r="I411"/>
      <c r="J411"/>
      <c r="K411"/>
      <c r="L411"/>
      <c r="M411"/>
      <c r="N411"/>
      <c r="O411"/>
      <c r="P411"/>
      <c r="Q411"/>
      <c r="R411"/>
      <c r="S411"/>
      <c r="T411"/>
      <c r="U411"/>
      <c r="V411"/>
      <c r="W411"/>
      <c r="X411"/>
      <c r="Y411"/>
      <c r="Z411"/>
      <c r="AA411"/>
      <c r="AB411"/>
      <c r="AC411"/>
      <c r="AD411"/>
    </row>
    <row r="412" spans="1:30" s="82" customFormat="1" x14ac:dyDescent="0.25">
      <c r="A412"/>
      <c r="B412"/>
      <c r="C412"/>
      <c r="D412"/>
      <c r="E412"/>
      <c r="F412"/>
      <c r="G412"/>
      <c r="H412"/>
      <c r="I412"/>
      <c r="J412"/>
      <c r="K412"/>
      <c r="L412"/>
      <c r="M412"/>
      <c r="N412"/>
      <c r="O412"/>
      <c r="P412"/>
      <c r="Q412"/>
      <c r="R412"/>
      <c r="S412"/>
      <c r="T412"/>
      <c r="U412"/>
      <c r="V412"/>
      <c r="W412"/>
      <c r="X412"/>
      <c r="Y412"/>
      <c r="Z412"/>
      <c r="AA412"/>
      <c r="AB412"/>
      <c r="AC412"/>
      <c r="AD412"/>
    </row>
    <row r="413" spans="1:30" s="82" customFormat="1" x14ac:dyDescent="0.25">
      <c r="A413"/>
      <c r="B413"/>
      <c r="C413"/>
      <c r="D413"/>
      <c r="E413"/>
      <c r="F413"/>
      <c r="G413"/>
      <c r="H413"/>
      <c r="I413"/>
      <c r="J413"/>
      <c r="K413"/>
      <c r="L413"/>
      <c r="M413"/>
      <c r="N413"/>
      <c r="O413"/>
      <c r="P413"/>
      <c r="Q413"/>
      <c r="R413"/>
      <c r="S413"/>
      <c r="T413"/>
      <c r="U413"/>
      <c r="V413"/>
      <c r="W413"/>
      <c r="X413"/>
      <c r="Y413"/>
      <c r="Z413"/>
      <c r="AA413"/>
      <c r="AB413"/>
      <c r="AC413"/>
      <c r="AD413"/>
    </row>
    <row r="414" spans="1:30" s="82" customFormat="1" x14ac:dyDescent="0.25">
      <c r="A414"/>
      <c r="B414"/>
      <c r="C414"/>
      <c r="D414"/>
      <c r="E414"/>
      <c r="F414"/>
      <c r="G414"/>
      <c r="H414"/>
      <c r="I414"/>
      <c r="J414"/>
      <c r="K414"/>
      <c r="L414"/>
      <c r="M414"/>
      <c r="N414"/>
      <c r="O414"/>
      <c r="P414"/>
      <c r="Q414"/>
      <c r="R414"/>
      <c r="S414"/>
      <c r="T414"/>
      <c r="U414"/>
      <c r="V414"/>
      <c r="W414"/>
      <c r="X414"/>
      <c r="Y414"/>
      <c r="Z414"/>
      <c r="AA414"/>
      <c r="AB414"/>
      <c r="AC414"/>
      <c r="AD414"/>
    </row>
    <row r="415" spans="1:30" s="82" customFormat="1" x14ac:dyDescent="0.25">
      <c r="A415"/>
      <c r="B415"/>
      <c r="C415"/>
      <c r="D415"/>
      <c r="E415"/>
      <c r="F415"/>
      <c r="G415"/>
      <c r="H415"/>
      <c r="I415"/>
      <c r="J415"/>
      <c r="K415"/>
      <c r="L415"/>
      <c r="M415"/>
      <c r="N415"/>
      <c r="O415"/>
      <c r="P415"/>
      <c r="Q415"/>
      <c r="R415"/>
      <c r="S415"/>
      <c r="T415"/>
      <c r="U415"/>
      <c r="V415"/>
      <c r="W415"/>
      <c r="X415"/>
      <c r="Y415"/>
      <c r="Z415"/>
      <c r="AA415"/>
      <c r="AB415"/>
      <c r="AC415"/>
      <c r="AD415"/>
    </row>
    <row r="416" spans="1:30" s="82" customFormat="1" x14ac:dyDescent="0.25">
      <c r="A416"/>
      <c r="B416"/>
      <c r="C416"/>
      <c r="D416"/>
      <c r="E416"/>
      <c r="F416"/>
      <c r="G416"/>
      <c r="H416"/>
      <c r="I416"/>
      <c r="J416"/>
      <c r="K416"/>
      <c r="L416"/>
      <c r="M416"/>
      <c r="N416"/>
      <c r="O416"/>
      <c r="P416"/>
      <c r="Q416"/>
      <c r="R416"/>
      <c r="S416"/>
      <c r="T416"/>
      <c r="U416"/>
      <c r="V416"/>
      <c r="W416"/>
      <c r="X416"/>
      <c r="Y416"/>
      <c r="Z416"/>
      <c r="AA416"/>
      <c r="AB416"/>
      <c r="AC416"/>
      <c r="AD416"/>
    </row>
    <row r="417" spans="1:30" s="82" customFormat="1" x14ac:dyDescent="0.25">
      <c r="A417"/>
      <c r="B417"/>
      <c r="C417"/>
      <c r="D417"/>
      <c r="E417"/>
      <c r="F417"/>
      <c r="G417"/>
      <c r="H417"/>
      <c r="I417"/>
      <c r="J417"/>
      <c r="K417"/>
      <c r="L417"/>
      <c r="M417"/>
      <c r="N417"/>
      <c r="O417"/>
      <c r="P417"/>
      <c r="Q417"/>
      <c r="R417"/>
      <c r="S417"/>
      <c r="T417"/>
      <c r="U417"/>
      <c r="V417"/>
      <c r="W417"/>
      <c r="X417"/>
      <c r="Y417"/>
      <c r="Z417"/>
      <c r="AA417"/>
      <c r="AB417"/>
      <c r="AC417"/>
      <c r="AD417"/>
    </row>
    <row r="418" spans="1:30" s="82" customFormat="1" x14ac:dyDescent="0.25">
      <c r="A418"/>
      <c r="B418"/>
      <c r="C418"/>
      <c r="D418"/>
      <c r="E418"/>
      <c r="F418"/>
      <c r="G418"/>
      <c r="H418"/>
      <c r="I418"/>
      <c r="J418"/>
      <c r="K418"/>
      <c r="L418"/>
      <c r="M418"/>
      <c r="N418"/>
      <c r="O418"/>
      <c r="P418"/>
      <c r="Q418"/>
      <c r="R418"/>
      <c r="S418"/>
      <c r="T418"/>
      <c r="U418"/>
      <c r="V418"/>
      <c r="W418"/>
      <c r="X418"/>
      <c r="Y418"/>
      <c r="Z418"/>
      <c r="AA418"/>
      <c r="AB418"/>
      <c r="AC418"/>
      <c r="AD418"/>
    </row>
    <row r="419" spans="1:30" s="82" customFormat="1" x14ac:dyDescent="0.25">
      <c r="A419"/>
      <c r="B419"/>
      <c r="C419"/>
      <c r="D419"/>
      <c r="E419"/>
      <c r="F419"/>
      <c r="G419"/>
      <c r="H419"/>
      <c r="I419"/>
      <c r="J419"/>
      <c r="K419"/>
      <c r="L419"/>
      <c r="M419"/>
      <c r="N419"/>
      <c r="O419"/>
      <c r="P419"/>
      <c r="Q419"/>
      <c r="R419"/>
      <c r="S419"/>
      <c r="T419"/>
      <c r="U419"/>
      <c r="V419"/>
      <c r="W419"/>
      <c r="X419"/>
      <c r="Y419"/>
      <c r="Z419"/>
      <c r="AA419"/>
      <c r="AB419"/>
      <c r="AC419"/>
      <c r="AD419"/>
    </row>
    <row r="420" spans="1:30" s="82" customFormat="1" x14ac:dyDescent="0.25">
      <c r="A420"/>
      <c r="B420"/>
      <c r="C420"/>
      <c r="D420"/>
      <c r="E420"/>
      <c r="F420"/>
      <c r="G420"/>
      <c r="H420"/>
      <c r="I420"/>
      <c r="J420"/>
      <c r="K420"/>
      <c r="L420"/>
      <c r="M420"/>
      <c r="N420"/>
      <c r="O420"/>
      <c r="P420"/>
      <c r="Q420"/>
      <c r="R420"/>
      <c r="S420"/>
      <c r="T420"/>
      <c r="U420"/>
      <c r="V420"/>
      <c r="W420"/>
      <c r="X420"/>
      <c r="Y420"/>
      <c r="Z420"/>
      <c r="AA420"/>
      <c r="AB420"/>
      <c r="AC420"/>
      <c r="AD420"/>
    </row>
    <row r="421" spans="1:30" s="82" customFormat="1" x14ac:dyDescent="0.25">
      <c r="A421"/>
      <c r="B421"/>
      <c r="C421"/>
      <c r="D421"/>
      <c r="E421"/>
      <c r="F421"/>
      <c r="G421"/>
      <c r="H421"/>
      <c r="I421"/>
      <c r="J421"/>
      <c r="K421"/>
      <c r="L421"/>
      <c r="M421"/>
      <c r="N421"/>
      <c r="O421"/>
      <c r="P421"/>
      <c r="Q421"/>
      <c r="R421"/>
      <c r="S421"/>
      <c r="T421"/>
      <c r="U421"/>
      <c r="V421"/>
      <c r="W421"/>
      <c r="X421"/>
      <c r="Y421"/>
      <c r="Z421"/>
      <c r="AA421"/>
      <c r="AB421"/>
      <c r="AC421"/>
      <c r="AD421"/>
    </row>
    <row r="422" spans="1:30" s="82" customFormat="1" x14ac:dyDescent="0.25">
      <c r="A422"/>
      <c r="B422"/>
      <c r="C422"/>
      <c r="D422"/>
      <c r="E422"/>
      <c r="F422"/>
      <c r="G422"/>
      <c r="H422"/>
      <c r="I422"/>
      <c r="J422"/>
      <c r="K422"/>
      <c r="L422"/>
      <c r="M422"/>
      <c r="N422"/>
      <c r="O422"/>
      <c r="P422"/>
      <c r="Q422"/>
      <c r="R422"/>
      <c r="S422"/>
      <c r="T422"/>
      <c r="U422"/>
      <c r="V422"/>
      <c r="W422"/>
      <c r="X422"/>
      <c r="Y422"/>
      <c r="Z422"/>
      <c r="AA422"/>
      <c r="AB422"/>
      <c r="AC422"/>
      <c r="AD422"/>
    </row>
    <row r="423" spans="1:30" s="82" customFormat="1" x14ac:dyDescent="0.25">
      <c r="A423"/>
      <c r="B423"/>
      <c r="C423"/>
      <c r="D423"/>
      <c r="E423"/>
      <c r="F423"/>
      <c r="G423"/>
      <c r="H423"/>
      <c r="I423"/>
      <c r="J423"/>
      <c r="K423"/>
      <c r="L423"/>
      <c r="M423"/>
      <c r="N423"/>
      <c r="O423"/>
      <c r="P423"/>
      <c r="Q423"/>
      <c r="R423"/>
      <c r="S423"/>
      <c r="T423"/>
      <c r="U423"/>
      <c r="V423"/>
      <c r="W423"/>
      <c r="X423"/>
      <c r="Y423"/>
      <c r="Z423"/>
      <c r="AA423"/>
      <c r="AB423"/>
      <c r="AC423"/>
      <c r="AD423"/>
    </row>
    <row r="424" spans="1:30" s="82" customFormat="1" x14ac:dyDescent="0.25">
      <c r="A424"/>
      <c r="B424"/>
      <c r="C424"/>
      <c r="D424"/>
      <c r="E424"/>
      <c r="F424"/>
      <c r="G424"/>
      <c r="H424"/>
      <c r="I424"/>
      <c r="J424"/>
      <c r="K424"/>
      <c r="L424"/>
      <c r="M424"/>
      <c r="N424"/>
      <c r="O424"/>
      <c r="P424"/>
      <c r="Q424"/>
      <c r="R424"/>
      <c r="S424"/>
      <c r="T424"/>
      <c r="U424"/>
      <c r="V424"/>
      <c r="W424"/>
      <c r="X424"/>
      <c r="Y424"/>
      <c r="Z424"/>
      <c r="AA424"/>
      <c r="AB424"/>
      <c r="AC424"/>
      <c r="AD424"/>
    </row>
    <row r="425" spans="1:30" s="82" customFormat="1" x14ac:dyDescent="0.25">
      <c r="A425"/>
      <c r="B425"/>
      <c r="C425"/>
      <c r="D425"/>
      <c r="E425"/>
      <c r="F425"/>
      <c r="G425"/>
      <c r="H425"/>
      <c r="I425"/>
      <c r="J425"/>
      <c r="K425"/>
      <c r="L425"/>
      <c r="M425"/>
      <c r="N425"/>
      <c r="O425"/>
      <c r="P425"/>
      <c r="Q425"/>
      <c r="R425"/>
      <c r="S425"/>
      <c r="T425"/>
      <c r="U425"/>
      <c r="V425"/>
      <c r="W425"/>
      <c r="X425"/>
      <c r="Y425"/>
      <c r="Z425"/>
      <c r="AA425"/>
      <c r="AB425"/>
      <c r="AC425"/>
      <c r="AD425"/>
    </row>
    <row r="426" spans="1:30" s="82" customFormat="1" x14ac:dyDescent="0.25">
      <c r="A426"/>
      <c r="B426"/>
      <c r="C426"/>
      <c r="D426"/>
      <c r="E426"/>
      <c r="F426"/>
      <c r="G426"/>
      <c r="H426"/>
      <c r="I426"/>
      <c r="J426"/>
      <c r="K426"/>
      <c r="L426"/>
      <c r="M426"/>
      <c r="N426"/>
      <c r="O426"/>
      <c r="P426"/>
      <c r="Q426"/>
      <c r="R426"/>
      <c r="S426"/>
      <c r="T426"/>
      <c r="U426"/>
      <c r="V426"/>
      <c r="W426"/>
      <c r="X426"/>
      <c r="Y426"/>
      <c r="Z426"/>
      <c r="AA426"/>
      <c r="AB426"/>
      <c r="AC426"/>
      <c r="AD426"/>
    </row>
    <row r="427" spans="1:30" s="82" customFormat="1" x14ac:dyDescent="0.25">
      <c r="A427"/>
      <c r="B427"/>
      <c r="C427"/>
      <c r="D427"/>
      <c r="E427"/>
      <c r="F427"/>
      <c r="G427"/>
      <c r="H427"/>
      <c r="I427"/>
      <c r="J427"/>
      <c r="K427"/>
      <c r="L427"/>
      <c r="M427"/>
      <c r="N427"/>
      <c r="O427"/>
      <c r="P427"/>
      <c r="Q427"/>
      <c r="R427"/>
      <c r="S427"/>
      <c r="T427"/>
      <c r="U427"/>
      <c r="V427"/>
      <c r="W427"/>
      <c r="X427"/>
      <c r="Y427"/>
      <c r="Z427"/>
      <c r="AA427"/>
      <c r="AB427"/>
      <c r="AC427"/>
      <c r="AD427"/>
    </row>
    <row r="428" spans="1:30" s="82" customFormat="1" x14ac:dyDescent="0.25">
      <c r="A428"/>
      <c r="B428"/>
      <c r="C428"/>
      <c r="D428"/>
      <c r="E428"/>
      <c r="F428"/>
      <c r="G428"/>
      <c r="H428"/>
      <c r="I428"/>
      <c r="J428"/>
      <c r="K428"/>
      <c r="L428"/>
      <c r="M428"/>
      <c r="N428"/>
      <c r="O428"/>
      <c r="P428"/>
      <c r="Q428"/>
      <c r="R428"/>
      <c r="S428"/>
      <c r="T428"/>
      <c r="U428"/>
      <c r="V428"/>
      <c r="W428"/>
      <c r="X428"/>
      <c r="Y428"/>
      <c r="Z428"/>
      <c r="AA428"/>
      <c r="AB428"/>
      <c r="AC428"/>
      <c r="AD428"/>
    </row>
    <row r="429" spans="1:30" s="82" customFormat="1" x14ac:dyDescent="0.25">
      <c r="A429"/>
      <c r="B429"/>
      <c r="C429"/>
      <c r="D429"/>
      <c r="E429"/>
      <c r="F429"/>
      <c r="G429"/>
      <c r="H429"/>
      <c r="I429"/>
      <c r="J429"/>
      <c r="K429"/>
      <c r="L429"/>
      <c r="M429"/>
      <c r="N429"/>
      <c r="O429"/>
      <c r="P429"/>
      <c r="Q429"/>
      <c r="R429"/>
      <c r="S429"/>
      <c r="T429"/>
      <c r="U429"/>
      <c r="V429"/>
      <c r="W429"/>
      <c r="X429"/>
      <c r="Y429"/>
      <c r="Z429"/>
      <c r="AA429"/>
      <c r="AB429"/>
      <c r="AC429"/>
      <c r="AD429"/>
    </row>
    <row r="430" spans="1:30" s="82" customFormat="1" x14ac:dyDescent="0.25">
      <c r="A430"/>
      <c r="B430"/>
      <c r="C430"/>
      <c r="D430"/>
      <c r="E430"/>
      <c r="F430"/>
      <c r="G430"/>
      <c r="H430"/>
      <c r="I430"/>
      <c r="J430"/>
      <c r="K430"/>
      <c r="L430"/>
      <c r="M430"/>
      <c r="N430"/>
      <c r="O430"/>
      <c r="P430"/>
      <c r="Q430"/>
      <c r="R430"/>
      <c r="S430"/>
      <c r="T430"/>
      <c r="U430"/>
      <c r="V430"/>
      <c r="W430"/>
      <c r="X430"/>
      <c r="Y430"/>
      <c r="Z430"/>
      <c r="AA430"/>
      <c r="AB430"/>
      <c r="AC430"/>
      <c r="AD430"/>
    </row>
    <row r="431" spans="1:30" s="82" customFormat="1" x14ac:dyDescent="0.25">
      <c r="A431"/>
      <c r="B431"/>
      <c r="C431"/>
      <c r="D431"/>
      <c r="E431"/>
      <c r="F431"/>
      <c r="G431"/>
      <c r="H431"/>
      <c r="I431"/>
      <c r="J431"/>
      <c r="K431"/>
      <c r="L431"/>
      <c r="M431"/>
      <c r="N431"/>
      <c r="O431"/>
      <c r="P431"/>
      <c r="Q431"/>
      <c r="R431"/>
      <c r="S431"/>
      <c r="T431"/>
      <c r="U431"/>
      <c r="V431"/>
      <c r="W431"/>
      <c r="X431"/>
      <c r="Y431"/>
      <c r="Z431"/>
      <c r="AA431"/>
      <c r="AB431"/>
      <c r="AC431"/>
      <c r="AD431"/>
    </row>
    <row r="432" spans="1:30" s="82" customFormat="1" x14ac:dyDescent="0.25">
      <c r="A432"/>
      <c r="B432"/>
      <c r="C432"/>
      <c r="D432"/>
      <c r="E432"/>
      <c r="F432"/>
      <c r="G432"/>
      <c r="H432"/>
      <c r="I432"/>
      <c r="J432"/>
      <c r="K432"/>
      <c r="L432"/>
      <c r="M432"/>
      <c r="N432"/>
      <c r="O432"/>
      <c r="P432"/>
      <c r="Q432"/>
      <c r="R432"/>
      <c r="S432"/>
      <c r="T432"/>
      <c r="U432"/>
      <c r="V432"/>
      <c r="W432"/>
      <c r="X432"/>
      <c r="Y432"/>
      <c r="Z432"/>
      <c r="AA432"/>
      <c r="AB432"/>
      <c r="AC432"/>
      <c r="AD432"/>
    </row>
    <row r="433" spans="1:30" s="82" customFormat="1" x14ac:dyDescent="0.25">
      <c r="A433"/>
      <c r="B433"/>
      <c r="C433"/>
      <c r="D433"/>
      <c r="E433"/>
      <c r="F433"/>
      <c r="G433"/>
      <c r="H433"/>
      <c r="I433"/>
      <c r="J433"/>
      <c r="K433"/>
      <c r="L433"/>
      <c r="M433"/>
      <c r="N433"/>
      <c r="O433"/>
      <c r="P433"/>
      <c r="Q433"/>
      <c r="R433"/>
      <c r="S433"/>
      <c r="T433"/>
      <c r="U433"/>
      <c r="V433"/>
      <c r="W433"/>
      <c r="X433"/>
      <c r="Y433"/>
      <c r="Z433"/>
      <c r="AA433"/>
      <c r="AB433"/>
      <c r="AC433"/>
      <c r="AD433"/>
    </row>
    <row r="434" spans="1:30" s="82" customFormat="1" x14ac:dyDescent="0.25">
      <c r="A434"/>
      <c r="B434"/>
      <c r="C434"/>
      <c r="D434"/>
      <c r="E434"/>
      <c r="F434"/>
      <c r="G434"/>
      <c r="H434"/>
      <c r="I434"/>
      <c r="J434"/>
      <c r="K434"/>
      <c r="L434"/>
      <c r="M434"/>
      <c r="N434"/>
      <c r="O434"/>
      <c r="P434"/>
      <c r="Q434"/>
      <c r="R434"/>
      <c r="S434"/>
      <c r="T434"/>
      <c r="U434"/>
      <c r="V434"/>
      <c r="W434"/>
      <c r="X434"/>
      <c r="Y434"/>
      <c r="Z434"/>
      <c r="AA434"/>
      <c r="AB434"/>
      <c r="AC434"/>
      <c r="AD434"/>
    </row>
    <row r="435" spans="1:30" s="82" customFormat="1" x14ac:dyDescent="0.25">
      <c r="A435"/>
      <c r="B435"/>
      <c r="C435"/>
      <c r="D435"/>
      <c r="E435"/>
      <c r="F435"/>
      <c r="G435"/>
      <c r="H435"/>
      <c r="I435"/>
      <c r="J435"/>
      <c r="K435"/>
      <c r="L435"/>
      <c r="M435"/>
      <c r="N435"/>
      <c r="O435"/>
      <c r="P435"/>
      <c r="Q435"/>
      <c r="R435"/>
      <c r="S435"/>
      <c r="T435"/>
      <c r="U435"/>
      <c r="V435"/>
      <c r="W435"/>
      <c r="X435"/>
      <c r="Y435"/>
      <c r="Z435"/>
      <c r="AA435"/>
      <c r="AB435"/>
      <c r="AC435"/>
      <c r="AD435"/>
    </row>
    <row r="436" spans="1:30" s="82" customFormat="1" x14ac:dyDescent="0.25">
      <c r="A436"/>
      <c r="B436"/>
      <c r="C436"/>
      <c r="D436"/>
      <c r="E436"/>
      <c r="F436"/>
      <c r="G436"/>
      <c r="H436"/>
      <c r="I436"/>
      <c r="J436"/>
      <c r="K436"/>
      <c r="L436"/>
      <c r="M436"/>
      <c r="N436"/>
      <c r="O436"/>
      <c r="P436"/>
      <c r="Q436"/>
      <c r="R436"/>
      <c r="S436"/>
      <c r="T436"/>
      <c r="U436"/>
      <c r="V436"/>
      <c r="W436"/>
      <c r="X436"/>
      <c r="Y436"/>
      <c r="Z436"/>
      <c r="AA436"/>
      <c r="AB436"/>
      <c r="AC436"/>
      <c r="AD436"/>
    </row>
    <row r="437" spans="1:30" s="82" customFormat="1" x14ac:dyDescent="0.25">
      <c r="A437"/>
      <c r="B437"/>
      <c r="C437"/>
      <c r="D437"/>
      <c r="E437"/>
      <c r="F437"/>
      <c r="G437"/>
      <c r="H437"/>
      <c r="I437"/>
      <c r="J437"/>
      <c r="K437"/>
      <c r="L437"/>
      <c r="M437"/>
      <c r="N437"/>
      <c r="O437"/>
      <c r="P437"/>
      <c r="Q437"/>
      <c r="R437"/>
      <c r="S437"/>
      <c r="T437"/>
      <c r="U437"/>
      <c r="V437"/>
      <c r="W437"/>
      <c r="X437"/>
      <c r="Y437"/>
      <c r="Z437"/>
      <c r="AA437"/>
      <c r="AB437"/>
      <c r="AC437"/>
      <c r="AD437"/>
    </row>
    <row r="438" spans="1:30" s="82" customFormat="1" x14ac:dyDescent="0.25">
      <c r="A438"/>
      <c r="B438"/>
      <c r="C438"/>
      <c r="D438"/>
      <c r="E438"/>
      <c r="F438"/>
      <c r="G438"/>
      <c r="H438"/>
      <c r="I438"/>
      <c r="J438"/>
      <c r="K438"/>
      <c r="L438"/>
      <c r="M438"/>
      <c r="N438"/>
      <c r="O438"/>
      <c r="P438"/>
      <c r="Q438"/>
      <c r="R438"/>
      <c r="S438"/>
      <c r="T438"/>
      <c r="U438"/>
      <c r="V438"/>
      <c r="W438"/>
      <c r="X438"/>
      <c r="Y438"/>
      <c r="Z438"/>
      <c r="AA438"/>
      <c r="AB438"/>
      <c r="AC438"/>
      <c r="AD438"/>
    </row>
    <row r="439" spans="1:30" s="82" customFormat="1" x14ac:dyDescent="0.25">
      <c r="A439"/>
      <c r="B439"/>
      <c r="C439"/>
      <c r="D439"/>
      <c r="E439"/>
      <c r="F439"/>
      <c r="G439"/>
      <c r="H439"/>
      <c r="I439"/>
      <c r="J439"/>
      <c r="K439"/>
      <c r="L439"/>
      <c r="M439"/>
      <c r="N439"/>
      <c r="O439"/>
      <c r="P439"/>
      <c r="Q439"/>
      <c r="R439"/>
      <c r="S439"/>
      <c r="T439"/>
      <c r="U439"/>
      <c r="V439"/>
      <c r="W439"/>
      <c r="X439"/>
      <c r="Y439"/>
      <c r="Z439"/>
      <c r="AA439"/>
      <c r="AB439"/>
      <c r="AC439"/>
      <c r="AD439"/>
    </row>
    <row r="440" spans="1:30" s="82" customFormat="1" x14ac:dyDescent="0.25">
      <c r="A440"/>
      <c r="B440"/>
      <c r="C440"/>
      <c r="D440"/>
      <c r="E440"/>
      <c r="F440"/>
      <c r="G440"/>
      <c r="H440"/>
      <c r="I440"/>
      <c r="J440"/>
      <c r="K440"/>
      <c r="L440"/>
      <c r="M440"/>
      <c r="N440"/>
      <c r="O440"/>
      <c r="P440"/>
      <c r="Q440"/>
      <c r="R440"/>
      <c r="S440"/>
      <c r="T440"/>
      <c r="U440"/>
      <c r="V440"/>
      <c r="W440"/>
      <c r="X440"/>
      <c r="Y440"/>
      <c r="Z440"/>
      <c r="AA440"/>
      <c r="AB440"/>
      <c r="AC440"/>
      <c r="AD440"/>
    </row>
    <row r="441" spans="1:30" s="82" customFormat="1" x14ac:dyDescent="0.25">
      <c r="A441"/>
      <c r="B441"/>
      <c r="C441"/>
      <c r="D441"/>
      <c r="E441"/>
      <c r="F441"/>
      <c r="G441"/>
      <c r="H441"/>
      <c r="I441"/>
      <c r="J441"/>
      <c r="K441"/>
      <c r="L441"/>
      <c r="M441"/>
      <c r="N441"/>
      <c r="O441"/>
      <c r="P441"/>
      <c r="Q441"/>
      <c r="R441"/>
      <c r="S441"/>
      <c r="T441"/>
      <c r="U441"/>
      <c r="V441"/>
      <c r="W441"/>
      <c r="X441"/>
      <c r="Y441"/>
      <c r="Z441"/>
      <c r="AA441"/>
      <c r="AB441"/>
      <c r="AC441"/>
      <c r="AD441"/>
    </row>
    <row r="442" spans="1:30" s="82" customFormat="1" x14ac:dyDescent="0.25">
      <c r="A442"/>
      <c r="B442"/>
      <c r="C442"/>
      <c r="D442"/>
      <c r="E442"/>
      <c r="F442"/>
      <c r="G442"/>
      <c r="H442"/>
      <c r="I442"/>
      <c r="J442"/>
      <c r="K442"/>
      <c r="L442"/>
      <c r="M442"/>
      <c r="N442"/>
      <c r="O442"/>
      <c r="P442"/>
      <c r="Q442"/>
      <c r="R442"/>
      <c r="S442"/>
      <c r="T442"/>
      <c r="U442"/>
      <c r="V442"/>
      <c r="W442"/>
      <c r="X442"/>
      <c r="Y442"/>
      <c r="Z442"/>
      <c r="AA442"/>
      <c r="AB442"/>
      <c r="AC442"/>
      <c r="AD442"/>
    </row>
    <row r="443" spans="1:30" s="82" customFormat="1" x14ac:dyDescent="0.25">
      <c r="A443"/>
      <c r="B443"/>
      <c r="C443"/>
      <c r="D443"/>
      <c r="E443"/>
      <c r="F443"/>
      <c r="G443"/>
      <c r="H443"/>
      <c r="I443"/>
      <c r="J443"/>
      <c r="K443"/>
      <c r="L443"/>
      <c r="M443"/>
      <c r="N443"/>
      <c r="O443"/>
      <c r="P443"/>
      <c r="Q443"/>
      <c r="R443"/>
      <c r="S443"/>
      <c r="T443"/>
      <c r="U443"/>
      <c r="V443"/>
      <c r="W443"/>
      <c r="X443"/>
      <c r="Y443"/>
      <c r="Z443"/>
      <c r="AA443"/>
      <c r="AB443"/>
      <c r="AC443"/>
      <c r="AD443"/>
    </row>
    <row r="444" spans="1:30" s="82" customFormat="1" x14ac:dyDescent="0.25">
      <c r="A444"/>
      <c r="B444"/>
      <c r="C444"/>
      <c r="D444"/>
      <c r="E444"/>
      <c r="F444"/>
      <c r="G444"/>
      <c r="H444"/>
      <c r="I444"/>
      <c r="J444"/>
      <c r="K444"/>
      <c r="L444"/>
      <c r="M444"/>
      <c r="N444"/>
      <c r="O444"/>
      <c r="P444"/>
      <c r="Q444"/>
      <c r="R444"/>
      <c r="S444"/>
      <c r="T444"/>
      <c r="U444"/>
      <c r="V444"/>
      <c r="W444"/>
      <c r="X444"/>
      <c r="Y444"/>
      <c r="Z444"/>
      <c r="AA444"/>
      <c r="AB444"/>
      <c r="AC444"/>
      <c r="AD444"/>
    </row>
    <row r="445" spans="1:30" s="82" customFormat="1" x14ac:dyDescent="0.25">
      <c r="A445"/>
      <c r="B445"/>
      <c r="C445"/>
      <c r="D445"/>
      <c r="E445"/>
      <c r="F445"/>
      <c r="G445"/>
      <c r="H445"/>
      <c r="I445"/>
      <c r="J445"/>
      <c r="K445"/>
      <c r="L445"/>
      <c r="M445"/>
      <c r="N445"/>
      <c r="O445"/>
      <c r="P445"/>
      <c r="Q445"/>
      <c r="R445"/>
      <c r="S445"/>
      <c r="T445"/>
      <c r="U445"/>
      <c r="V445"/>
      <c r="W445"/>
      <c r="X445"/>
      <c r="Y445"/>
      <c r="Z445"/>
      <c r="AA445"/>
      <c r="AB445"/>
      <c r="AC445"/>
      <c r="AD445"/>
    </row>
    <row r="446" spans="1:30" s="82" customFormat="1" x14ac:dyDescent="0.25">
      <c r="A446"/>
      <c r="B446"/>
      <c r="C446"/>
      <c r="D446"/>
      <c r="E446"/>
      <c r="F446"/>
      <c r="G446"/>
      <c r="H446"/>
      <c r="I446"/>
      <c r="J446"/>
      <c r="K446"/>
      <c r="L446"/>
      <c r="M446"/>
      <c r="N446"/>
      <c r="O446"/>
      <c r="P446"/>
      <c r="Q446"/>
      <c r="R446"/>
      <c r="S446"/>
      <c r="T446"/>
      <c r="U446"/>
      <c r="V446"/>
      <c r="W446"/>
      <c r="X446"/>
      <c r="Y446"/>
      <c r="Z446"/>
      <c r="AA446"/>
      <c r="AB446"/>
      <c r="AC446"/>
      <c r="AD446"/>
    </row>
    <row r="447" spans="1:30" s="82" customFormat="1" x14ac:dyDescent="0.25">
      <c r="A447"/>
      <c r="B447"/>
      <c r="C447"/>
      <c r="D447"/>
      <c r="E447"/>
      <c r="F447"/>
      <c r="G447"/>
      <c r="H447"/>
      <c r="I447"/>
      <c r="J447"/>
      <c r="K447"/>
      <c r="L447"/>
      <c r="M447"/>
      <c r="N447"/>
      <c r="O447"/>
      <c r="P447"/>
      <c r="Q447"/>
      <c r="R447"/>
      <c r="S447"/>
      <c r="T447"/>
      <c r="U447"/>
      <c r="V447"/>
      <c r="W447"/>
      <c r="X447"/>
      <c r="Y447"/>
      <c r="Z447"/>
      <c r="AA447"/>
      <c r="AB447"/>
      <c r="AC447"/>
      <c r="AD447"/>
    </row>
    <row r="448" spans="1:30" s="82" customFormat="1" x14ac:dyDescent="0.25">
      <c r="A448"/>
      <c r="B448"/>
      <c r="C448"/>
      <c r="D448"/>
      <c r="E448"/>
      <c r="F448"/>
      <c r="G448"/>
      <c r="H448"/>
      <c r="I448"/>
      <c r="J448"/>
      <c r="K448"/>
      <c r="L448"/>
      <c r="M448"/>
      <c r="N448"/>
      <c r="O448"/>
      <c r="P448"/>
      <c r="Q448"/>
      <c r="R448"/>
      <c r="S448"/>
      <c r="T448"/>
      <c r="U448"/>
      <c r="V448"/>
      <c r="W448"/>
      <c r="X448"/>
      <c r="Y448"/>
      <c r="Z448"/>
      <c r="AA448"/>
      <c r="AB448"/>
      <c r="AC448"/>
      <c r="AD448"/>
    </row>
    <row r="449" spans="1:30" s="82" customFormat="1" x14ac:dyDescent="0.25">
      <c r="A449"/>
      <c r="B449"/>
      <c r="C449"/>
      <c r="D449"/>
      <c r="E449"/>
      <c r="F449"/>
      <c r="G449"/>
      <c r="H449"/>
      <c r="I449"/>
      <c r="J449"/>
      <c r="K449"/>
      <c r="L449"/>
      <c r="M449"/>
      <c r="N449"/>
      <c r="O449"/>
      <c r="P449"/>
      <c r="Q449"/>
      <c r="R449"/>
      <c r="S449"/>
      <c r="T449"/>
      <c r="U449"/>
      <c r="V449"/>
      <c r="W449"/>
      <c r="X449"/>
      <c r="Y449"/>
      <c r="Z449"/>
      <c r="AA449"/>
      <c r="AB449"/>
      <c r="AC449"/>
      <c r="AD449"/>
    </row>
    <row r="450" spans="1:30" s="82" customFormat="1" x14ac:dyDescent="0.25">
      <c r="A450"/>
      <c r="B450"/>
      <c r="C450"/>
      <c r="D450"/>
      <c r="E450"/>
      <c r="F450"/>
      <c r="G450"/>
      <c r="H450"/>
      <c r="I450"/>
      <c r="J450"/>
      <c r="K450"/>
      <c r="L450"/>
      <c r="M450"/>
      <c r="N450"/>
      <c r="O450"/>
      <c r="P450"/>
      <c r="Q450"/>
      <c r="R450"/>
      <c r="S450"/>
      <c r="T450"/>
      <c r="U450"/>
      <c r="V450"/>
      <c r="W450"/>
      <c r="X450"/>
      <c r="Y450"/>
      <c r="Z450"/>
      <c r="AA450"/>
      <c r="AB450"/>
      <c r="AC450"/>
      <c r="AD450"/>
    </row>
    <row r="451" spans="1:30" s="82" customFormat="1" x14ac:dyDescent="0.25">
      <c r="A451"/>
      <c r="B451"/>
      <c r="C451"/>
      <c r="D451"/>
      <c r="E451"/>
      <c r="F451"/>
      <c r="G451"/>
      <c r="H451"/>
      <c r="I451"/>
      <c r="J451"/>
      <c r="K451"/>
      <c r="L451"/>
      <c r="M451"/>
      <c r="N451"/>
      <c r="O451"/>
      <c r="P451"/>
      <c r="Q451"/>
      <c r="R451"/>
      <c r="S451"/>
      <c r="T451"/>
      <c r="U451"/>
      <c r="V451"/>
      <c r="W451"/>
      <c r="X451"/>
      <c r="Y451"/>
      <c r="Z451"/>
      <c r="AA451"/>
      <c r="AB451"/>
      <c r="AC451"/>
      <c r="AD451"/>
    </row>
    <row r="452" spans="1:30" s="82" customFormat="1" x14ac:dyDescent="0.25">
      <c r="A452"/>
      <c r="B452"/>
      <c r="C452"/>
      <c r="D452"/>
      <c r="E452"/>
      <c r="F452"/>
      <c r="G452"/>
      <c r="H452"/>
      <c r="I452"/>
      <c r="J452"/>
      <c r="K452"/>
      <c r="L452"/>
      <c r="M452"/>
      <c r="N452"/>
      <c r="O452"/>
      <c r="P452"/>
      <c r="Q452"/>
      <c r="R452"/>
      <c r="S452"/>
      <c r="T452"/>
      <c r="U452"/>
      <c r="V452"/>
      <c r="W452"/>
      <c r="X452"/>
      <c r="Y452"/>
      <c r="Z452"/>
      <c r="AA452"/>
      <c r="AB452"/>
      <c r="AC452"/>
      <c r="AD452"/>
    </row>
    <row r="453" spans="1:30" s="82" customFormat="1" x14ac:dyDescent="0.25">
      <c r="A453"/>
      <c r="B453"/>
      <c r="C453"/>
      <c r="D453"/>
      <c r="E453"/>
      <c r="F453"/>
      <c r="G453"/>
      <c r="H453"/>
      <c r="I453"/>
      <c r="J453"/>
      <c r="K453"/>
      <c r="L453"/>
      <c r="M453"/>
      <c r="N453"/>
      <c r="O453"/>
      <c r="P453"/>
      <c r="Q453"/>
      <c r="R453"/>
      <c r="S453"/>
      <c r="T453"/>
      <c r="U453"/>
      <c r="V453"/>
      <c r="W453"/>
      <c r="X453"/>
      <c r="Y453"/>
      <c r="Z453"/>
      <c r="AA453"/>
      <c r="AB453"/>
      <c r="AC453"/>
      <c r="AD453"/>
    </row>
    <row r="454" spans="1:30" s="82" customFormat="1" x14ac:dyDescent="0.25">
      <c r="A454"/>
      <c r="B454"/>
      <c r="C454"/>
      <c r="D454"/>
      <c r="E454"/>
      <c r="F454"/>
      <c r="G454"/>
      <c r="H454"/>
      <c r="I454"/>
      <c r="J454"/>
      <c r="K454"/>
      <c r="L454"/>
      <c r="M454"/>
      <c r="N454"/>
      <c r="O454"/>
      <c r="P454"/>
      <c r="Q454"/>
      <c r="R454"/>
      <c r="S454"/>
      <c r="T454"/>
      <c r="U454"/>
      <c r="V454"/>
      <c r="W454"/>
      <c r="X454"/>
      <c r="Y454"/>
      <c r="Z454"/>
      <c r="AA454"/>
      <c r="AB454"/>
      <c r="AC454"/>
      <c r="AD454"/>
    </row>
    <row r="455" spans="1:30" s="82" customFormat="1" x14ac:dyDescent="0.25">
      <c r="A455"/>
      <c r="B455"/>
      <c r="C455"/>
      <c r="D455"/>
      <c r="E455"/>
      <c r="F455"/>
      <c r="G455"/>
      <c r="H455"/>
      <c r="I455"/>
      <c r="J455"/>
      <c r="K455"/>
      <c r="L455"/>
      <c r="M455"/>
      <c r="N455"/>
      <c r="O455"/>
      <c r="P455"/>
      <c r="Q455"/>
      <c r="R455"/>
      <c r="S455"/>
      <c r="T455"/>
      <c r="U455"/>
      <c r="V455"/>
      <c r="W455"/>
      <c r="X455"/>
      <c r="Y455"/>
      <c r="Z455"/>
      <c r="AA455"/>
      <c r="AB455"/>
      <c r="AC455"/>
      <c r="AD455"/>
    </row>
    <row r="456" spans="1:30" s="82" customFormat="1" x14ac:dyDescent="0.25">
      <c r="A456"/>
      <c r="B456"/>
      <c r="C456"/>
      <c r="D456"/>
      <c r="E456"/>
      <c r="F456"/>
      <c r="G456"/>
      <c r="H456"/>
      <c r="I456"/>
      <c r="J456"/>
      <c r="K456"/>
      <c r="L456"/>
      <c r="M456"/>
      <c r="N456"/>
      <c r="O456"/>
      <c r="P456"/>
      <c r="Q456"/>
      <c r="R456"/>
      <c r="S456"/>
      <c r="T456"/>
      <c r="U456"/>
      <c r="V456"/>
      <c r="W456"/>
      <c r="X456"/>
      <c r="Y456"/>
      <c r="Z456"/>
      <c r="AA456"/>
      <c r="AB456"/>
      <c r="AC456"/>
      <c r="AD456"/>
    </row>
    <row r="457" spans="1:30" s="82" customFormat="1" x14ac:dyDescent="0.25">
      <c r="A457"/>
      <c r="B457"/>
      <c r="C457"/>
      <c r="D457"/>
      <c r="E457"/>
      <c r="F457"/>
      <c r="G457"/>
      <c r="H457"/>
      <c r="I457"/>
      <c r="J457"/>
      <c r="K457"/>
      <c r="L457"/>
      <c r="M457"/>
      <c r="N457"/>
      <c r="O457"/>
      <c r="P457"/>
      <c r="Q457"/>
      <c r="R457"/>
      <c r="S457"/>
      <c r="T457"/>
      <c r="U457"/>
      <c r="V457"/>
      <c r="W457"/>
      <c r="X457"/>
      <c r="Y457"/>
      <c r="Z457"/>
      <c r="AA457"/>
      <c r="AB457"/>
      <c r="AC457"/>
      <c r="AD457"/>
    </row>
    <row r="458" spans="1:30" s="82" customFormat="1" x14ac:dyDescent="0.25">
      <c r="A458"/>
      <c r="B458"/>
      <c r="C458"/>
      <c r="D458"/>
      <c r="E458"/>
      <c r="F458"/>
      <c r="G458"/>
      <c r="H458"/>
      <c r="I458"/>
      <c r="J458"/>
      <c r="K458"/>
      <c r="L458"/>
      <c r="M458"/>
      <c r="N458"/>
      <c r="O458"/>
      <c r="P458"/>
      <c r="Q458"/>
      <c r="R458"/>
      <c r="S458"/>
      <c r="T458"/>
      <c r="U458"/>
      <c r="V458"/>
      <c r="W458"/>
      <c r="X458"/>
      <c r="Y458"/>
      <c r="Z458"/>
      <c r="AA458"/>
      <c r="AB458"/>
      <c r="AC458"/>
      <c r="AD458"/>
    </row>
    <row r="459" spans="1:30" s="82" customFormat="1" x14ac:dyDescent="0.25">
      <c r="A459"/>
      <c r="B459"/>
      <c r="C459"/>
      <c r="D459"/>
      <c r="E459"/>
      <c r="F459"/>
      <c r="G459"/>
      <c r="H459"/>
      <c r="I459"/>
      <c r="J459"/>
      <c r="K459"/>
      <c r="L459"/>
      <c r="M459"/>
      <c r="N459"/>
      <c r="O459"/>
      <c r="P459"/>
      <c r="Q459"/>
      <c r="R459"/>
      <c r="S459"/>
      <c r="T459"/>
      <c r="U459"/>
      <c r="V459"/>
      <c r="W459"/>
      <c r="X459"/>
      <c r="Y459"/>
      <c r="Z459"/>
      <c r="AA459"/>
      <c r="AB459"/>
      <c r="AC459"/>
      <c r="AD459"/>
    </row>
    <row r="460" spans="1:30" s="82" customFormat="1" x14ac:dyDescent="0.25">
      <c r="A460"/>
      <c r="B460"/>
      <c r="C460"/>
      <c r="D460"/>
      <c r="E460"/>
      <c r="F460"/>
      <c r="G460"/>
      <c r="H460"/>
      <c r="I460"/>
      <c r="J460"/>
      <c r="K460"/>
      <c r="L460"/>
      <c r="M460"/>
      <c r="N460"/>
      <c r="O460"/>
      <c r="P460"/>
      <c r="Q460"/>
      <c r="R460"/>
      <c r="S460"/>
      <c r="T460"/>
      <c r="U460"/>
      <c r="V460"/>
      <c r="W460"/>
      <c r="X460"/>
      <c r="Y460"/>
      <c r="Z460"/>
      <c r="AA460"/>
      <c r="AB460"/>
      <c r="AC460"/>
      <c r="AD460"/>
    </row>
    <row r="461" spans="1:30" s="82" customFormat="1" x14ac:dyDescent="0.25">
      <c r="A461"/>
      <c r="B461"/>
      <c r="C461"/>
      <c r="D461"/>
      <c r="E461"/>
      <c r="F461"/>
      <c r="G461"/>
      <c r="H461"/>
      <c r="I461"/>
      <c r="J461"/>
      <c r="K461"/>
      <c r="L461"/>
      <c r="M461"/>
      <c r="N461"/>
      <c r="O461"/>
      <c r="P461"/>
      <c r="Q461"/>
      <c r="R461"/>
      <c r="S461"/>
      <c r="T461"/>
      <c r="U461"/>
      <c r="V461"/>
      <c r="W461"/>
      <c r="X461"/>
      <c r="Y461"/>
      <c r="Z461"/>
      <c r="AA461"/>
      <c r="AB461"/>
      <c r="AC461"/>
      <c r="AD461"/>
    </row>
    <row r="462" spans="1:30" s="82" customFormat="1" x14ac:dyDescent="0.25">
      <c r="A462"/>
      <c r="B462"/>
      <c r="C462"/>
      <c r="D462"/>
      <c r="E462"/>
      <c r="F462"/>
      <c r="G462"/>
      <c r="H462"/>
      <c r="I462"/>
      <c r="J462"/>
      <c r="K462"/>
      <c r="L462"/>
      <c r="M462"/>
      <c r="N462"/>
      <c r="O462"/>
      <c r="P462"/>
      <c r="Q462"/>
      <c r="R462"/>
      <c r="S462"/>
      <c r="T462"/>
      <c r="U462"/>
      <c r="V462"/>
      <c r="W462"/>
      <c r="X462"/>
      <c r="Y462"/>
      <c r="Z462"/>
      <c r="AA462"/>
      <c r="AB462"/>
      <c r="AC462"/>
      <c r="AD462"/>
    </row>
    <row r="463" spans="1:30" s="82" customFormat="1" x14ac:dyDescent="0.25">
      <c r="A463"/>
      <c r="B463"/>
      <c r="C463"/>
      <c r="D463"/>
      <c r="E463"/>
      <c r="F463"/>
      <c r="G463"/>
      <c r="H463"/>
      <c r="I463"/>
      <c r="J463"/>
      <c r="K463"/>
      <c r="L463"/>
      <c r="M463"/>
      <c r="N463"/>
      <c r="O463"/>
      <c r="P463"/>
      <c r="Q463"/>
      <c r="R463"/>
      <c r="S463"/>
      <c r="T463"/>
      <c r="U463"/>
      <c r="V463"/>
      <c r="W463"/>
      <c r="X463"/>
      <c r="Y463"/>
      <c r="Z463"/>
      <c r="AA463"/>
      <c r="AB463"/>
      <c r="AC463"/>
      <c r="AD463"/>
    </row>
    <row r="464" spans="1:30" s="82" customFormat="1" x14ac:dyDescent="0.25">
      <c r="A464"/>
      <c r="B464"/>
      <c r="C464"/>
      <c r="D464"/>
      <c r="E464"/>
      <c r="F464"/>
      <c r="G464"/>
      <c r="H464"/>
      <c r="I464"/>
      <c r="J464"/>
      <c r="K464"/>
      <c r="L464"/>
      <c r="M464"/>
      <c r="N464"/>
      <c r="O464"/>
      <c r="P464"/>
      <c r="Q464"/>
      <c r="R464"/>
      <c r="S464"/>
      <c r="T464"/>
      <c r="U464"/>
      <c r="V464"/>
      <c r="W464"/>
      <c r="X464"/>
      <c r="Y464"/>
      <c r="Z464"/>
      <c r="AA464"/>
      <c r="AB464"/>
      <c r="AC464"/>
      <c r="AD464"/>
    </row>
    <row r="465" spans="1:30" s="82" customFormat="1" x14ac:dyDescent="0.25">
      <c r="A465"/>
      <c r="B465"/>
      <c r="C465"/>
      <c r="D465"/>
      <c r="E465"/>
      <c r="F465"/>
      <c r="G465"/>
      <c r="H465"/>
      <c r="I465"/>
      <c r="J465"/>
      <c r="K465"/>
      <c r="L465"/>
      <c r="M465"/>
      <c r="N465"/>
      <c r="O465"/>
      <c r="P465"/>
      <c r="Q465"/>
      <c r="R465"/>
      <c r="S465"/>
      <c r="T465"/>
      <c r="U465"/>
      <c r="V465"/>
      <c r="W465"/>
      <c r="X465"/>
      <c r="Y465"/>
      <c r="Z465"/>
      <c r="AA465"/>
      <c r="AB465"/>
      <c r="AC465"/>
      <c r="AD465"/>
    </row>
    <row r="466" spans="1:30" s="82" customFormat="1" x14ac:dyDescent="0.25">
      <c r="A466"/>
      <c r="B466"/>
      <c r="C466"/>
      <c r="D466"/>
      <c r="E466"/>
      <c r="F466"/>
      <c r="G466"/>
      <c r="H466"/>
      <c r="I466"/>
      <c r="J466"/>
      <c r="K466"/>
      <c r="L466"/>
      <c r="M466"/>
      <c r="N466"/>
      <c r="O466"/>
      <c r="P466"/>
      <c r="Q466"/>
      <c r="R466"/>
      <c r="S466"/>
      <c r="T466"/>
      <c r="U466"/>
      <c r="V466"/>
      <c r="W466"/>
      <c r="X466"/>
      <c r="Y466"/>
      <c r="Z466"/>
      <c r="AA466"/>
      <c r="AB466"/>
      <c r="AC466"/>
      <c r="AD466"/>
    </row>
    <row r="467" spans="1:30" s="82" customFormat="1" x14ac:dyDescent="0.25">
      <c r="A467"/>
      <c r="B467"/>
      <c r="C467"/>
      <c r="D467"/>
      <c r="E467"/>
      <c r="F467"/>
      <c r="G467"/>
      <c r="H467"/>
      <c r="I467"/>
      <c r="J467"/>
      <c r="K467"/>
      <c r="L467"/>
      <c r="M467"/>
      <c r="N467"/>
      <c r="O467"/>
      <c r="P467"/>
      <c r="Q467"/>
      <c r="R467"/>
      <c r="S467"/>
      <c r="T467"/>
      <c r="U467"/>
      <c r="V467"/>
      <c r="W467"/>
      <c r="X467"/>
      <c r="Y467"/>
      <c r="Z467"/>
      <c r="AA467"/>
      <c r="AB467"/>
      <c r="AC467"/>
      <c r="AD467"/>
    </row>
    <row r="468" spans="1:30" s="82" customFormat="1" x14ac:dyDescent="0.25">
      <c r="A468"/>
      <c r="B468"/>
      <c r="C468"/>
      <c r="D468"/>
      <c r="E468"/>
      <c r="F468"/>
      <c r="G468"/>
      <c r="H468"/>
      <c r="I468"/>
      <c r="J468"/>
      <c r="K468"/>
      <c r="L468"/>
      <c r="M468"/>
      <c r="N468"/>
      <c r="O468"/>
      <c r="P468"/>
      <c r="Q468"/>
      <c r="R468"/>
      <c r="S468"/>
      <c r="T468"/>
      <c r="U468"/>
      <c r="V468"/>
      <c r="W468"/>
      <c r="X468"/>
      <c r="Y468"/>
      <c r="Z468"/>
      <c r="AA468"/>
      <c r="AB468"/>
      <c r="AC468"/>
      <c r="AD468"/>
    </row>
    <row r="469" spans="1:30" s="82" customFormat="1" x14ac:dyDescent="0.25">
      <c r="A469"/>
      <c r="B469"/>
      <c r="C469"/>
      <c r="D469"/>
      <c r="E469"/>
      <c r="F469"/>
      <c r="G469"/>
      <c r="H469"/>
      <c r="I469"/>
      <c r="J469"/>
      <c r="K469"/>
      <c r="L469"/>
      <c r="M469"/>
      <c r="N469"/>
      <c r="O469"/>
      <c r="P469"/>
      <c r="Q469"/>
      <c r="R469"/>
      <c r="S469"/>
      <c r="T469"/>
      <c r="U469"/>
      <c r="V469"/>
      <c r="W469"/>
      <c r="X469"/>
      <c r="Y469"/>
      <c r="Z469"/>
      <c r="AA469"/>
      <c r="AB469"/>
      <c r="AC469"/>
      <c r="AD469"/>
    </row>
    <row r="470" spans="1:30" s="82" customFormat="1" x14ac:dyDescent="0.25">
      <c r="A470"/>
      <c r="B470"/>
      <c r="C470"/>
      <c r="D470"/>
      <c r="E470"/>
      <c r="F470"/>
      <c r="G470"/>
      <c r="H470"/>
      <c r="I470"/>
      <c r="J470"/>
      <c r="K470"/>
      <c r="L470"/>
      <c r="M470"/>
      <c r="N470"/>
      <c r="O470"/>
      <c r="P470"/>
      <c r="Q470"/>
      <c r="R470"/>
      <c r="S470"/>
      <c r="T470"/>
      <c r="U470"/>
      <c r="V470"/>
      <c r="W470"/>
      <c r="X470"/>
      <c r="Y470"/>
      <c r="Z470"/>
      <c r="AA470"/>
      <c r="AB470"/>
      <c r="AC470"/>
      <c r="AD470"/>
    </row>
    <row r="471" spans="1:30" s="82" customFormat="1" x14ac:dyDescent="0.25">
      <c r="A471"/>
      <c r="B471"/>
      <c r="C471"/>
      <c r="D471"/>
      <c r="E471"/>
      <c r="F471"/>
      <c r="G471"/>
      <c r="H471"/>
      <c r="I471"/>
      <c r="J471"/>
      <c r="K471"/>
      <c r="L471"/>
      <c r="M471"/>
      <c r="N471"/>
      <c r="O471"/>
      <c r="P471"/>
      <c r="Q471"/>
      <c r="R471"/>
      <c r="S471"/>
      <c r="T471"/>
      <c r="U471"/>
      <c r="V471"/>
      <c r="W471"/>
      <c r="X471"/>
      <c r="Y471"/>
      <c r="Z471"/>
      <c r="AA471"/>
      <c r="AB471"/>
      <c r="AC471"/>
      <c r="AD471"/>
    </row>
    <row r="472" spans="1:30" s="82" customFormat="1" x14ac:dyDescent="0.25">
      <c r="A472"/>
      <c r="B472"/>
      <c r="C472"/>
      <c r="D472"/>
      <c r="E472"/>
      <c r="F472"/>
      <c r="G472"/>
      <c r="H472"/>
      <c r="I472"/>
      <c r="J472"/>
      <c r="K472"/>
      <c r="L472"/>
      <c r="M472"/>
      <c r="N472"/>
      <c r="O472"/>
      <c r="P472"/>
      <c r="Q472"/>
      <c r="R472"/>
      <c r="S472"/>
      <c r="T472"/>
      <c r="U472"/>
      <c r="V472"/>
      <c r="W472"/>
      <c r="X472"/>
      <c r="Y472"/>
      <c r="Z472"/>
      <c r="AA472"/>
      <c r="AB472"/>
      <c r="AC472"/>
      <c r="AD472"/>
    </row>
    <row r="473" spans="1:30" s="82" customFormat="1" x14ac:dyDescent="0.25">
      <c r="A473"/>
      <c r="B473"/>
      <c r="C473"/>
      <c r="D473"/>
      <c r="E473"/>
      <c r="F473"/>
      <c r="G473"/>
      <c r="H473"/>
      <c r="I473"/>
      <c r="J473"/>
      <c r="K473"/>
      <c r="L473"/>
      <c r="M473"/>
      <c r="N473"/>
      <c r="O473"/>
      <c r="P473"/>
      <c r="Q473"/>
      <c r="R473"/>
      <c r="S473"/>
      <c r="T473"/>
      <c r="U473"/>
      <c r="V473"/>
      <c r="W473"/>
      <c r="X473"/>
      <c r="Y473"/>
      <c r="Z473"/>
      <c r="AA473"/>
      <c r="AB473"/>
      <c r="AC473"/>
      <c r="AD473"/>
    </row>
    <row r="474" spans="1:30" s="82" customFormat="1" x14ac:dyDescent="0.25">
      <c r="A474"/>
      <c r="B474"/>
      <c r="C474"/>
      <c r="D474"/>
      <c r="E474"/>
      <c r="F474"/>
      <c r="G474"/>
      <c r="H474"/>
      <c r="I474"/>
      <c r="J474"/>
      <c r="K474"/>
      <c r="L474"/>
      <c r="M474"/>
      <c r="N474"/>
      <c r="O474"/>
      <c r="P474"/>
      <c r="Q474"/>
      <c r="R474"/>
      <c r="S474"/>
      <c r="T474"/>
      <c r="U474"/>
      <c r="V474"/>
      <c r="W474"/>
      <c r="X474"/>
      <c r="Y474"/>
      <c r="Z474"/>
      <c r="AA474"/>
      <c r="AB474"/>
      <c r="AC474"/>
      <c r="AD474"/>
    </row>
    <row r="475" spans="1:30" s="82" customFormat="1" x14ac:dyDescent="0.25">
      <c r="A475"/>
      <c r="B475"/>
      <c r="C475"/>
      <c r="D475"/>
      <c r="E475"/>
      <c r="F475"/>
      <c r="G475"/>
      <c r="H475"/>
      <c r="I475"/>
      <c r="J475"/>
      <c r="K475"/>
      <c r="L475"/>
      <c r="M475"/>
      <c r="N475"/>
      <c r="O475"/>
      <c r="P475"/>
      <c r="Q475"/>
      <c r="R475"/>
      <c r="S475"/>
      <c r="T475"/>
      <c r="U475"/>
      <c r="V475"/>
      <c r="W475"/>
      <c r="X475"/>
      <c r="Y475"/>
      <c r="Z475"/>
      <c r="AA475"/>
      <c r="AB475"/>
      <c r="AC475"/>
      <c r="AD475"/>
    </row>
    <row r="476" spans="1:30" s="82" customFormat="1" x14ac:dyDescent="0.25">
      <c r="A476"/>
      <c r="B476"/>
      <c r="C476"/>
      <c r="D476"/>
      <c r="E476"/>
      <c r="F476"/>
      <c r="G476"/>
      <c r="H476"/>
      <c r="I476"/>
      <c r="J476"/>
      <c r="K476"/>
      <c r="L476"/>
      <c r="M476"/>
      <c r="N476"/>
      <c r="O476"/>
      <c r="P476"/>
      <c r="Q476"/>
      <c r="R476"/>
      <c r="S476"/>
      <c r="T476"/>
      <c r="U476"/>
      <c r="V476"/>
      <c r="W476"/>
      <c r="X476"/>
      <c r="Y476"/>
      <c r="Z476"/>
      <c r="AA476"/>
      <c r="AB476"/>
      <c r="AC476"/>
      <c r="AD476"/>
    </row>
    <row r="477" spans="1:30" s="82" customFormat="1" x14ac:dyDescent="0.25">
      <c r="A477"/>
      <c r="B477"/>
      <c r="C477"/>
      <c r="D477"/>
      <c r="E477"/>
      <c r="F477"/>
      <c r="G477"/>
      <c r="H477"/>
      <c r="I477"/>
      <c r="J477"/>
      <c r="K477"/>
      <c r="L477"/>
      <c r="M477"/>
      <c r="N477"/>
      <c r="O477"/>
      <c r="P477"/>
      <c r="Q477"/>
      <c r="R477"/>
      <c r="S477"/>
      <c r="T477"/>
      <c r="U477"/>
      <c r="V477"/>
      <c r="W477"/>
      <c r="X477"/>
      <c r="Y477"/>
      <c r="Z477"/>
      <c r="AA477"/>
      <c r="AB477"/>
      <c r="AC477"/>
      <c r="AD477"/>
    </row>
    <row r="478" spans="1:30" s="82" customFormat="1" x14ac:dyDescent="0.25">
      <c r="A478"/>
      <c r="B478"/>
      <c r="C478"/>
      <c r="D478"/>
      <c r="E478"/>
      <c r="F478"/>
      <c r="G478"/>
      <c r="H478"/>
      <c r="I478"/>
      <c r="J478"/>
      <c r="K478"/>
      <c r="L478"/>
      <c r="M478"/>
      <c r="N478"/>
      <c r="O478"/>
      <c r="P478"/>
      <c r="Q478"/>
      <c r="R478"/>
      <c r="S478"/>
      <c r="T478"/>
      <c r="U478"/>
      <c r="V478"/>
      <c r="W478"/>
      <c r="X478"/>
      <c r="Y478"/>
      <c r="Z478"/>
      <c r="AA478"/>
      <c r="AB478"/>
      <c r="AC478"/>
      <c r="AD478"/>
    </row>
    <row r="479" spans="1:30" s="82" customFormat="1" x14ac:dyDescent="0.25">
      <c r="A479"/>
      <c r="B479"/>
      <c r="C479"/>
      <c r="D479"/>
      <c r="E479"/>
      <c r="F479"/>
      <c r="G479"/>
      <c r="H479"/>
      <c r="I479"/>
      <c r="J479"/>
      <c r="K479"/>
      <c r="L479"/>
      <c r="M479"/>
      <c r="N479"/>
      <c r="O479"/>
      <c r="P479"/>
      <c r="Q479"/>
      <c r="R479"/>
      <c r="S479"/>
      <c r="T479"/>
      <c r="U479"/>
      <c r="V479"/>
      <c r="W479"/>
      <c r="X479"/>
      <c r="Y479"/>
      <c r="Z479"/>
      <c r="AA479"/>
      <c r="AB479"/>
      <c r="AC479"/>
      <c r="AD479"/>
    </row>
    <row r="480" spans="1:30" s="82" customFormat="1" x14ac:dyDescent="0.25">
      <c r="A480"/>
      <c r="B480"/>
      <c r="C480"/>
      <c r="D480"/>
      <c r="E480"/>
      <c r="F480"/>
      <c r="G480"/>
      <c r="H480"/>
      <c r="I480"/>
      <c r="J480"/>
      <c r="K480"/>
      <c r="L480"/>
      <c r="M480"/>
      <c r="N480"/>
      <c r="O480"/>
      <c r="P480"/>
      <c r="Q480"/>
      <c r="R480"/>
      <c r="S480"/>
      <c r="T480"/>
      <c r="U480"/>
      <c r="V480"/>
      <c r="W480"/>
      <c r="X480"/>
      <c r="Y480"/>
      <c r="Z480"/>
      <c r="AA480"/>
      <c r="AB480"/>
      <c r="AC480"/>
      <c r="AD480"/>
    </row>
    <row r="481" spans="1:30" s="82" customFormat="1" x14ac:dyDescent="0.25">
      <c r="A481"/>
      <c r="B481"/>
      <c r="C481"/>
      <c r="D481"/>
      <c r="E481"/>
      <c r="F481"/>
      <c r="G481"/>
      <c r="H481"/>
      <c r="I481"/>
      <c r="J481"/>
      <c r="K481"/>
      <c r="L481"/>
      <c r="M481"/>
      <c r="N481"/>
      <c r="O481"/>
      <c r="P481"/>
      <c r="Q481"/>
      <c r="R481"/>
      <c r="S481"/>
      <c r="T481"/>
      <c r="U481"/>
      <c r="V481"/>
      <c r="W481"/>
      <c r="X481"/>
      <c r="Y481"/>
      <c r="Z481"/>
      <c r="AA481"/>
      <c r="AB481"/>
      <c r="AC481"/>
      <c r="AD481"/>
    </row>
    <row r="482" spans="1:30" s="82" customFormat="1" x14ac:dyDescent="0.25">
      <c r="A482"/>
      <c r="B482"/>
      <c r="C482"/>
      <c r="D482"/>
      <c r="E482"/>
      <c r="F482"/>
      <c r="G482"/>
      <c r="H482"/>
      <c r="I482"/>
      <c r="J482"/>
      <c r="K482"/>
      <c r="L482"/>
      <c r="M482"/>
      <c r="N482"/>
      <c r="O482"/>
      <c r="P482"/>
      <c r="Q482"/>
      <c r="R482"/>
      <c r="S482"/>
      <c r="T482"/>
      <c r="U482"/>
      <c r="V482"/>
      <c r="W482"/>
      <c r="X482"/>
      <c r="Y482"/>
      <c r="Z482"/>
      <c r="AA482"/>
      <c r="AB482"/>
      <c r="AC482"/>
      <c r="AD482"/>
    </row>
    <row r="483" spans="1:30" s="82" customFormat="1" x14ac:dyDescent="0.25">
      <c r="A483"/>
      <c r="B483"/>
      <c r="C483"/>
      <c r="D483"/>
      <c r="E483"/>
      <c r="F483"/>
      <c r="G483"/>
      <c r="H483"/>
      <c r="I483"/>
      <c r="J483"/>
      <c r="K483"/>
      <c r="L483"/>
      <c r="M483"/>
      <c r="N483"/>
      <c r="O483"/>
      <c r="P483"/>
      <c r="Q483"/>
      <c r="R483"/>
      <c r="S483"/>
      <c r="T483"/>
      <c r="U483"/>
      <c r="V483"/>
      <c r="W483"/>
      <c r="X483"/>
      <c r="Y483"/>
      <c r="Z483"/>
      <c r="AA483"/>
      <c r="AB483"/>
      <c r="AC483"/>
      <c r="AD483"/>
    </row>
    <row r="484" spans="1:30" s="82" customFormat="1" x14ac:dyDescent="0.25">
      <c r="A484"/>
      <c r="B484"/>
      <c r="C484"/>
      <c r="D484"/>
      <c r="E484"/>
      <c r="F484"/>
      <c r="G484"/>
      <c r="H484"/>
      <c r="I484"/>
      <c r="J484"/>
      <c r="K484"/>
      <c r="L484"/>
      <c r="M484"/>
      <c r="N484"/>
      <c r="O484"/>
      <c r="P484"/>
      <c r="Q484"/>
      <c r="R484"/>
      <c r="S484"/>
      <c r="T484"/>
      <c r="U484"/>
      <c r="V484"/>
      <c r="W484"/>
      <c r="X484"/>
      <c r="Y484"/>
      <c r="Z484"/>
      <c r="AA484"/>
      <c r="AB484"/>
      <c r="AC484"/>
      <c r="AD484"/>
    </row>
    <row r="485" spans="1:30" s="82" customFormat="1" x14ac:dyDescent="0.25">
      <c r="A485"/>
      <c r="B485"/>
      <c r="C485"/>
      <c r="D485"/>
      <c r="E485"/>
      <c r="F485"/>
      <c r="G485"/>
      <c r="H485"/>
      <c r="I485"/>
      <c r="J485"/>
      <c r="K485"/>
      <c r="L485"/>
      <c r="M485"/>
      <c r="N485"/>
      <c r="O485"/>
      <c r="P485"/>
      <c r="Q485"/>
      <c r="R485"/>
      <c r="S485"/>
      <c r="T485"/>
      <c r="U485"/>
      <c r="V485"/>
      <c r="W485"/>
      <c r="X485"/>
      <c r="Y485"/>
      <c r="Z485"/>
      <c r="AA485"/>
      <c r="AB485"/>
      <c r="AC485"/>
      <c r="AD485"/>
    </row>
    <row r="486" spans="1:30" s="82" customFormat="1" x14ac:dyDescent="0.25">
      <c r="A486"/>
      <c r="B486"/>
      <c r="C486"/>
      <c r="D486"/>
      <c r="E486"/>
      <c r="F486"/>
      <c r="G486"/>
      <c r="H486"/>
      <c r="I486"/>
      <c r="J486"/>
      <c r="K486"/>
      <c r="L486"/>
      <c r="M486"/>
      <c r="N486"/>
      <c r="O486"/>
      <c r="P486"/>
      <c r="Q486"/>
      <c r="R486"/>
      <c r="S486"/>
      <c r="T486"/>
      <c r="U486"/>
      <c r="V486"/>
      <c r="W486"/>
      <c r="X486"/>
      <c r="Y486"/>
      <c r="Z486"/>
      <c r="AA486"/>
      <c r="AB486"/>
      <c r="AC486"/>
      <c r="AD486"/>
    </row>
    <row r="487" spans="1:30" s="82" customFormat="1" x14ac:dyDescent="0.25">
      <c r="A487"/>
      <c r="B487"/>
      <c r="C487"/>
      <c r="D487"/>
      <c r="E487"/>
      <c r="F487"/>
      <c r="G487"/>
      <c r="H487"/>
      <c r="I487"/>
      <c r="J487"/>
      <c r="K487"/>
      <c r="L487"/>
      <c r="M487"/>
      <c r="N487"/>
      <c r="O487"/>
      <c r="P487"/>
      <c r="Q487"/>
      <c r="R487"/>
      <c r="S487"/>
      <c r="T487"/>
      <c r="U487"/>
      <c r="V487"/>
      <c r="W487"/>
      <c r="X487"/>
      <c r="Y487"/>
      <c r="Z487"/>
      <c r="AA487"/>
      <c r="AB487"/>
      <c r="AC487"/>
      <c r="AD487"/>
    </row>
    <row r="488" spans="1:30" s="82" customFormat="1" x14ac:dyDescent="0.25">
      <c r="A488"/>
      <c r="B488"/>
      <c r="C488"/>
      <c r="D488"/>
      <c r="E488"/>
      <c r="F488"/>
      <c r="G488"/>
      <c r="H488"/>
      <c r="I488"/>
      <c r="J488"/>
      <c r="K488"/>
      <c r="L488"/>
      <c r="M488"/>
      <c r="N488"/>
      <c r="O488"/>
      <c r="P488"/>
      <c r="Q488"/>
      <c r="R488"/>
      <c r="S488"/>
      <c r="T488"/>
      <c r="U488"/>
      <c r="V488"/>
      <c r="W488"/>
      <c r="X488"/>
      <c r="Y488"/>
      <c r="Z488"/>
      <c r="AA488"/>
      <c r="AB488"/>
      <c r="AC488"/>
      <c r="AD488"/>
    </row>
    <row r="489" spans="1:30" s="82" customFormat="1" x14ac:dyDescent="0.25">
      <c r="A489"/>
      <c r="B489"/>
      <c r="C489"/>
      <c r="D489"/>
      <c r="E489"/>
      <c r="F489"/>
      <c r="G489"/>
      <c r="H489"/>
      <c r="I489"/>
      <c r="J489"/>
      <c r="K489"/>
      <c r="L489"/>
      <c r="M489"/>
      <c r="N489"/>
      <c r="O489"/>
      <c r="P489"/>
      <c r="Q489"/>
      <c r="R489"/>
      <c r="S489"/>
      <c r="T489"/>
      <c r="U489"/>
      <c r="V489"/>
      <c r="W489"/>
      <c r="X489"/>
      <c r="Y489"/>
      <c r="Z489"/>
      <c r="AA489"/>
      <c r="AB489"/>
      <c r="AC489"/>
      <c r="AD489"/>
    </row>
    <row r="490" spans="1:30" s="82" customFormat="1" x14ac:dyDescent="0.25">
      <c r="A490"/>
      <c r="B490"/>
      <c r="C490"/>
      <c r="D490"/>
      <c r="E490"/>
      <c r="F490"/>
      <c r="G490"/>
      <c r="H490"/>
      <c r="I490"/>
      <c r="J490"/>
      <c r="K490"/>
      <c r="L490"/>
      <c r="M490"/>
      <c r="N490"/>
      <c r="O490"/>
      <c r="P490"/>
      <c r="Q490"/>
      <c r="R490"/>
      <c r="S490"/>
      <c r="T490"/>
      <c r="U490"/>
      <c r="V490"/>
      <c r="W490"/>
      <c r="X490"/>
      <c r="Y490"/>
      <c r="Z490"/>
      <c r="AA490"/>
      <c r="AB490"/>
      <c r="AC490"/>
      <c r="AD490"/>
    </row>
    <row r="491" spans="1:30" s="82" customFormat="1" x14ac:dyDescent="0.25">
      <c r="A491"/>
      <c r="B491"/>
      <c r="C491"/>
      <c r="D491"/>
      <c r="E491"/>
      <c r="F491"/>
      <c r="G491"/>
      <c r="H491"/>
      <c r="I491"/>
      <c r="J491"/>
      <c r="K491"/>
      <c r="L491"/>
      <c r="M491"/>
      <c r="N491"/>
      <c r="O491"/>
      <c r="P491"/>
      <c r="Q491"/>
      <c r="R491"/>
      <c r="S491"/>
      <c r="T491"/>
      <c r="U491"/>
      <c r="V491"/>
      <c r="W491"/>
      <c r="X491"/>
      <c r="Y491"/>
      <c r="Z491"/>
      <c r="AA491"/>
      <c r="AB491"/>
      <c r="AC491"/>
      <c r="AD491"/>
    </row>
    <row r="492" spans="1:30" s="82" customFormat="1" x14ac:dyDescent="0.25">
      <c r="A492"/>
      <c r="B492"/>
      <c r="C492"/>
      <c r="D492"/>
      <c r="E492"/>
      <c r="F492"/>
      <c r="G492"/>
      <c r="H492"/>
      <c r="I492"/>
      <c r="J492"/>
      <c r="K492"/>
      <c r="L492"/>
      <c r="M492"/>
      <c r="N492"/>
      <c r="O492"/>
      <c r="P492"/>
      <c r="Q492"/>
      <c r="R492"/>
      <c r="S492"/>
      <c r="T492"/>
      <c r="U492"/>
      <c r="V492"/>
      <c r="W492"/>
      <c r="X492"/>
      <c r="Y492"/>
      <c r="Z492"/>
      <c r="AA492"/>
      <c r="AB492"/>
      <c r="AC492"/>
      <c r="AD492"/>
    </row>
    <row r="493" spans="1:30" s="82" customFormat="1" x14ac:dyDescent="0.25">
      <c r="A493"/>
      <c r="B493"/>
      <c r="C493"/>
      <c r="D493"/>
      <c r="E493"/>
      <c r="F493"/>
      <c r="G493"/>
      <c r="H493"/>
      <c r="I493"/>
      <c r="J493"/>
      <c r="K493"/>
      <c r="L493"/>
      <c r="M493"/>
      <c r="N493"/>
      <c r="O493"/>
      <c r="P493"/>
      <c r="Q493"/>
      <c r="R493"/>
      <c r="S493"/>
      <c r="T493"/>
      <c r="U493"/>
      <c r="V493"/>
      <c r="W493"/>
      <c r="X493"/>
      <c r="Y493"/>
      <c r="Z493"/>
      <c r="AA493"/>
      <c r="AB493"/>
      <c r="AC493"/>
      <c r="AD493"/>
    </row>
    <row r="494" spans="1:30" s="82" customFormat="1" x14ac:dyDescent="0.25">
      <c r="A494"/>
      <c r="B494"/>
      <c r="C494"/>
      <c r="D494"/>
      <c r="E494"/>
      <c r="F494"/>
      <c r="G494"/>
      <c r="H494"/>
      <c r="I494"/>
      <c r="J494"/>
      <c r="K494"/>
      <c r="L494"/>
      <c r="M494"/>
      <c r="N494"/>
      <c r="O494"/>
      <c r="P494"/>
      <c r="Q494"/>
      <c r="R494"/>
      <c r="S494"/>
      <c r="T494"/>
      <c r="U494"/>
      <c r="V494"/>
      <c r="W494"/>
      <c r="X494"/>
      <c r="Y494"/>
      <c r="Z494"/>
      <c r="AA494"/>
      <c r="AB494"/>
      <c r="AC494"/>
      <c r="AD494"/>
    </row>
    <row r="495" spans="1:30" s="82" customFormat="1" x14ac:dyDescent="0.25">
      <c r="A495"/>
      <c r="B495"/>
      <c r="C495"/>
      <c r="D495"/>
      <c r="E495"/>
      <c r="F495"/>
      <c r="G495"/>
      <c r="H495"/>
      <c r="I495"/>
      <c r="J495"/>
      <c r="K495"/>
      <c r="L495"/>
      <c r="M495"/>
      <c r="N495"/>
      <c r="O495"/>
      <c r="P495"/>
      <c r="Q495"/>
      <c r="R495"/>
      <c r="S495"/>
      <c r="T495"/>
      <c r="U495"/>
      <c r="V495"/>
      <c r="W495"/>
      <c r="X495"/>
      <c r="Y495"/>
      <c r="Z495"/>
      <c r="AA495"/>
      <c r="AB495"/>
      <c r="AC495"/>
      <c r="AD495"/>
    </row>
    <row r="496" spans="1:30" s="82" customFormat="1" x14ac:dyDescent="0.25">
      <c r="A496"/>
      <c r="B496"/>
      <c r="C496"/>
      <c r="D496"/>
      <c r="E496"/>
      <c r="F496"/>
      <c r="G496"/>
      <c r="H496"/>
      <c r="I496"/>
      <c r="J496"/>
      <c r="K496"/>
      <c r="L496"/>
      <c r="M496"/>
      <c r="N496"/>
      <c r="O496"/>
      <c r="P496"/>
      <c r="Q496"/>
      <c r="R496"/>
      <c r="S496"/>
      <c r="T496"/>
      <c r="U496"/>
      <c r="V496"/>
      <c r="W496"/>
      <c r="X496"/>
      <c r="Y496"/>
      <c r="Z496"/>
      <c r="AA496"/>
      <c r="AB496"/>
      <c r="AC496"/>
      <c r="AD496"/>
    </row>
    <row r="497" spans="1:30" s="82" customFormat="1" x14ac:dyDescent="0.25">
      <c r="A497"/>
      <c r="B497"/>
      <c r="C497"/>
      <c r="D497"/>
      <c r="E497"/>
      <c r="F497"/>
      <c r="G497"/>
      <c r="H497"/>
      <c r="I497"/>
      <c r="J497"/>
      <c r="K497"/>
      <c r="L497"/>
      <c r="M497"/>
      <c r="N497"/>
      <c r="O497"/>
      <c r="P497"/>
      <c r="Q497"/>
      <c r="R497"/>
      <c r="S497"/>
      <c r="T497"/>
      <c r="U497"/>
      <c r="V497"/>
      <c r="W497"/>
      <c r="X497"/>
      <c r="Y497"/>
      <c r="Z497"/>
      <c r="AA497"/>
      <c r="AB497"/>
      <c r="AC497"/>
      <c r="AD497"/>
    </row>
    <row r="498" spans="1:30" s="82" customFormat="1" x14ac:dyDescent="0.25">
      <c r="A498"/>
      <c r="B498"/>
      <c r="C498"/>
      <c r="D498"/>
      <c r="E498"/>
      <c r="F498"/>
      <c r="G498"/>
      <c r="H498"/>
      <c r="I498"/>
      <c r="J498"/>
      <c r="K498"/>
      <c r="L498"/>
      <c r="M498"/>
      <c r="N498"/>
      <c r="O498"/>
      <c r="P498"/>
      <c r="Q498"/>
      <c r="R498"/>
      <c r="S498"/>
      <c r="T498"/>
      <c r="U498"/>
      <c r="V498"/>
      <c r="W498"/>
      <c r="X498"/>
      <c r="Y498"/>
      <c r="Z498"/>
      <c r="AA498"/>
      <c r="AB498"/>
      <c r="AC498"/>
      <c r="AD498"/>
    </row>
    <row r="499" spans="1:30" s="82" customFormat="1" x14ac:dyDescent="0.25">
      <c r="A499"/>
      <c r="B499"/>
      <c r="C499"/>
      <c r="D499"/>
      <c r="E499"/>
      <c r="F499"/>
      <c r="G499"/>
      <c r="H499"/>
      <c r="I499"/>
      <c r="J499"/>
      <c r="K499"/>
      <c r="L499"/>
      <c r="M499"/>
      <c r="N499"/>
      <c r="O499"/>
      <c r="P499"/>
      <c r="Q499"/>
      <c r="R499"/>
      <c r="S499"/>
      <c r="T499"/>
      <c r="U499"/>
      <c r="V499"/>
      <c r="W499"/>
      <c r="X499"/>
      <c r="Y499"/>
      <c r="Z499"/>
      <c r="AA499"/>
      <c r="AB499"/>
      <c r="AC499"/>
      <c r="AD499"/>
    </row>
    <row r="500" spans="1:30" s="82" customFormat="1" x14ac:dyDescent="0.25">
      <c r="A500"/>
      <c r="B500"/>
      <c r="C500"/>
      <c r="D500"/>
      <c r="E500"/>
      <c r="F500"/>
      <c r="G500"/>
      <c r="H500"/>
      <c r="I500"/>
      <c r="J500"/>
      <c r="K500"/>
      <c r="L500"/>
      <c r="M500"/>
      <c r="N500"/>
      <c r="O500"/>
      <c r="P500"/>
      <c r="Q500"/>
      <c r="R500"/>
      <c r="S500"/>
      <c r="T500"/>
      <c r="U500"/>
      <c r="V500"/>
      <c r="W500"/>
      <c r="X500"/>
      <c r="Y500"/>
      <c r="Z500"/>
      <c r="AA500"/>
      <c r="AB500"/>
      <c r="AC500"/>
      <c r="AD500"/>
    </row>
    <row r="501" spans="1:30" s="82" customFormat="1" x14ac:dyDescent="0.25">
      <c r="A501"/>
      <c r="B501"/>
      <c r="C501"/>
      <c r="D501"/>
      <c r="E501"/>
      <c r="F501"/>
      <c r="G501"/>
      <c r="H501"/>
      <c r="I501"/>
      <c r="J501"/>
      <c r="K501"/>
      <c r="L501"/>
      <c r="M501"/>
      <c r="N501"/>
      <c r="O501"/>
      <c r="P501"/>
      <c r="Q501"/>
      <c r="R501"/>
      <c r="S501"/>
      <c r="T501"/>
      <c r="U501"/>
      <c r="V501"/>
      <c r="W501"/>
      <c r="X501"/>
      <c r="Y501"/>
      <c r="Z501"/>
      <c r="AA501"/>
      <c r="AB501"/>
      <c r="AC501"/>
      <c r="AD501"/>
    </row>
    <row r="502" spans="1:30" s="82" customFormat="1" x14ac:dyDescent="0.25">
      <c r="A502"/>
      <c r="B502"/>
      <c r="C502"/>
      <c r="D502"/>
      <c r="E502"/>
      <c r="F502"/>
      <c r="G502"/>
      <c r="H502"/>
      <c r="I502"/>
      <c r="J502"/>
      <c r="K502"/>
      <c r="L502"/>
      <c r="M502"/>
      <c r="N502"/>
      <c r="O502"/>
      <c r="P502"/>
      <c r="Q502"/>
      <c r="R502"/>
      <c r="S502"/>
      <c r="T502"/>
      <c r="U502"/>
      <c r="V502"/>
      <c r="W502"/>
      <c r="X502"/>
      <c r="Y502"/>
      <c r="Z502"/>
      <c r="AA502"/>
      <c r="AB502"/>
      <c r="AC502"/>
      <c r="AD502"/>
    </row>
    <row r="503" spans="1:30" s="82" customFormat="1" x14ac:dyDescent="0.25">
      <c r="A503"/>
      <c r="B503"/>
      <c r="C503"/>
      <c r="D503"/>
      <c r="E503"/>
      <c r="F503"/>
      <c r="G503"/>
      <c r="H503"/>
      <c r="I503"/>
      <c r="J503"/>
      <c r="K503"/>
      <c r="L503"/>
      <c r="M503"/>
      <c r="N503"/>
      <c r="O503"/>
      <c r="P503"/>
      <c r="Q503"/>
      <c r="R503"/>
      <c r="S503"/>
      <c r="T503"/>
      <c r="U503"/>
      <c r="V503"/>
      <c r="W503"/>
      <c r="X503"/>
      <c r="Y503"/>
      <c r="Z503"/>
      <c r="AA503"/>
      <c r="AB503"/>
      <c r="AC503"/>
      <c r="AD503"/>
    </row>
    <row r="504" spans="1:30" s="82" customFormat="1" x14ac:dyDescent="0.25">
      <c r="A504"/>
      <c r="B504"/>
      <c r="C504"/>
      <c r="D504"/>
      <c r="E504"/>
      <c r="F504"/>
      <c r="G504"/>
      <c r="H504"/>
      <c r="I504"/>
      <c r="J504"/>
      <c r="K504"/>
      <c r="L504"/>
      <c r="M504"/>
      <c r="N504"/>
      <c r="O504"/>
      <c r="P504"/>
      <c r="Q504"/>
      <c r="R504"/>
      <c r="S504"/>
      <c r="T504"/>
      <c r="U504"/>
      <c r="V504"/>
      <c r="W504"/>
      <c r="X504"/>
      <c r="Y504"/>
      <c r="Z504"/>
      <c r="AA504"/>
      <c r="AB504"/>
      <c r="AC504"/>
      <c r="AD504"/>
    </row>
    <row r="505" spans="1:30" s="82" customFormat="1" x14ac:dyDescent="0.25">
      <c r="A505"/>
      <c r="B505"/>
      <c r="C505"/>
      <c r="D505"/>
      <c r="E505"/>
      <c r="F505"/>
      <c r="G505"/>
      <c r="H505"/>
      <c r="I505"/>
      <c r="J505"/>
      <c r="K505"/>
      <c r="L505"/>
      <c r="M505"/>
      <c r="N505"/>
      <c r="O505"/>
      <c r="P505"/>
      <c r="Q505"/>
      <c r="R505"/>
      <c r="S505"/>
      <c r="T505"/>
      <c r="U505"/>
      <c r="V505"/>
      <c r="W505"/>
      <c r="X505"/>
      <c r="Y505"/>
      <c r="Z505"/>
      <c r="AA505"/>
      <c r="AB505"/>
      <c r="AC505"/>
      <c r="AD505"/>
    </row>
    <row r="506" spans="1:30" s="82" customFormat="1" x14ac:dyDescent="0.25">
      <c r="A506"/>
      <c r="B506"/>
      <c r="C506"/>
      <c r="D506"/>
      <c r="E506"/>
      <c r="F506"/>
      <c r="G506"/>
      <c r="H506"/>
      <c r="I506"/>
      <c r="J506"/>
      <c r="K506"/>
      <c r="L506"/>
      <c r="M506"/>
      <c r="N506"/>
      <c r="O506"/>
      <c r="P506"/>
      <c r="Q506"/>
      <c r="R506"/>
      <c r="S506"/>
      <c r="T506"/>
      <c r="U506"/>
      <c r="V506"/>
      <c r="W506"/>
      <c r="X506"/>
      <c r="Y506"/>
      <c r="Z506"/>
      <c r="AA506"/>
      <c r="AB506"/>
      <c r="AC506"/>
      <c r="AD506"/>
    </row>
    <row r="507" spans="1:30" s="82" customFormat="1" x14ac:dyDescent="0.25">
      <c r="A507"/>
      <c r="B507"/>
      <c r="C507"/>
      <c r="D507"/>
      <c r="E507"/>
      <c r="F507"/>
      <c r="G507"/>
      <c r="H507"/>
      <c r="I507"/>
      <c r="J507"/>
      <c r="K507"/>
      <c r="L507"/>
      <c r="M507"/>
      <c r="N507"/>
      <c r="O507"/>
      <c r="P507"/>
      <c r="Q507"/>
      <c r="R507"/>
      <c r="S507"/>
      <c r="T507"/>
      <c r="U507"/>
      <c r="V507"/>
      <c r="W507"/>
      <c r="X507"/>
      <c r="Y507"/>
      <c r="Z507"/>
      <c r="AA507"/>
      <c r="AB507"/>
      <c r="AC507"/>
      <c r="AD507"/>
    </row>
    <row r="508" spans="1:30" s="82" customFormat="1" x14ac:dyDescent="0.25">
      <c r="A508"/>
      <c r="B508"/>
      <c r="C508"/>
      <c r="D508"/>
      <c r="E508"/>
      <c r="F508"/>
      <c r="G508"/>
      <c r="H508"/>
      <c r="I508"/>
      <c r="J508"/>
      <c r="K508"/>
      <c r="L508"/>
      <c r="M508"/>
      <c r="N508"/>
      <c r="O508"/>
      <c r="P508"/>
      <c r="Q508"/>
      <c r="R508"/>
      <c r="S508"/>
      <c r="T508"/>
      <c r="U508"/>
      <c r="V508"/>
      <c r="W508"/>
      <c r="X508"/>
      <c r="Y508"/>
      <c r="Z508"/>
      <c r="AA508"/>
      <c r="AB508"/>
      <c r="AC508"/>
      <c r="AD508"/>
    </row>
    <row r="509" spans="1:30" s="82" customFormat="1" x14ac:dyDescent="0.25">
      <c r="A509"/>
      <c r="B509"/>
      <c r="C509"/>
      <c r="D509"/>
      <c r="E509"/>
      <c r="F509"/>
      <c r="G509"/>
      <c r="H509"/>
      <c r="I509"/>
      <c r="J509"/>
      <c r="K509"/>
      <c r="L509"/>
      <c r="M509"/>
      <c r="N509"/>
      <c r="O509"/>
      <c r="P509"/>
      <c r="Q509"/>
      <c r="R509"/>
      <c r="S509"/>
      <c r="T509"/>
      <c r="U509"/>
      <c r="V509"/>
      <c r="W509"/>
      <c r="X509"/>
      <c r="Y509"/>
      <c r="Z509"/>
      <c r="AA509"/>
      <c r="AB509"/>
      <c r="AC509"/>
      <c r="AD509"/>
    </row>
    <row r="510" spans="1:30" s="82" customFormat="1" x14ac:dyDescent="0.25">
      <c r="A510"/>
      <c r="B510"/>
      <c r="C510"/>
      <c r="D510"/>
      <c r="E510"/>
      <c r="F510"/>
      <c r="G510"/>
      <c r="H510"/>
      <c r="I510"/>
      <c r="J510"/>
      <c r="K510"/>
      <c r="L510"/>
      <c r="M510"/>
      <c r="N510"/>
      <c r="O510"/>
      <c r="P510"/>
      <c r="Q510"/>
      <c r="R510"/>
      <c r="S510"/>
      <c r="T510"/>
      <c r="U510"/>
      <c r="V510"/>
      <c r="W510"/>
      <c r="X510"/>
      <c r="Y510"/>
      <c r="Z510"/>
      <c r="AA510"/>
      <c r="AB510"/>
      <c r="AC510"/>
      <c r="AD510"/>
    </row>
    <row r="511" spans="1:30" s="82" customFormat="1" x14ac:dyDescent="0.25">
      <c r="A511"/>
      <c r="B511"/>
      <c r="C511"/>
      <c r="D511"/>
      <c r="E511"/>
      <c r="F511"/>
      <c r="G511"/>
      <c r="H511"/>
      <c r="I511"/>
      <c r="J511"/>
      <c r="K511"/>
      <c r="L511"/>
      <c r="M511"/>
      <c r="N511"/>
      <c r="O511"/>
      <c r="P511"/>
      <c r="Q511"/>
      <c r="R511"/>
      <c r="S511"/>
      <c r="T511"/>
      <c r="U511"/>
      <c r="V511"/>
      <c r="W511"/>
      <c r="X511"/>
      <c r="Y511"/>
      <c r="Z511"/>
      <c r="AA511"/>
      <c r="AB511"/>
      <c r="AC511"/>
      <c r="AD511"/>
    </row>
    <row r="512" spans="1:30" s="82" customFormat="1" x14ac:dyDescent="0.25">
      <c r="A512"/>
      <c r="B512"/>
      <c r="C512"/>
      <c r="D512"/>
      <c r="E512"/>
      <c r="F512"/>
      <c r="G512"/>
      <c r="H512"/>
      <c r="I512"/>
      <c r="J512"/>
      <c r="K512"/>
      <c r="L512"/>
      <c r="M512"/>
      <c r="N512"/>
      <c r="O512"/>
      <c r="P512"/>
      <c r="Q512"/>
      <c r="R512"/>
      <c r="S512"/>
      <c r="T512"/>
      <c r="U512"/>
      <c r="V512"/>
      <c r="W512"/>
      <c r="X512"/>
      <c r="Y512"/>
      <c r="Z512"/>
      <c r="AA512"/>
      <c r="AB512"/>
      <c r="AC512"/>
      <c r="AD512"/>
    </row>
    <row r="513" spans="1:30" s="82" customFormat="1" x14ac:dyDescent="0.25">
      <c r="A513"/>
      <c r="B513"/>
      <c r="C513"/>
      <c r="D513"/>
      <c r="E513"/>
      <c r="F513"/>
      <c r="G513"/>
      <c r="H513"/>
      <c r="I513"/>
      <c r="J513"/>
      <c r="K513"/>
      <c r="L513"/>
      <c r="M513"/>
      <c r="N513"/>
      <c r="O513"/>
      <c r="P513"/>
      <c r="Q513"/>
      <c r="R513"/>
      <c r="S513"/>
      <c r="T513"/>
      <c r="U513"/>
      <c r="V513"/>
      <c r="W513"/>
      <c r="X513"/>
      <c r="Y513"/>
      <c r="Z513"/>
      <c r="AA513"/>
      <c r="AB513"/>
      <c r="AC513"/>
      <c r="AD513"/>
    </row>
    <row r="514" spans="1:30" s="82" customFormat="1" x14ac:dyDescent="0.25">
      <c r="A514"/>
      <c r="B514"/>
      <c r="C514"/>
      <c r="D514"/>
      <c r="E514"/>
      <c r="F514"/>
      <c r="G514"/>
      <c r="H514"/>
      <c r="I514"/>
      <c r="J514"/>
      <c r="K514"/>
      <c r="L514"/>
      <c r="M514"/>
      <c r="N514"/>
      <c r="O514"/>
      <c r="P514"/>
      <c r="Q514"/>
      <c r="R514"/>
      <c r="S514"/>
      <c r="T514"/>
      <c r="U514"/>
      <c r="V514"/>
      <c r="W514"/>
      <c r="X514"/>
      <c r="Y514"/>
      <c r="Z514"/>
      <c r="AA514"/>
      <c r="AB514"/>
      <c r="AC514"/>
      <c r="AD514"/>
    </row>
    <row r="515" spans="1:30" s="82" customFormat="1" x14ac:dyDescent="0.25">
      <c r="A515"/>
      <c r="B515"/>
      <c r="C515"/>
      <c r="D515"/>
      <c r="E515"/>
      <c r="F515"/>
      <c r="G515"/>
      <c r="H515"/>
      <c r="I515"/>
      <c r="J515"/>
      <c r="K515"/>
      <c r="L515"/>
      <c r="M515"/>
      <c r="N515"/>
      <c r="O515"/>
      <c r="P515"/>
      <c r="Q515"/>
      <c r="R515"/>
      <c r="S515"/>
      <c r="T515"/>
      <c r="U515"/>
      <c r="V515"/>
      <c r="W515"/>
      <c r="X515"/>
      <c r="Y515"/>
      <c r="Z515"/>
      <c r="AA515"/>
      <c r="AB515"/>
      <c r="AC515"/>
      <c r="AD515"/>
    </row>
    <row r="516" spans="1:30" s="82" customFormat="1" x14ac:dyDescent="0.25">
      <c r="A516"/>
      <c r="B516"/>
      <c r="C516"/>
      <c r="D516"/>
      <c r="E516"/>
      <c r="F516"/>
      <c r="G516"/>
      <c r="H516"/>
      <c r="I516"/>
      <c r="J516"/>
      <c r="K516"/>
      <c r="L516"/>
      <c r="M516"/>
      <c r="N516"/>
      <c r="O516"/>
      <c r="P516"/>
      <c r="Q516"/>
      <c r="R516"/>
      <c r="S516"/>
      <c r="T516"/>
      <c r="U516"/>
      <c r="V516"/>
      <c r="W516"/>
      <c r="X516"/>
      <c r="Y516"/>
      <c r="Z516"/>
      <c r="AA516"/>
      <c r="AB516"/>
      <c r="AC516"/>
      <c r="AD516"/>
    </row>
    <row r="517" spans="1:30" s="82" customFormat="1" x14ac:dyDescent="0.25">
      <c r="A517"/>
      <c r="B517"/>
      <c r="C517"/>
      <c r="D517"/>
      <c r="E517"/>
      <c r="F517"/>
      <c r="G517"/>
      <c r="H517"/>
      <c r="I517"/>
      <c r="J517"/>
      <c r="K517"/>
      <c r="L517"/>
      <c r="M517"/>
      <c r="N517"/>
      <c r="O517"/>
      <c r="P517"/>
      <c r="Q517"/>
      <c r="R517"/>
      <c r="S517"/>
      <c r="T517"/>
      <c r="U517"/>
      <c r="V517"/>
      <c r="W517"/>
      <c r="X517"/>
      <c r="Y517"/>
      <c r="Z517"/>
      <c r="AA517"/>
      <c r="AB517"/>
      <c r="AC517"/>
      <c r="AD517"/>
    </row>
    <row r="518" spans="1:30" s="82" customFormat="1" x14ac:dyDescent="0.25">
      <c r="A518"/>
      <c r="B518"/>
      <c r="C518"/>
      <c r="D518"/>
      <c r="E518"/>
      <c r="F518"/>
      <c r="G518"/>
      <c r="H518"/>
      <c r="I518"/>
      <c r="J518"/>
      <c r="K518"/>
      <c r="L518"/>
      <c r="M518"/>
      <c r="N518"/>
      <c r="O518"/>
      <c r="P518"/>
      <c r="Q518"/>
      <c r="R518"/>
      <c r="S518"/>
      <c r="T518"/>
      <c r="U518"/>
      <c r="V518"/>
      <c r="W518"/>
      <c r="X518"/>
      <c r="Y518"/>
      <c r="Z518"/>
      <c r="AA518"/>
      <c r="AB518"/>
      <c r="AC518"/>
      <c r="AD518"/>
    </row>
    <row r="519" spans="1:30" s="82" customFormat="1" x14ac:dyDescent="0.25">
      <c r="A519"/>
      <c r="B519"/>
      <c r="C519"/>
      <c r="D519"/>
      <c r="E519"/>
      <c r="F519"/>
      <c r="G519"/>
      <c r="H519"/>
      <c r="I519"/>
      <c r="J519"/>
      <c r="K519"/>
      <c r="L519"/>
      <c r="M519"/>
      <c r="N519"/>
      <c r="O519"/>
      <c r="P519"/>
      <c r="Q519"/>
      <c r="R519"/>
      <c r="S519"/>
      <c r="T519"/>
      <c r="U519"/>
      <c r="V519"/>
      <c r="W519"/>
      <c r="X519"/>
      <c r="Y519"/>
      <c r="Z519"/>
      <c r="AA519"/>
      <c r="AB519"/>
      <c r="AC519"/>
      <c r="AD519"/>
    </row>
    <row r="520" spans="1:30" s="82" customFormat="1" x14ac:dyDescent="0.25">
      <c r="A520"/>
      <c r="B520"/>
      <c r="C520"/>
      <c r="D520"/>
      <c r="E520"/>
      <c r="F520"/>
      <c r="G520"/>
      <c r="H520"/>
      <c r="I520"/>
      <c r="J520"/>
      <c r="K520"/>
      <c r="L520"/>
      <c r="M520"/>
      <c r="N520"/>
      <c r="O520"/>
      <c r="P520"/>
      <c r="Q520"/>
      <c r="R520"/>
      <c r="S520"/>
      <c r="T520"/>
      <c r="U520"/>
      <c r="V520"/>
      <c r="W520"/>
      <c r="X520"/>
      <c r="Y520"/>
      <c r="Z520"/>
      <c r="AA520"/>
      <c r="AB520"/>
      <c r="AC520"/>
      <c r="AD520"/>
    </row>
    <row r="521" spans="1:30" s="82" customFormat="1" x14ac:dyDescent="0.25">
      <c r="A521"/>
      <c r="B521"/>
      <c r="C521"/>
      <c r="D521"/>
      <c r="E521"/>
      <c r="F521"/>
      <c r="G521"/>
      <c r="H521"/>
      <c r="I521"/>
      <c r="J521"/>
      <c r="K521"/>
      <c r="L521"/>
      <c r="M521"/>
      <c r="N521"/>
      <c r="O521"/>
      <c r="P521"/>
      <c r="Q521"/>
      <c r="R521"/>
      <c r="S521"/>
      <c r="T521"/>
      <c r="U521"/>
      <c r="V521"/>
      <c r="W521"/>
      <c r="X521"/>
      <c r="Y521"/>
      <c r="Z521"/>
      <c r="AA521"/>
      <c r="AB521"/>
      <c r="AC521"/>
      <c r="AD521"/>
    </row>
    <row r="522" spans="1:30" s="82" customFormat="1" x14ac:dyDescent="0.25">
      <c r="A522"/>
      <c r="B522"/>
      <c r="C522"/>
      <c r="D522"/>
      <c r="E522"/>
      <c r="F522"/>
      <c r="G522"/>
      <c r="H522"/>
      <c r="I522"/>
      <c r="J522"/>
      <c r="K522"/>
      <c r="L522"/>
      <c r="M522"/>
      <c r="N522"/>
      <c r="O522"/>
      <c r="P522"/>
      <c r="Q522"/>
      <c r="R522"/>
      <c r="S522"/>
      <c r="T522"/>
      <c r="U522"/>
      <c r="V522"/>
      <c r="W522"/>
      <c r="X522"/>
      <c r="Y522"/>
      <c r="Z522"/>
      <c r="AA522"/>
      <c r="AB522"/>
      <c r="AC522"/>
      <c r="AD522"/>
    </row>
    <row r="523" spans="1:30" s="82" customFormat="1" x14ac:dyDescent="0.25">
      <c r="A523"/>
      <c r="B523"/>
      <c r="C523"/>
      <c r="D523"/>
      <c r="E523"/>
      <c r="F523"/>
      <c r="G523"/>
      <c r="H523"/>
      <c r="I523"/>
      <c r="J523"/>
      <c r="K523"/>
      <c r="L523"/>
      <c r="M523"/>
      <c r="N523"/>
      <c r="O523"/>
      <c r="P523"/>
      <c r="Q523"/>
      <c r="R523"/>
      <c r="S523"/>
      <c r="T523"/>
      <c r="U523"/>
      <c r="V523"/>
      <c r="W523"/>
      <c r="X523"/>
      <c r="Y523"/>
      <c r="Z523"/>
      <c r="AA523"/>
      <c r="AB523"/>
      <c r="AC523"/>
      <c r="AD523"/>
    </row>
    <row r="524" spans="1:30" s="82" customFormat="1" x14ac:dyDescent="0.25">
      <c r="A524"/>
      <c r="B524"/>
      <c r="C524"/>
      <c r="D524"/>
      <c r="E524"/>
      <c r="F524"/>
      <c r="G524"/>
      <c r="H524"/>
      <c r="I524"/>
      <c r="J524"/>
      <c r="K524"/>
      <c r="L524"/>
      <c r="M524"/>
      <c r="N524"/>
      <c r="O524"/>
      <c r="P524"/>
      <c r="Q524"/>
      <c r="R524"/>
      <c r="S524"/>
      <c r="T524"/>
      <c r="U524"/>
      <c r="V524"/>
      <c r="W524"/>
      <c r="X524"/>
      <c r="Y524"/>
      <c r="Z524"/>
      <c r="AA524"/>
      <c r="AB524"/>
      <c r="AC524"/>
      <c r="AD524"/>
    </row>
    <row r="525" spans="1:30" s="82" customFormat="1" x14ac:dyDescent="0.25">
      <c r="A525"/>
      <c r="B525"/>
      <c r="C525"/>
      <c r="D525"/>
      <c r="E525"/>
      <c r="F525"/>
      <c r="G525"/>
      <c r="H525"/>
      <c r="I525"/>
      <c r="J525"/>
      <c r="K525"/>
      <c r="L525"/>
      <c r="M525"/>
      <c r="N525"/>
      <c r="O525"/>
      <c r="P525"/>
      <c r="Q525"/>
      <c r="R525"/>
      <c r="S525"/>
      <c r="T525"/>
      <c r="U525"/>
      <c r="V525"/>
      <c r="W525"/>
      <c r="X525"/>
      <c r="Y525"/>
      <c r="Z525"/>
      <c r="AA525"/>
      <c r="AB525"/>
      <c r="AC525"/>
      <c r="AD525"/>
    </row>
    <row r="526" spans="1:30" s="82" customFormat="1" x14ac:dyDescent="0.25">
      <c r="A526"/>
      <c r="B526"/>
      <c r="C526"/>
      <c r="D526"/>
      <c r="E526"/>
      <c r="F526"/>
      <c r="G526"/>
      <c r="H526"/>
      <c r="I526"/>
      <c r="J526"/>
      <c r="K526"/>
      <c r="L526"/>
      <c r="M526"/>
      <c r="N526"/>
      <c r="O526"/>
      <c r="P526"/>
      <c r="Q526"/>
      <c r="R526"/>
      <c r="S526"/>
      <c r="T526"/>
      <c r="U526"/>
      <c r="V526"/>
      <c r="W526"/>
      <c r="X526"/>
      <c r="Y526"/>
      <c r="Z526"/>
      <c r="AA526"/>
      <c r="AB526"/>
      <c r="AC526"/>
      <c r="AD526"/>
    </row>
    <row r="527" spans="1:30" s="82" customFormat="1" x14ac:dyDescent="0.25">
      <c r="A527"/>
      <c r="B527"/>
      <c r="C527"/>
      <c r="D527"/>
      <c r="E527"/>
      <c r="F527"/>
      <c r="G527"/>
      <c r="H527"/>
      <c r="I527"/>
      <c r="J527"/>
      <c r="K527"/>
      <c r="L527"/>
      <c r="M527"/>
      <c r="N527"/>
      <c r="O527"/>
      <c r="P527"/>
      <c r="Q527"/>
      <c r="R527"/>
      <c r="S527"/>
      <c r="T527"/>
      <c r="U527"/>
      <c r="V527"/>
      <c r="W527"/>
      <c r="X527"/>
      <c r="Y527"/>
      <c r="Z527"/>
      <c r="AA527"/>
      <c r="AB527"/>
      <c r="AC527"/>
      <c r="AD527"/>
    </row>
    <row r="528" spans="1:30" s="82" customFormat="1" x14ac:dyDescent="0.25">
      <c r="A528"/>
      <c r="B528"/>
      <c r="C528"/>
      <c r="D528"/>
      <c r="E528"/>
      <c r="F528"/>
      <c r="G528"/>
      <c r="H528"/>
      <c r="I528"/>
      <c r="J528"/>
      <c r="K528"/>
      <c r="L528"/>
      <c r="M528"/>
      <c r="N528"/>
      <c r="O528"/>
      <c r="P528"/>
      <c r="Q528"/>
      <c r="R528"/>
      <c r="S528"/>
      <c r="T528"/>
      <c r="U528"/>
      <c r="V528"/>
      <c r="W528"/>
      <c r="X528"/>
      <c r="Y528"/>
      <c r="Z528"/>
      <c r="AA528"/>
      <c r="AB528"/>
      <c r="AC528"/>
      <c r="AD528"/>
    </row>
    <row r="529" spans="1:30" s="82" customFormat="1" x14ac:dyDescent="0.25">
      <c r="A529"/>
      <c r="B529"/>
      <c r="C529"/>
      <c r="D529"/>
      <c r="E529"/>
      <c r="F529"/>
      <c r="G529"/>
      <c r="H529"/>
      <c r="I529"/>
      <c r="J529"/>
      <c r="K529"/>
      <c r="L529"/>
      <c r="M529"/>
      <c r="N529"/>
      <c r="O529"/>
      <c r="P529"/>
      <c r="Q529"/>
      <c r="R529"/>
      <c r="S529"/>
      <c r="T529"/>
      <c r="U529"/>
      <c r="V529"/>
      <c r="W529"/>
      <c r="X529"/>
      <c r="Y529"/>
      <c r="Z529"/>
      <c r="AA529"/>
      <c r="AB529"/>
      <c r="AC529"/>
      <c r="AD529"/>
    </row>
    <row r="530" spans="1:30" s="82" customFormat="1" x14ac:dyDescent="0.25">
      <c r="A530"/>
      <c r="B530"/>
      <c r="C530"/>
      <c r="D530"/>
      <c r="E530"/>
      <c r="F530"/>
      <c r="G530"/>
      <c r="H530"/>
      <c r="I530"/>
      <c r="J530"/>
      <c r="K530"/>
      <c r="L530"/>
      <c r="M530"/>
      <c r="N530"/>
      <c r="O530"/>
      <c r="P530"/>
      <c r="Q530"/>
      <c r="R530"/>
      <c r="S530"/>
      <c r="T530"/>
      <c r="U530"/>
      <c r="V530"/>
      <c r="W530"/>
      <c r="X530"/>
      <c r="Y530"/>
      <c r="Z530"/>
      <c r="AA530"/>
      <c r="AB530"/>
      <c r="AC530"/>
      <c r="AD530"/>
    </row>
    <row r="531" spans="1:30" s="82" customFormat="1" x14ac:dyDescent="0.25">
      <c r="A531"/>
      <c r="B531"/>
      <c r="C531"/>
      <c r="D531"/>
      <c r="E531"/>
      <c r="F531"/>
      <c r="G531"/>
      <c r="H531"/>
      <c r="I531"/>
      <c r="J531"/>
      <c r="K531"/>
      <c r="L531"/>
      <c r="M531"/>
      <c r="N531"/>
      <c r="O531"/>
      <c r="P531"/>
      <c r="Q531"/>
      <c r="R531"/>
      <c r="S531"/>
      <c r="T531"/>
      <c r="U531"/>
      <c r="V531"/>
      <c r="W531"/>
      <c r="X531"/>
      <c r="Y531"/>
      <c r="Z531"/>
      <c r="AA531"/>
      <c r="AB531"/>
      <c r="AC531"/>
      <c r="AD531"/>
    </row>
    <row r="532" spans="1:30" s="82" customFormat="1" x14ac:dyDescent="0.25">
      <c r="A532"/>
      <c r="B532"/>
      <c r="C532"/>
      <c r="D532"/>
      <c r="E532"/>
      <c r="F532"/>
      <c r="G532"/>
      <c r="H532"/>
      <c r="I532"/>
      <c r="J532"/>
      <c r="K532"/>
      <c r="L532"/>
      <c r="M532"/>
      <c r="N532"/>
      <c r="O532"/>
      <c r="P532"/>
      <c r="Q532"/>
      <c r="R532"/>
      <c r="S532"/>
      <c r="T532"/>
      <c r="U532"/>
      <c r="V532"/>
      <c r="W532"/>
      <c r="X532"/>
      <c r="Y532"/>
      <c r="Z532"/>
      <c r="AA532"/>
      <c r="AB532"/>
      <c r="AC532"/>
      <c r="AD532"/>
    </row>
    <row r="533" spans="1:30" s="82" customFormat="1" x14ac:dyDescent="0.25">
      <c r="A533"/>
      <c r="B533"/>
      <c r="C533"/>
      <c r="D533"/>
      <c r="E533"/>
      <c r="F533"/>
      <c r="G533"/>
      <c r="H533"/>
      <c r="I533"/>
      <c r="J533"/>
      <c r="K533"/>
      <c r="L533"/>
      <c r="M533"/>
      <c r="N533"/>
      <c r="O533"/>
      <c r="P533"/>
      <c r="Q533"/>
      <c r="R533"/>
      <c r="S533"/>
      <c r="T533"/>
      <c r="U533"/>
      <c r="V533"/>
      <c r="W533"/>
      <c r="X533"/>
      <c r="Y533"/>
      <c r="Z533"/>
      <c r="AA533"/>
      <c r="AB533"/>
      <c r="AC533"/>
      <c r="AD533"/>
    </row>
    <row r="534" spans="1:30" s="82" customFormat="1" x14ac:dyDescent="0.25">
      <c r="A534"/>
      <c r="B534"/>
      <c r="C534"/>
      <c r="D534"/>
      <c r="E534"/>
      <c r="F534"/>
      <c r="G534"/>
      <c r="H534"/>
      <c r="I534"/>
      <c r="J534"/>
      <c r="K534"/>
      <c r="L534"/>
      <c r="M534"/>
      <c r="N534"/>
      <c r="O534"/>
      <c r="P534"/>
      <c r="Q534"/>
      <c r="R534"/>
      <c r="S534"/>
      <c r="T534"/>
      <c r="U534"/>
      <c r="V534"/>
      <c r="W534"/>
      <c r="X534"/>
      <c r="Y534"/>
      <c r="Z534"/>
      <c r="AA534"/>
      <c r="AB534"/>
      <c r="AC534"/>
      <c r="AD534"/>
    </row>
    <row r="535" spans="1:30" s="82" customFormat="1" x14ac:dyDescent="0.25">
      <c r="A535"/>
      <c r="B535"/>
      <c r="C535"/>
      <c r="D535"/>
      <c r="E535"/>
      <c r="F535"/>
      <c r="G535"/>
      <c r="H535"/>
      <c r="I535"/>
      <c r="J535"/>
      <c r="K535"/>
      <c r="L535"/>
      <c r="M535"/>
      <c r="N535"/>
      <c r="O535"/>
      <c r="P535"/>
      <c r="Q535"/>
      <c r="R535"/>
      <c r="S535"/>
      <c r="T535"/>
      <c r="U535"/>
      <c r="V535"/>
      <c r="W535"/>
      <c r="X535"/>
      <c r="Y535"/>
      <c r="Z535"/>
      <c r="AA535"/>
      <c r="AB535"/>
      <c r="AC535"/>
      <c r="AD535"/>
    </row>
    <row r="536" spans="1:30" s="82" customFormat="1" x14ac:dyDescent="0.25">
      <c r="A536"/>
      <c r="B536"/>
      <c r="C536"/>
      <c r="D536"/>
      <c r="E536"/>
      <c r="F536"/>
      <c r="G536"/>
      <c r="H536"/>
      <c r="I536"/>
      <c r="J536"/>
      <c r="K536"/>
      <c r="L536"/>
      <c r="M536"/>
      <c r="N536"/>
      <c r="O536"/>
      <c r="P536"/>
      <c r="Q536"/>
      <c r="R536"/>
      <c r="S536"/>
      <c r="T536"/>
      <c r="U536"/>
      <c r="V536"/>
      <c r="W536"/>
      <c r="X536"/>
      <c r="Y536"/>
      <c r="Z536"/>
      <c r="AA536"/>
      <c r="AB536"/>
      <c r="AC536"/>
      <c r="AD536"/>
    </row>
    <row r="537" spans="1:30" s="82" customFormat="1" x14ac:dyDescent="0.25">
      <c r="A537"/>
      <c r="B537"/>
      <c r="C537"/>
      <c r="D537"/>
      <c r="E537"/>
      <c r="F537"/>
      <c r="G537"/>
      <c r="H537"/>
      <c r="I537"/>
      <c r="J537"/>
      <c r="K537"/>
      <c r="L537"/>
      <c r="M537"/>
      <c r="N537"/>
      <c r="O537"/>
      <c r="P537"/>
      <c r="Q537"/>
      <c r="R537"/>
      <c r="S537"/>
      <c r="T537"/>
      <c r="U537"/>
      <c r="V537"/>
      <c r="W537"/>
      <c r="X537"/>
      <c r="Y537"/>
      <c r="Z537"/>
      <c r="AA537"/>
      <c r="AB537"/>
      <c r="AC537"/>
      <c r="AD537"/>
    </row>
    <row r="538" spans="1:30" s="82" customFormat="1" x14ac:dyDescent="0.25">
      <c r="A538"/>
      <c r="B538"/>
      <c r="C538"/>
      <c r="D538"/>
      <c r="E538"/>
      <c r="F538"/>
      <c r="G538"/>
      <c r="H538"/>
      <c r="I538"/>
      <c r="J538"/>
      <c r="K538"/>
      <c r="L538"/>
      <c r="M538"/>
      <c r="N538"/>
      <c r="O538"/>
      <c r="P538"/>
      <c r="Q538"/>
      <c r="R538"/>
      <c r="S538"/>
      <c r="T538"/>
      <c r="U538"/>
      <c r="V538"/>
      <c r="W538"/>
      <c r="X538"/>
      <c r="Y538"/>
      <c r="Z538"/>
      <c r="AA538"/>
      <c r="AB538"/>
      <c r="AC538"/>
      <c r="AD538"/>
    </row>
    <row r="539" spans="1:30" s="82" customFormat="1" x14ac:dyDescent="0.25">
      <c r="A539"/>
      <c r="B539"/>
      <c r="C539"/>
      <c r="D539"/>
      <c r="E539"/>
      <c r="F539"/>
      <c r="G539"/>
      <c r="H539"/>
      <c r="I539"/>
      <c r="J539"/>
      <c r="K539"/>
      <c r="L539"/>
      <c r="M539"/>
      <c r="N539"/>
      <c r="O539"/>
      <c r="P539"/>
      <c r="Q539"/>
      <c r="R539"/>
      <c r="S539"/>
      <c r="T539"/>
      <c r="U539"/>
      <c r="V539"/>
      <c r="W539"/>
      <c r="X539"/>
      <c r="Y539"/>
      <c r="Z539"/>
      <c r="AA539"/>
      <c r="AB539"/>
      <c r="AC539"/>
      <c r="AD539"/>
    </row>
    <row r="540" spans="1:30" s="82" customFormat="1" x14ac:dyDescent="0.25">
      <c r="A540"/>
      <c r="B540"/>
      <c r="C540"/>
      <c r="D540"/>
      <c r="E540"/>
      <c r="F540"/>
      <c r="G540"/>
      <c r="H540"/>
      <c r="I540"/>
      <c r="J540"/>
      <c r="K540"/>
      <c r="L540"/>
      <c r="M540"/>
      <c r="N540"/>
      <c r="O540"/>
      <c r="P540"/>
      <c r="Q540"/>
      <c r="R540"/>
      <c r="S540"/>
      <c r="T540"/>
      <c r="U540"/>
      <c r="V540"/>
      <c r="W540"/>
      <c r="X540"/>
      <c r="Y540"/>
      <c r="Z540"/>
      <c r="AA540"/>
      <c r="AB540"/>
      <c r="AC540"/>
      <c r="AD540"/>
    </row>
    <row r="541" spans="1:30" s="82" customFormat="1" x14ac:dyDescent="0.25">
      <c r="A541"/>
      <c r="B541"/>
      <c r="C541"/>
      <c r="D541"/>
      <c r="E541"/>
      <c r="F541"/>
      <c r="G541"/>
      <c r="H541"/>
      <c r="I541"/>
      <c r="J541"/>
      <c r="K541"/>
      <c r="L541"/>
      <c r="M541"/>
      <c r="N541"/>
      <c r="O541"/>
      <c r="P541"/>
      <c r="Q541"/>
      <c r="R541"/>
      <c r="S541"/>
      <c r="T541"/>
      <c r="U541"/>
      <c r="V541"/>
      <c r="W541"/>
      <c r="X541"/>
      <c r="Y541"/>
      <c r="Z541"/>
      <c r="AA541"/>
      <c r="AB541"/>
      <c r="AC541"/>
      <c r="AD541"/>
    </row>
    <row r="542" spans="1:30" s="82" customFormat="1" x14ac:dyDescent="0.25">
      <c r="A542"/>
      <c r="B542"/>
      <c r="C542"/>
      <c r="D542"/>
      <c r="E542"/>
      <c r="F542"/>
      <c r="G542"/>
      <c r="H542"/>
      <c r="I542"/>
      <c r="J542"/>
      <c r="K542"/>
      <c r="L542"/>
      <c r="M542"/>
      <c r="N542"/>
      <c r="O542"/>
      <c r="P542"/>
      <c r="Q542"/>
      <c r="R542"/>
      <c r="S542"/>
      <c r="T542"/>
      <c r="U542"/>
      <c r="V542"/>
      <c r="W542"/>
      <c r="X542"/>
      <c r="Y542"/>
      <c r="Z542"/>
      <c r="AA542"/>
      <c r="AB542"/>
      <c r="AC542"/>
      <c r="AD542"/>
    </row>
    <row r="543" spans="1:30" s="82" customFormat="1" x14ac:dyDescent="0.25">
      <c r="A543"/>
      <c r="B543"/>
      <c r="C543"/>
      <c r="D543"/>
      <c r="E543"/>
      <c r="F543"/>
      <c r="G543"/>
      <c r="H543"/>
      <c r="I543"/>
      <c r="J543"/>
      <c r="K543"/>
      <c r="L543"/>
      <c r="M543"/>
      <c r="N543"/>
      <c r="O543"/>
      <c r="P543"/>
      <c r="Q543"/>
      <c r="R543"/>
      <c r="S543"/>
      <c r="T543"/>
      <c r="U543"/>
      <c r="V543"/>
      <c r="W543"/>
      <c r="X543"/>
      <c r="Y543"/>
      <c r="Z543"/>
      <c r="AA543"/>
      <c r="AB543"/>
      <c r="AC543"/>
      <c r="AD543"/>
    </row>
    <row r="544" spans="1:30" s="82" customFormat="1" x14ac:dyDescent="0.25">
      <c r="A544"/>
      <c r="B544"/>
      <c r="C544"/>
      <c r="D544"/>
      <c r="E544"/>
      <c r="F544"/>
      <c r="G544"/>
      <c r="H544"/>
      <c r="I544"/>
      <c r="J544"/>
      <c r="K544"/>
      <c r="L544"/>
      <c r="M544"/>
      <c r="N544"/>
      <c r="O544"/>
      <c r="P544"/>
      <c r="Q544"/>
      <c r="R544"/>
      <c r="S544"/>
      <c r="T544"/>
      <c r="U544"/>
      <c r="V544"/>
      <c r="W544"/>
      <c r="X544"/>
      <c r="Y544"/>
      <c r="Z544"/>
      <c r="AA544"/>
      <c r="AB544"/>
      <c r="AC544"/>
      <c r="AD544"/>
    </row>
    <row r="545" spans="1:30" s="82" customFormat="1" x14ac:dyDescent="0.25">
      <c r="A545"/>
      <c r="B545"/>
      <c r="C545"/>
      <c r="D545"/>
      <c r="E545"/>
      <c r="F545"/>
      <c r="G545"/>
      <c r="H545"/>
      <c r="I545"/>
      <c r="J545"/>
      <c r="K545"/>
      <c r="L545"/>
      <c r="M545"/>
      <c r="N545"/>
      <c r="O545"/>
      <c r="P545"/>
      <c r="Q545"/>
      <c r="R545"/>
      <c r="S545"/>
      <c r="T545"/>
      <c r="U545"/>
      <c r="V545"/>
      <c r="W545"/>
      <c r="X545"/>
      <c r="Y545"/>
      <c r="Z545"/>
      <c r="AA545"/>
      <c r="AB545"/>
      <c r="AC545"/>
      <c r="AD545"/>
    </row>
    <row r="546" spans="1:30" s="82" customFormat="1" x14ac:dyDescent="0.25">
      <c r="A546"/>
      <c r="B546"/>
      <c r="C546"/>
      <c r="D546"/>
      <c r="E546"/>
      <c r="F546"/>
      <c r="G546"/>
      <c r="H546"/>
      <c r="I546"/>
      <c r="J546"/>
      <c r="K546"/>
      <c r="L546"/>
      <c r="M546"/>
      <c r="N546"/>
      <c r="O546"/>
      <c r="P546"/>
      <c r="Q546"/>
      <c r="R546"/>
      <c r="S546"/>
      <c r="T546"/>
      <c r="U546"/>
      <c r="V546"/>
      <c r="W546"/>
      <c r="X546"/>
      <c r="Y546"/>
      <c r="Z546"/>
      <c r="AA546"/>
      <c r="AB546"/>
      <c r="AC546"/>
      <c r="AD546"/>
    </row>
    <row r="547" spans="1:30" s="82" customFormat="1" x14ac:dyDescent="0.25">
      <c r="A547"/>
      <c r="B547"/>
      <c r="C547"/>
      <c r="D547"/>
      <c r="E547"/>
      <c r="F547"/>
      <c r="G547"/>
      <c r="H547"/>
      <c r="I547"/>
      <c r="J547"/>
      <c r="K547"/>
      <c r="L547"/>
      <c r="M547"/>
      <c r="N547"/>
      <c r="O547"/>
      <c r="P547"/>
      <c r="Q547"/>
      <c r="R547"/>
      <c r="S547"/>
      <c r="T547"/>
      <c r="U547"/>
      <c r="V547"/>
      <c r="W547"/>
      <c r="X547"/>
      <c r="Y547"/>
      <c r="Z547"/>
      <c r="AA547"/>
      <c r="AB547"/>
      <c r="AC547"/>
      <c r="AD547"/>
    </row>
    <row r="548" spans="1:30" s="82" customFormat="1" x14ac:dyDescent="0.25">
      <c r="A548"/>
      <c r="B548"/>
      <c r="C548"/>
      <c r="D548"/>
      <c r="E548"/>
      <c r="F548"/>
      <c r="G548"/>
      <c r="H548"/>
      <c r="I548"/>
      <c r="J548"/>
      <c r="K548"/>
      <c r="L548"/>
      <c r="M548"/>
      <c r="N548"/>
      <c r="O548"/>
      <c r="P548"/>
      <c r="Q548"/>
      <c r="R548"/>
      <c r="S548"/>
      <c r="T548"/>
      <c r="U548"/>
      <c r="V548"/>
      <c r="W548"/>
      <c r="X548"/>
      <c r="Y548"/>
      <c r="Z548"/>
      <c r="AA548"/>
      <c r="AB548"/>
      <c r="AC548"/>
      <c r="AD548"/>
    </row>
    <row r="549" spans="1:30" s="82" customFormat="1" x14ac:dyDescent="0.25">
      <c r="A549"/>
      <c r="B549"/>
      <c r="C549"/>
      <c r="D549"/>
      <c r="E549"/>
      <c r="F549"/>
      <c r="G549"/>
      <c r="H549"/>
      <c r="I549"/>
      <c r="J549"/>
      <c r="K549"/>
      <c r="L549"/>
      <c r="M549"/>
      <c r="N549"/>
      <c r="O549"/>
      <c r="P549"/>
      <c r="Q549"/>
      <c r="R549"/>
      <c r="S549"/>
      <c r="T549"/>
      <c r="U549"/>
      <c r="V549"/>
      <c r="W549"/>
      <c r="X549"/>
      <c r="Y549"/>
      <c r="Z549"/>
      <c r="AA549"/>
      <c r="AB549"/>
      <c r="AC549"/>
      <c r="AD549"/>
    </row>
    <row r="550" spans="1:30" s="82" customFormat="1" x14ac:dyDescent="0.25">
      <c r="A550"/>
      <c r="B550"/>
      <c r="C550"/>
      <c r="D550"/>
      <c r="E550"/>
      <c r="F550"/>
      <c r="G550"/>
      <c r="H550"/>
      <c r="I550"/>
      <c r="J550"/>
      <c r="K550"/>
      <c r="L550"/>
      <c r="M550"/>
      <c r="N550"/>
      <c r="O550"/>
      <c r="P550"/>
      <c r="Q550"/>
      <c r="R550"/>
      <c r="S550"/>
      <c r="T550"/>
      <c r="U550"/>
      <c r="V550"/>
      <c r="W550"/>
      <c r="X550"/>
      <c r="Y550"/>
      <c r="Z550"/>
      <c r="AA550"/>
      <c r="AB550"/>
      <c r="AC550"/>
      <c r="AD550"/>
    </row>
    <row r="551" spans="1:30" s="82" customFormat="1" x14ac:dyDescent="0.25">
      <c r="A551"/>
      <c r="B551"/>
      <c r="C551"/>
      <c r="D551"/>
      <c r="E551"/>
      <c r="F551"/>
      <c r="G551"/>
      <c r="H551"/>
      <c r="I551"/>
      <c r="J551"/>
      <c r="K551"/>
      <c r="L551"/>
      <c r="M551"/>
      <c r="N551"/>
      <c r="O551"/>
      <c r="P551"/>
      <c r="Q551"/>
      <c r="R551"/>
      <c r="S551"/>
      <c r="T551"/>
      <c r="U551"/>
      <c r="V551"/>
      <c r="W551"/>
      <c r="X551"/>
      <c r="Y551"/>
      <c r="Z551"/>
      <c r="AA551"/>
      <c r="AB551"/>
      <c r="AC551"/>
      <c r="AD551"/>
    </row>
    <row r="552" spans="1:30" s="82" customFormat="1" x14ac:dyDescent="0.25">
      <c r="A552"/>
      <c r="B552"/>
      <c r="C552"/>
      <c r="D552"/>
      <c r="E552"/>
      <c r="F552"/>
      <c r="G552"/>
      <c r="H552"/>
      <c r="I552"/>
      <c r="J552"/>
      <c r="K552"/>
      <c r="L552"/>
      <c r="M552"/>
      <c r="N552"/>
      <c r="O552"/>
      <c r="P552"/>
      <c r="Q552"/>
      <c r="R552"/>
      <c r="S552"/>
      <c r="T552"/>
      <c r="U552"/>
      <c r="V552"/>
      <c r="W552"/>
      <c r="X552"/>
      <c r="Y552"/>
      <c r="Z552"/>
      <c r="AA552"/>
      <c r="AB552"/>
      <c r="AC552"/>
      <c r="AD552"/>
    </row>
    <row r="553" spans="1:30" s="82" customFormat="1" x14ac:dyDescent="0.25">
      <c r="A553"/>
      <c r="B553"/>
      <c r="C553"/>
      <c r="D553"/>
      <c r="E553"/>
      <c r="F553"/>
      <c r="G553"/>
      <c r="H553"/>
      <c r="I553"/>
      <c r="J553"/>
      <c r="K553"/>
      <c r="L553"/>
      <c r="M553"/>
      <c r="N553"/>
      <c r="O553"/>
      <c r="P553"/>
      <c r="Q553"/>
      <c r="R553"/>
      <c r="S553"/>
      <c r="T553"/>
      <c r="U553"/>
      <c r="V553"/>
      <c r="W553"/>
      <c r="X553"/>
      <c r="Y553"/>
      <c r="Z553"/>
      <c r="AA553"/>
      <c r="AB553"/>
      <c r="AC553"/>
      <c r="AD553"/>
    </row>
    <row r="554" spans="1:30" s="82" customFormat="1" x14ac:dyDescent="0.25">
      <c r="A554"/>
      <c r="B554"/>
      <c r="C554"/>
      <c r="D554"/>
      <c r="E554"/>
      <c r="F554"/>
      <c r="G554"/>
      <c r="H554"/>
      <c r="I554"/>
      <c r="J554"/>
      <c r="K554"/>
      <c r="L554"/>
      <c r="M554"/>
      <c r="N554"/>
      <c r="O554"/>
      <c r="P554"/>
      <c r="Q554"/>
      <c r="R554"/>
      <c r="S554"/>
      <c r="T554"/>
      <c r="U554"/>
      <c r="V554"/>
      <c r="W554"/>
      <c r="X554"/>
      <c r="Y554"/>
      <c r="Z554"/>
      <c r="AA554"/>
      <c r="AB554"/>
      <c r="AC554"/>
      <c r="AD554"/>
    </row>
    <row r="555" spans="1:30" s="82" customFormat="1" x14ac:dyDescent="0.25">
      <c r="A555"/>
      <c r="B555"/>
      <c r="C555"/>
      <c r="D555"/>
      <c r="E555"/>
      <c r="F555"/>
      <c r="G555"/>
      <c r="H555"/>
      <c r="I555"/>
      <c r="J555"/>
      <c r="K555"/>
      <c r="L555"/>
      <c r="M555"/>
      <c r="N555"/>
      <c r="O555"/>
      <c r="P555"/>
      <c r="Q555"/>
      <c r="R555"/>
      <c r="S555"/>
      <c r="T555"/>
      <c r="U555"/>
      <c r="V555"/>
      <c r="W555"/>
      <c r="X555"/>
      <c r="Y555"/>
      <c r="Z555"/>
      <c r="AA555"/>
      <c r="AB555"/>
      <c r="AC555"/>
      <c r="AD555"/>
    </row>
    <row r="556" spans="1:30" s="82" customFormat="1" x14ac:dyDescent="0.25">
      <c r="A556"/>
      <c r="B556"/>
      <c r="C556"/>
      <c r="D556"/>
      <c r="E556"/>
      <c r="F556"/>
      <c r="G556"/>
      <c r="H556"/>
      <c r="I556"/>
      <c r="J556"/>
      <c r="K556"/>
      <c r="L556"/>
      <c r="M556"/>
      <c r="N556"/>
      <c r="O556"/>
      <c r="P556"/>
      <c r="Q556"/>
      <c r="R556"/>
      <c r="S556"/>
      <c r="T556"/>
      <c r="U556"/>
      <c r="V556"/>
      <c r="W556"/>
      <c r="X556"/>
      <c r="Y556"/>
      <c r="Z556"/>
      <c r="AA556"/>
      <c r="AB556"/>
      <c r="AC556"/>
      <c r="AD556"/>
    </row>
    <row r="557" spans="1:30" s="82" customFormat="1" x14ac:dyDescent="0.25">
      <c r="A557"/>
      <c r="B557"/>
      <c r="C557"/>
      <c r="D557"/>
      <c r="E557"/>
      <c r="F557"/>
      <c r="G557"/>
      <c r="H557"/>
      <c r="I557"/>
      <c r="J557"/>
      <c r="K557"/>
      <c r="L557"/>
      <c r="M557"/>
      <c r="N557"/>
      <c r="O557"/>
      <c r="P557"/>
      <c r="Q557"/>
      <c r="R557"/>
      <c r="S557"/>
      <c r="T557"/>
      <c r="U557"/>
      <c r="V557"/>
      <c r="W557"/>
      <c r="X557"/>
      <c r="Y557"/>
      <c r="Z557"/>
      <c r="AA557"/>
      <c r="AB557"/>
      <c r="AC557"/>
      <c r="AD557"/>
    </row>
    <row r="558" spans="1:30" s="82" customFormat="1" x14ac:dyDescent="0.25">
      <c r="A558"/>
      <c r="B558"/>
      <c r="C558"/>
      <c r="D558"/>
      <c r="E558"/>
      <c r="F558"/>
      <c r="G558"/>
      <c r="H558"/>
      <c r="I558"/>
      <c r="J558"/>
      <c r="K558"/>
      <c r="L558"/>
      <c r="M558"/>
      <c r="N558"/>
      <c r="O558"/>
      <c r="P558"/>
      <c r="Q558"/>
      <c r="R558"/>
      <c r="S558"/>
      <c r="T558"/>
      <c r="U558"/>
      <c r="V558"/>
      <c r="W558"/>
      <c r="X558"/>
      <c r="Y558"/>
      <c r="Z558"/>
      <c r="AA558"/>
      <c r="AB558"/>
      <c r="AC558"/>
      <c r="AD558"/>
    </row>
    <row r="559" spans="1:30" s="82" customFormat="1" x14ac:dyDescent="0.25">
      <c r="A559"/>
      <c r="B559"/>
      <c r="C559"/>
      <c r="D559"/>
      <c r="E559"/>
      <c r="F559"/>
      <c r="G559"/>
      <c r="H559"/>
      <c r="I559"/>
      <c r="J559"/>
      <c r="K559"/>
      <c r="L559"/>
      <c r="M559"/>
      <c r="N559"/>
      <c r="O559"/>
      <c r="P559"/>
      <c r="Q559"/>
      <c r="R559"/>
      <c r="S559"/>
      <c r="T559"/>
      <c r="U559"/>
      <c r="V559"/>
      <c r="W559"/>
      <c r="X559"/>
      <c r="Y559"/>
      <c r="Z559"/>
      <c r="AA559"/>
      <c r="AB559"/>
      <c r="AC559"/>
      <c r="AD559"/>
    </row>
    <row r="560" spans="1:30" s="82" customFormat="1" x14ac:dyDescent="0.25">
      <c r="A560"/>
      <c r="B560"/>
      <c r="C560"/>
      <c r="D560"/>
      <c r="E560"/>
      <c r="F560"/>
      <c r="G560"/>
      <c r="H560"/>
      <c r="I560"/>
      <c r="J560"/>
      <c r="K560"/>
      <c r="L560"/>
      <c r="M560"/>
      <c r="N560"/>
      <c r="O560"/>
      <c r="P560"/>
      <c r="Q560"/>
      <c r="R560"/>
      <c r="S560"/>
      <c r="T560"/>
      <c r="U560"/>
      <c r="V560"/>
      <c r="W560"/>
      <c r="X560"/>
      <c r="Y560"/>
      <c r="Z560"/>
      <c r="AA560"/>
      <c r="AB560"/>
      <c r="AC560"/>
      <c r="AD560"/>
    </row>
    <row r="561" spans="1:30" s="82" customFormat="1" x14ac:dyDescent="0.25">
      <c r="A561"/>
      <c r="B561"/>
      <c r="C561"/>
      <c r="D561"/>
      <c r="E561"/>
      <c r="F561"/>
      <c r="G561"/>
      <c r="H561"/>
      <c r="I561"/>
      <c r="J561"/>
      <c r="K561"/>
      <c r="L561"/>
      <c r="M561"/>
      <c r="N561"/>
      <c r="O561"/>
      <c r="P561"/>
      <c r="Q561"/>
      <c r="R561"/>
      <c r="S561"/>
      <c r="T561"/>
      <c r="U561"/>
      <c r="V561"/>
      <c r="W561"/>
      <c r="X561"/>
      <c r="Y561"/>
      <c r="Z561"/>
      <c r="AA561"/>
      <c r="AB561"/>
      <c r="AC561"/>
      <c r="AD561"/>
    </row>
    <row r="562" spans="1:30" s="82" customFormat="1" x14ac:dyDescent="0.25">
      <c r="A562"/>
      <c r="B562"/>
      <c r="C562"/>
      <c r="D562"/>
      <c r="E562"/>
      <c r="F562"/>
      <c r="G562"/>
      <c r="H562"/>
      <c r="I562"/>
      <c r="J562"/>
      <c r="K562"/>
      <c r="L562"/>
      <c r="M562"/>
      <c r="N562"/>
      <c r="O562"/>
      <c r="P562"/>
      <c r="Q562"/>
      <c r="R562"/>
      <c r="S562"/>
      <c r="T562"/>
      <c r="U562"/>
      <c r="V562"/>
      <c r="W562"/>
      <c r="X562"/>
      <c r="Y562"/>
      <c r="Z562"/>
      <c r="AA562"/>
      <c r="AB562"/>
      <c r="AC562"/>
      <c r="AD562"/>
    </row>
    <row r="563" spans="1:30" s="82" customFormat="1" x14ac:dyDescent="0.25">
      <c r="A563"/>
      <c r="B563"/>
      <c r="C563"/>
      <c r="D563"/>
      <c r="E563"/>
      <c r="F563"/>
      <c r="G563"/>
      <c r="H563"/>
      <c r="I563"/>
      <c r="J563"/>
      <c r="K563"/>
      <c r="L563"/>
      <c r="M563"/>
      <c r="N563"/>
      <c r="O563"/>
      <c r="P563"/>
      <c r="Q563"/>
      <c r="R563"/>
      <c r="S563"/>
      <c r="T563"/>
      <c r="U563"/>
      <c r="V563"/>
      <c r="W563"/>
      <c r="X563"/>
      <c r="Y563"/>
      <c r="Z563"/>
      <c r="AA563"/>
      <c r="AB563"/>
      <c r="AC563"/>
      <c r="AD563"/>
    </row>
    <row r="564" spans="1:30" s="82" customFormat="1" x14ac:dyDescent="0.25">
      <c r="A564"/>
      <c r="B564"/>
      <c r="C564"/>
      <c r="D564"/>
      <c r="E564"/>
      <c r="F564"/>
      <c r="G564"/>
      <c r="H564"/>
      <c r="I564"/>
      <c r="J564"/>
      <c r="K564"/>
      <c r="L564"/>
      <c r="M564"/>
      <c r="N564"/>
      <c r="O564"/>
      <c r="P564"/>
      <c r="Q564"/>
      <c r="R564"/>
      <c r="S564"/>
      <c r="T564"/>
      <c r="U564"/>
      <c r="V564"/>
      <c r="W564"/>
      <c r="X564"/>
      <c r="Y564"/>
      <c r="Z564"/>
      <c r="AA564"/>
      <c r="AB564"/>
      <c r="AC564"/>
      <c r="AD564"/>
    </row>
    <row r="565" spans="1:30" s="82" customFormat="1" x14ac:dyDescent="0.25">
      <c r="A565"/>
      <c r="B565"/>
      <c r="C565"/>
      <c r="D565"/>
      <c r="E565"/>
      <c r="F565"/>
      <c r="G565"/>
      <c r="H565"/>
      <c r="I565"/>
      <c r="J565"/>
      <c r="K565"/>
      <c r="L565"/>
      <c r="M565"/>
      <c r="N565"/>
      <c r="O565"/>
      <c r="P565"/>
      <c r="Q565"/>
      <c r="R565"/>
      <c r="S565"/>
      <c r="T565"/>
      <c r="U565"/>
      <c r="V565"/>
      <c r="W565"/>
      <c r="X565"/>
      <c r="Y565"/>
      <c r="Z565"/>
      <c r="AA565"/>
      <c r="AB565"/>
      <c r="AC565"/>
      <c r="AD565"/>
    </row>
    <row r="566" spans="1:30" s="82" customFormat="1" x14ac:dyDescent="0.25">
      <c r="A566"/>
      <c r="B566"/>
      <c r="C566"/>
      <c r="D566"/>
      <c r="E566"/>
      <c r="F566"/>
      <c r="G566"/>
      <c r="H566"/>
      <c r="I566"/>
      <c r="J566"/>
      <c r="K566"/>
      <c r="L566"/>
      <c r="M566"/>
      <c r="N566"/>
      <c r="O566"/>
      <c r="P566"/>
      <c r="Q566"/>
      <c r="R566"/>
      <c r="S566"/>
      <c r="T566"/>
      <c r="U566"/>
      <c r="V566"/>
      <c r="W566"/>
      <c r="X566"/>
      <c r="Y566"/>
      <c r="Z566"/>
      <c r="AA566"/>
      <c r="AB566"/>
      <c r="AC566"/>
      <c r="AD566"/>
    </row>
    <row r="567" spans="1:30" s="82" customFormat="1" x14ac:dyDescent="0.25">
      <c r="A567"/>
      <c r="B567"/>
      <c r="C567"/>
      <c r="D567"/>
      <c r="E567"/>
      <c r="F567"/>
      <c r="G567"/>
      <c r="H567"/>
      <c r="I567"/>
      <c r="J567"/>
      <c r="K567"/>
      <c r="L567"/>
      <c r="M567"/>
      <c r="N567"/>
      <c r="O567"/>
      <c r="P567"/>
      <c r="Q567"/>
      <c r="R567"/>
      <c r="S567"/>
      <c r="T567"/>
      <c r="U567"/>
      <c r="V567"/>
      <c r="W567"/>
      <c r="X567"/>
      <c r="Y567"/>
      <c r="Z567"/>
      <c r="AA567"/>
      <c r="AB567"/>
      <c r="AC567"/>
      <c r="AD567"/>
    </row>
    <row r="568" spans="1:30" s="82" customFormat="1" x14ac:dyDescent="0.25">
      <c r="A568"/>
      <c r="B568"/>
      <c r="C568"/>
      <c r="D568"/>
      <c r="E568"/>
      <c r="F568"/>
      <c r="G568"/>
      <c r="H568"/>
      <c r="I568"/>
      <c r="J568"/>
      <c r="K568"/>
      <c r="L568"/>
      <c r="M568"/>
      <c r="N568"/>
      <c r="O568"/>
      <c r="P568"/>
      <c r="Q568"/>
      <c r="R568"/>
      <c r="S568"/>
      <c r="T568"/>
      <c r="U568"/>
      <c r="V568"/>
      <c r="W568"/>
      <c r="X568"/>
      <c r="Y568"/>
      <c r="Z568"/>
      <c r="AA568"/>
      <c r="AB568"/>
      <c r="AC568"/>
      <c r="AD568"/>
    </row>
    <row r="569" spans="1:30" s="82" customFormat="1" x14ac:dyDescent="0.25">
      <c r="A569"/>
      <c r="B569"/>
      <c r="C569"/>
      <c r="D569"/>
      <c r="E569"/>
      <c r="F569"/>
      <c r="G569"/>
      <c r="H569"/>
      <c r="I569"/>
      <c r="J569"/>
      <c r="K569"/>
      <c r="L569"/>
      <c r="M569"/>
      <c r="N569"/>
      <c r="O569"/>
      <c r="P569"/>
      <c r="Q569"/>
      <c r="R569"/>
      <c r="S569"/>
      <c r="T569"/>
      <c r="U569"/>
      <c r="V569"/>
      <c r="W569"/>
      <c r="X569"/>
      <c r="Y569"/>
      <c r="Z569"/>
      <c r="AA569"/>
      <c r="AB569"/>
      <c r="AC569"/>
      <c r="AD569"/>
    </row>
    <row r="570" spans="1:30" s="82" customFormat="1" x14ac:dyDescent="0.25">
      <c r="A570"/>
      <c r="B570"/>
      <c r="C570"/>
      <c r="D570"/>
      <c r="E570"/>
      <c r="F570"/>
      <c r="G570"/>
      <c r="H570"/>
      <c r="I570"/>
      <c r="J570"/>
      <c r="K570"/>
      <c r="L570"/>
      <c r="M570"/>
      <c r="N570"/>
      <c r="O570"/>
      <c r="P570"/>
      <c r="Q570"/>
      <c r="R570"/>
      <c r="S570"/>
      <c r="T570"/>
      <c r="U570"/>
      <c r="V570"/>
      <c r="W570"/>
      <c r="X570"/>
      <c r="Y570"/>
      <c r="Z570"/>
      <c r="AA570"/>
      <c r="AB570"/>
      <c r="AC570"/>
      <c r="AD570"/>
    </row>
    <row r="571" spans="1:30" s="82" customFormat="1" x14ac:dyDescent="0.25">
      <c r="A571"/>
      <c r="B571"/>
      <c r="C571"/>
      <c r="D571"/>
      <c r="E571"/>
      <c r="F571"/>
      <c r="G571"/>
      <c r="H571"/>
      <c r="I571"/>
      <c r="J571"/>
      <c r="K571"/>
      <c r="L571"/>
      <c r="M571"/>
      <c r="N571"/>
      <c r="O571"/>
      <c r="P571"/>
      <c r="Q571"/>
      <c r="R571"/>
      <c r="S571"/>
      <c r="T571"/>
      <c r="U571"/>
      <c r="V571"/>
      <c r="W571"/>
      <c r="X571"/>
      <c r="Y571"/>
      <c r="Z571"/>
      <c r="AA571"/>
      <c r="AB571"/>
      <c r="AC571"/>
      <c r="AD571"/>
    </row>
    <row r="572" spans="1:30" s="82" customFormat="1" x14ac:dyDescent="0.25">
      <c r="A572"/>
      <c r="B572"/>
      <c r="C572"/>
      <c r="D572"/>
      <c r="E572"/>
      <c r="F572"/>
      <c r="G572"/>
      <c r="H572"/>
      <c r="I572"/>
      <c r="J572"/>
      <c r="K572"/>
      <c r="L572"/>
      <c r="M572"/>
      <c r="N572"/>
      <c r="O572"/>
      <c r="P572"/>
      <c r="Q572"/>
      <c r="R572"/>
      <c r="S572"/>
      <c r="T572"/>
      <c r="U572"/>
      <c r="V572"/>
      <c r="W572"/>
      <c r="X572"/>
      <c r="Y572"/>
      <c r="Z572"/>
      <c r="AA572"/>
      <c r="AB572"/>
      <c r="AC572"/>
      <c r="AD572"/>
    </row>
    <row r="573" spans="1:30" s="82" customFormat="1" x14ac:dyDescent="0.25">
      <c r="A573"/>
      <c r="B573"/>
      <c r="C573"/>
      <c r="D573"/>
      <c r="E573"/>
      <c r="F573"/>
      <c r="G573"/>
      <c r="H573"/>
      <c r="I573"/>
      <c r="J573"/>
      <c r="K573"/>
      <c r="L573"/>
      <c r="M573"/>
      <c r="N573"/>
      <c r="O573"/>
      <c r="P573"/>
      <c r="Q573"/>
      <c r="R573"/>
      <c r="S573"/>
      <c r="T573"/>
      <c r="U573"/>
      <c r="V573"/>
      <c r="W573"/>
      <c r="X573"/>
      <c r="Y573"/>
      <c r="Z573"/>
      <c r="AA573"/>
      <c r="AB573"/>
      <c r="AC573"/>
      <c r="AD573"/>
    </row>
    <row r="574" spans="1:30" s="82" customFormat="1" x14ac:dyDescent="0.25">
      <c r="A574"/>
      <c r="B574"/>
      <c r="C574"/>
      <c r="D574"/>
      <c r="E574"/>
      <c r="F574"/>
      <c r="G574"/>
      <c r="H574"/>
      <c r="I574"/>
      <c r="J574"/>
      <c r="K574"/>
      <c r="L574"/>
      <c r="M574"/>
      <c r="N574"/>
      <c r="O574"/>
      <c r="P574"/>
      <c r="Q574"/>
      <c r="R574"/>
      <c r="S574"/>
      <c r="T574"/>
      <c r="U574"/>
      <c r="V574"/>
      <c r="W574"/>
      <c r="X574"/>
      <c r="Y574"/>
      <c r="Z574"/>
      <c r="AA574"/>
      <c r="AB574"/>
      <c r="AC574"/>
      <c r="AD574"/>
    </row>
    <row r="575" spans="1:30" s="82" customFormat="1" x14ac:dyDescent="0.25">
      <c r="A575"/>
      <c r="B575"/>
      <c r="C575"/>
      <c r="D575"/>
      <c r="E575"/>
      <c r="F575"/>
      <c r="G575"/>
      <c r="H575"/>
      <c r="I575"/>
      <c r="J575"/>
      <c r="K575"/>
      <c r="L575"/>
      <c r="M575"/>
      <c r="N575"/>
      <c r="O575"/>
      <c r="P575"/>
      <c r="Q575"/>
      <c r="R575"/>
      <c r="S575"/>
      <c r="T575"/>
      <c r="U575"/>
      <c r="V575"/>
      <c r="W575"/>
      <c r="X575"/>
      <c r="Y575"/>
      <c r="Z575"/>
      <c r="AA575"/>
      <c r="AB575"/>
      <c r="AC575"/>
      <c r="AD575"/>
    </row>
    <row r="576" spans="1:30" s="82" customFormat="1" x14ac:dyDescent="0.25">
      <c r="A576"/>
      <c r="B576"/>
      <c r="C576"/>
      <c r="D576"/>
      <c r="E576"/>
      <c r="F576"/>
      <c r="G576"/>
      <c r="H576"/>
      <c r="I576"/>
      <c r="J576"/>
      <c r="K576"/>
      <c r="L576"/>
      <c r="M576"/>
      <c r="N576"/>
      <c r="O576"/>
      <c r="P576"/>
      <c r="Q576"/>
      <c r="R576"/>
      <c r="S576"/>
      <c r="T576"/>
      <c r="U576"/>
      <c r="V576"/>
      <c r="W576"/>
      <c r="X576"/>
      <c r="Y576"/>
      <c r="Z576"/>
      <c r="AA576"/>
      <c r="AB576"/>
      <c r="AC576"/>
      <c r="AD576"/>
    </row>
    <row r="577" spans="1:30" s="82" customFormat="1" x14ac:dyDescent="0.25">
      <c r="A577"/>
      <c r="B577"/>
      <c r="C577"/>
      <c r="D577"/>
      <c r="E577"/>
      <c r="F577"/>
      <c r="G577"/>
      <c r="H577"/>
      <c r="I577"/>
      <c r="J577"/>
      <c r="K577"/>
      <c r="L577"/>
      <c r="M577"/>
      <c r="N577"/>
      <c r="O577"/>
      <c r="P577"/>
      <c r="Q577"/>
      <c r="R577"/>
      <c r="S577"/>
      <c r="T577"/>
      <c r="U577"/>
      <c r="V577"/>
      <c r="W577"/>
      <c r="X577"/>
      <c r="Y577"/>
      <c r="Z577"/>
      <c r="AA577"/>
      <c r="AB577"/>
      <c r="AC577"/>
      <c r="AD577"/>
    </row>
    <row r="578" spans="1:30" s="82" customFormat="1" x14ac:dyDescent="0.25">
      <c r="A578"/>
      <c r="B578"/>
      <c r="C578"/>
      <c r="D578"/>
      <c r="E578"/>
      <c r="F578"/>
      <c r="G578"/>
      <c r="H578"/>
      <c r="I578"/>
      <c r="J578"/>
      <c r="K578"/>
      <c r="L578"/>
      <c r="M578"/>
      <c r="N578"/>
      <c r="O578"/>
      <c r="P578"/>
      <c r="Q578"/>
      <c r="R578"/>
      <c r="S578"/>
      <c r="T578"/>
      <c r="U578"/>
      <c r="V578"/>
      <c r="W578"/>
      <c r="X578"/>
      <c r="Y578"/>
      <c r="Z578"/>
      <c r="AA578"/>
      <c r="AB578"/>
      <c r="AC578"/>
      <c r="AD578"/>
    </row>
    <row r="579" spans="1:30" s="82" customFormat="1" x14ac:dyDescent="0.25">
      <c r="A579"/>
      <c r="B579"/>
      <c r="C579"/>
      <c r="D579"/>
      <c r="E579"/>
      <c r="F579"/>
      <c r="G579"/>
      <c r="H579"/>
      <c r="I579"/>
      <c r="J579"/>
      <c r="K579"/>
      <c r="L579"/>
      <c r="M579"/>
      <c r="N579"/>
      <c r="O579"/>
      <c r="P579"/>
      <c r="Q579"/>
      <c r="R579"/>
      <c r="S579"/>
      <c r="T579"/>
      <c r="U579"/>
      <c r="V579"/>
      <c r="W579"/>
      <c r="X579"/>
      <c r="Y579"/>
      <c r="Z579"/>
      <c r="AA579"/>
      <c r="AB579"/>
      <c r="AC579"/>
      <c r="AD579"/>
    </row>
    <row r="580" spans="1:30" s="82" customFormat="1" x14ac:dyDescent="0.25">
      <c r="A580"/>
      <c r="B580"/>
      <c r="C580"/>
      <c r="D580"/>
      <c r="E580"/>
      <c r="F580"/>
      <c r="G580"/>
      <c r="H580"/>
      <c r="I580"/>
      <c r="J580"/>
      <c r="K580"/>
      <c r="L580"/>
      <c r="M580"/>
      <c r="N580"/>
      <c r="O580"/>
      <c r="P580"/>
      <c r="Q580"/>
      <c r="R580"/>
      <c r="S580"/>
      <c r="T580"/>
      <c r="U580"/>
      <c r="V580"/>
      <c r="W580"/>
      <c r="X580"/>
      <c r="Y580"/>
      <c r="Z580"/>
      <c r="AA580"/>
      <c r="AB580"/>
      <c r="AC580"/>
      <c r="AD580"/>
    </row>
    <row r="581" spans="1:30" s="82" customFormat="1" x14ac:dyDescent="0.25">
      <c r="A581"/>
      <c r="B581"/>
      <c r="C581"/>
      <c r="D581"/>
      <c r="E581"/>
      <c r="F581"/>
      <c r="G581"/>
      <c r="H581"/>
      <c r="I581"/>
      <c r="J581"/>
      <c r="K581"/>
      <c r="L581"/>
      <c r="M581"/>
      <c r="N581"/>
      <c r="O581"/>
      <c r="P581"/>
      <c r="Q581"/>
      <c r="R581"/>
      <c r="S581"/>
      <c r="T581"/>
      <c r="U581"/>
      <c r="V581"/>
      <c r="W581"/>
      <c r="X581"/>
      <c r="Y581"/>
      <c r="Z581"/>
      <c r="AA581"/>
      <c r="AB581"/>
      <c r="AC581"/>
      <c r="AD581"/>
    </row>
    <row r="582" spans="1:30" s="82" customFormat="1" x14ac:dyDescent="0.25">
      <c r="A582"/>
      <c r="B582"/>
      <c r="C582"/>
      <c r="D582"/>
      <c r="E582"/>
      <c r="F582"/>
      <c r="G582"/>
      <c r="H582"/>
      <c r="I582"/>
      <c r="J582"/>
      <c r="K582"/>
      <c r="L582"/>
      <c r="M582"/>
      <c r="N582"/>
      <c r="O582"/>
      <c r="P582"/>
      <c r="Q582"/>
      <c r="R582"/>
      <c r="S582"/>
      <c r="T582"/>
      <c r="U582"/>
      <c r="V582"/>
      <c r="W582"/>
      <c r="X582"/>
      <c r="Y582"/>
      <c r="Z582"/>
      <c r="AA582"/>
      <c r="AB582"/>
      <c r="AC582"/>
      <c r="AD582"/>
    </row>
    <row r="583" spans="1:30" s="82" customFormat="1" x14ac:dyDescent="0.25">
      <c r="A583"/>
      <c r="B583"/>
      <c r="C583"/>
      <c r="D583"/>
      <c r="E583"/>
      <c r="F583"/>
      <c r="G583"/>
      <c r="H583"/>
      <c r="I583"/>
      <c r="J583"/>
      <c r="K583"/>
      <c r="L583"/>
      <c r="M583"/>
      <c r="N583"/>
      <c r="O583"/>
      <c r="P583"/>
      <c r="Q583"/>
      <c r="R583"/>
      <c r="S583"/>
      <c r="T583"/>
      <c r="U583"/>
      <c r="V583"/>
      <c r="W583"/>
      <c r="X583"/>
      <c r="Y583"/>
      <c r="Z583"/>
      <c r="AA583"/>
      <c r="AB583"/>
      <c r="AC583"/>
      <c r="AD583"/>
    </row>
    <row r="584" spans="1:30" s="82" customFormat="1" x14ac:dyDescent="0.25">
      <c r="A584"/>
      <c r="B584"/>
      <c r="C584"/>
      <c r="D584"/>
      <c r="E584"/>
      <c r="F584"/>
      <c r="G584"/>
      <c r="H584"/>
      <c r="I584"/>
      <c r="J584"/>
      <c r="K584"/>
      <c r="L584"/>
      <c r="M584"/>
      <c r="N584"/>
      <c r="O584"/>
      <c r="P584"/>
      <c r="Q584"/>
      <c r="R584"/>
      <c r="S584"/>
      <c r="T584"/>
      <c r="U584"/>
      <c r="V584"/>
      <c r="W584"/>
      <c r="X584"/>
      <c r="Y584"/>
      <c r="Z584"/>
      <c r="AA584"/>
      <c r="AB584"/>
      <c r="AC584"/>
      <c r="AD584"/>
    </row>
    <row r="585" spans="1:30" s="82" customFormat="1" x14ac:dyDescent="0.25">
      <c r="A585"/>
      <c r="B585"/>
      <c r="C585"/>
      <c r="D585"/>
      <c r="E585"/>
      <c r="F585"/>
      <c r="G585"/>
      <c r="H585"/>
      <c r="I585"/>
      <c r="J585"/>
      <c r="K585"/>
      <c r="L585"/>
      <c r="M585"/>
      <c r="N585"/>
      <c r="O585"/>
      <c r="P585"/>
      <c r="Q585"/>
      <c r="R585"/>
      <c r="S585"/>
      <c r="T585"/>
      <c r="U585"/>
      <c r="V585"/>
      <c r="W585"/>
      <c r="X585"/>
      <c r="Y585"/>
      <c r="Z585"/>
      <c r="AA585"/>
      <c r="AB585"/>
      <c r="AC585"/>
      <c r="AD585"/>
    </row>
    <row r="586" spans="1:30" s="82" customFormat="1" x14ac:dyDescent="0.25">
      <c r="A586"/>
      <c r="B586"/>
      <c r="C586"/>
      <c r="D586"/>
      <c r="E586"/>
      <c r="F586"/>
      <c r="G586"/>
      <c r="H586"/>
      <c r="I586"/>
      <c r="J586"/>
      <c r="K586"/>
      <c r="L586"/>
      <c r="M586"/>
      <c r="N586"/>
      <c r="O586"/>
      <c r="P586"/>
      <c r="Q586"/>
      <c r="R586"/>
      <c r="S586"/>
      <c r="T586"/>
      <c r="U586"/>
      <c r="V586"/>
      <c r="W586"/>
      <c r="X586"/>
      <c r="Y586"/>
      <c r="Z586"/>
      <c r="AA586"/>
      <c r="AB586"/>
      <c r="AC586"/>
      <c r="AD586"/>
    </row>
    <row r="587" spans="1:30" s="82" customFormat="1" x14ac:dyDescent="0.25">
      <c r="A587"/>
      <c r="B587"/>
      <c r="C587"/>
      <c r="D587"/>
      <c r="E587"/>
      <c r="F587"/>
      <c r="G587"/>
      <c r="H587"/>
      <c r="I587"/>
      <c r="J587"/>
      <c r="K587"/>
      <c r="L587"/>
      <c r="M587"/>
      <c r="N587"/>
      <c r="O587"/>
      <c r="P587"/>
      <c r="Q587"/>
      <c r="R587"/>
      <c r="S587"/>
      <c r="T587"/>
      <c r="U587"/>
      <c r="V587"/>
      <c r="W587"/>
      <c r="X587"/>
      <c r="Y587"/>
      <c r="Z587"/>
      <c r="AA587"/>
      <c r="AB587"/>
      <c r="AC587"/>
      <c r="AD587"/>
    </row>
    <row r="588" spans="1:30" s="82" customFormat="1" x14ac:dyDescent="0.25">
      <c r="A588"/>
      <c r="B588"/>
      <c r="C588"/>
      <c r="D588"/>
      <c r="E588"/>
      <c r="F588"/>
      <c r="G588"/>
      <c r="H588"/>
      <c r="I588"/>
      <c r="J588"/>
      <c r="K588"/>
      <c r="L588"/>
      <c r="M588"/>
      <c r="N588"/>
      <c r="O588"/>
      <c r="P588"/>
      <c r="Q588"/>
      <c r="R588"/>
      <c r="S588"/>
      <c r="T588"/>
      <c r="U588"/>
      <c r="V588"/>
      <c r="W588"/>
      <c r="X588"/>
      <c r="Y588"/>
      <c r="Z588"/>
      <c r="AA588"/>
      <c r="AB588"/>
      <c r="AC588"/>
      <c r="AD588"/>
    </row>
    <row r="589" spans="1:30" s="82" customFormat="1" x14ac:dyDescent="0.25">
      <c r="A589"/>
      <c r="B589"/>
      <c r="C589"/>
      <c r="D589"/>
      <c r="E589"/>
      <c r="F589"/>
      <c r="G589"/>
      <c r="H589"/>
      <c r="I589"/>
      <c r="J589"/>
      <c r="K589"/>
      <c r="L589"/>
      <c r="M589"/>
      <c r="N589"/>
      <c r="O589"/>
      <c r="P589"/>
      <c r="Q589"/>
      <c r="R589"/>
      <c r="S589"/>
      <c r="T589"/>
      <c r="U589"/>
      <c r="V589"/>
      <c r="W589"/>
      <c r="X589"/>
      <c r="Y589"/>
      <c r="Z589"/>
      <c r="AA589"/>
      <c r="AB589"/>
      <c r="AC589"/>
      <c r="AD589"/>
    </row>
    <row r="590" spans="1:30" s="82" customFormat="1" x14ac:dyDescent="0.25">
      <c r="A590"/>
      <c r="B590"/>
      <c r="C590"/>
      <c r="D590"/>
      <c r="E590"/>
      <c r="F590"/>
      <c r="G590"/>
      <c r="H590"/>
      <c r="I590"/>
      <c r="J590"/>
      <c r="K590"/>
      <c r="L590"/>
      <c r="M590"/>
      <c r="N590"/>
      <c r="O590"/>
      <c r="P590"/>
      <c r="Q590"/>
      <c r="R590"/>
      <c r="S590"/>
      <c r="T590"/>
      <c r="U590"/>
      <c r="V590"/>
      <c r="W590"/>
      <c r="X590"/>
      <c r="Y590"/>
      <c r="Z590"/>
      <c r="AA590"/>
      <c r="AB590"/>
      <c r="AC590"/>
      <c r="AD590"/>
    </row>
    <row r="591" spans="1:30" s="82" customFormat="1" x14ac:dyDescent="0.25">
      <c r="A591"/>
      <c r="B591"/>
      <c r="C591"/>
      <c r="D591"/>
      <c r="E591"/>
      <c r="F591"/>
      <c r="G591"/>
      <c r="H591"/>
      <c r="I591"/>
      <c r="J591"/>
      <c r="K591"/>
      <c r="L591"/>
      <c r="M591"/>
      <c r="N591"/>
      <c r="O591"/>
      <c r="P591"/>
      <c r="Q591"/>
      <c r="R591"/>
      <c r="S591"/>
      <c r="T591"/>
      <c r="U591"/>
      <c r="V591"/>
      <c r="W591"/>
      <c r="X591"/>
      <c r="Y591"/>
      <c r="Z591"/>
      <c r="AA591"/>
      <c r="AB591"/>
      <c r="AC591"/>
      <c r="AD591"/>
    </row>
    <row r="592" spans="1:30" s="82" customFormat="1" x14ac:dyDescent="0.25">
      <c r="A592"/>
      <c r="B592"/>
      <c r="C592"/>
      <c r="D592"/>
      <c r="E592"/>
      <c r="F592"/>
      <c r="G592"/>
      <c r="H592"/>
      <c r="I592"/>
      <c r="J592"/>
      <c r="K592"/>
      <c r="L592"/>
      <c r="M592"/>
      <c r="N592"/>
      <c r="O592"/>
      <c r="P592"/>
      <c r="Q592"/>
      <c r="R592"/>
      <c r="S592"/>
      <c r="T592"/>
      <c r="U592"/>
      <c r="V592"/>
      <c r="W592"/>
      <c r="X592"/>
      <c r="Y592"/>
      <c r="Z592"/>
      <c r="AA592"/>
      <c r="AB592"/>
      <c r="AC592"/>
      <c r="AD592"/>
    </row>
    <row r="593" spans="1:30" s="82" customFormat="1" x14ac:dyDescent="0.25">
      <c r="A593"/>
      <c r="B593"/>
      <c r="C593"/>
      <c r="D593"/>
      <c r="E593"/>
      <c r="F593"/>
      <c r="G593"/>
      <c r="H593"/>
      <c r="I593"/>
      <c r="J593"/>
      <c r="K593"/>
      <c r="L593"/>
      <c r="M593"/>
      <c r="N593"/>
      <c r="O593"/>
      <c r="P593"/>
      <c r="Q593"/>
      <c r="R593"/>
      <c r="S593"/>
      <c r="T593"/>
      <c r="U593"/>
      <c r="V593"/>
      <c r="W593"/>
      <c r="X593"/>
      <c r="Y593"/>
      <c r="Z593"/>
      <c r="AA593"/>
      <c r="AB593"/>
      <c r="AC593"/>
      <c r="AD593"/>
    </row>
    <row r="594" spans="1:30" s="82" customFormat="1" x14ac:dyDescent="0.25">
      <c r="A594"/>
      <c r="B594"/>
      <c r="C594"/>
      <c r="D594"/>
      <c r="E594"/>
      <c r="F594"/>
      <c r="G594"/>
      <c r="H594"/>
      <c r="I594"/>
      <c r="J594"/>
      <c r="K594"/>
      <c r="L594"/>
      <c r="M594"/>
      <c r="N594"/>
      <c r="O594"/>
      <c r="P594"/>
      <c r="Q594"/>
      <c r="R594"/>
      <c r="S594"/>
      <c r="T594"/>
      <c r="U594"/>
      <c r="V594"/>
      <c r="W594"/>
      <c r="X594"/>
      <c r="Y594"/>
      <c r="Z594"/>
      <c r="AA594"/>
      <c r="AB594"/>
      <c r="AC594"/>
      <c r="AD594"/>
    </row>
    <row r="595" spans="1:30" s="82" customFormat="1" x14ac:dyDescent="0.25">
      <c r="A595"/>
      <c r="B595"/>
      <c r="C595"/>
      <c r="D595"/>
      <c r="E595"/>
      <c r="F595"/>
      <c r="G595"/>
      <c r="H595"/>
      <c r="I595"/>
      <c r="J595"/>
      <c r="K595"/>
      <c r="L595"/>
      <c r="M595"/>
      <c r="N595"/>
      <c r="O595"/>
      <c r="P595"/>
      <c r="Q595"/>
      <c r="R595"/>
      <c r="S595"/>
      <c r="T595"/>
      <c r="U595"/>
      <c r="V595"/>
      <c r="W595"/>
      <c r="X595"/>
      <c r="Y595"/>
      <c r="Z595"/>
      <c r="AA595"/>
      <c r="AB595"/>
      <c r="AC595"/>
      <c r="AD595"/>
    </row>
    <row r="596" spans="1:30" s="82" customFormat="1" x14ac:dyDescent="0.25">
      <c r="A596"/>
      <c r="B596"/>
      <c r="C596"/>
      <c r="D596"/>
      <c r="E596"/>
      <c r="F596"/>
      <c r="G596"/>
      <c r="H596"/>
      <c r="I596"/>
      <c r="J596"/>
      <c r="K596"/>
      <c r="L596"/>
      <c r="M596"/>
      <c r="N596"/>
      <c r="O596"/>
      <c r="P596"/>
      <c r="Q596"/>
      <c r="R596"/>
      <c r="S596"/>
      <c r="T596"/>
      <c r="U596"/>
      <c r="V596"/>
      <c r="W596"/>
      <c r="X596"/>
      <c r="Y596"/>
      <c r="Z596"/>
      <c r="AA596"/>
      <c r="AB596"/>
      <c r="AC596"/>
      <c r="AD596"/>
    </row>
    <row r="597" spans="1:30" s="82" customFormat="1" x14ac:dyDescent="0.25">
      <c r="A597"/>
      <c r="B597"/>
      <c r="C597"/>
      <c r="D597"/>
      <c r="E597"/>
      <c r="F597"/>
      <c r="G597"/>
      <c r="H597"/>
      <c r="I597"/>
      <c r="J597"/>
      <c r="K597"/>
      <c r="L597"/>
      <c r="M597"/>
      <c r="N597"/>
      <c r="O597"/>
      <c r="P597"/>
      <c r="Q597"/>
      <c r="R597"/>
      <c r="S597"/>
      <c r="T597"/>
      <c r="U597"/>
      <c r="V597"/>
      <c r="W597"/>
      <c r="X597"/>
      <c r="Y597"/>
      <c r="Z597"/>
      <c r="AA597"/>
      <c r="AB597"/>
      <c r="AC597"/>
      <c r="AD597"/>
    </row>
    <row r="598" spans="1:30" s="82" customFormat="1" x14ac:dyDescent="0.25">
      <c r="A598"/>
      <c r="B598"/>
      <c r="C598"/>
      <c r="D598"/>
      <c r="E598"/>
      <c r="F598"/>
      <c r="G598"/>
      <c r="H598"/>
      <c r="I598"/>
      <c r="J598"/>
      <c r="K598"/>
      <c r="L598"/>
      <c r="M598"/>
      <c r="N598"/>
      <c r="O598"/>
      <c r="P598"/>
      <c r="Q598"/>
      <c r="R598"/>
      <c r="S598"/>
      <c r="T598"/>
      <c r="U598"/>
      <c r="V598"/>
      <c r="W598"/>
      <c r="X598"/>
      <c r="Y598"/>
      <c r="Z598"/>
      <c r="AA598"/>
      <c r="AB598"/>
      <c r="AC598"/>
      <c r="AD598"/>
    </row>
    <row r="599" spans="1:30" s="82" customFormat="1" x14ac:dyDescent="0.25">
      <c r="A599"/>
      <c r="B599"/>
      <c r="C599"/>
      <c r="D599"/>
      <c r="E599"/>
      <c r="F599"/>
      <c r="G599"/>
      <c r="H599"/>
      <c r="I599"/>
      <c r="J599"/>
      <c r="K599"/>
      <c r="L599"/>
      <c r="M599"/>
      <c r="N599"/>
      <c r="O599"/>
      <c r="P599"/>
      <c r="Q599"/>
      <c r="R599"/>
      <c r="S599"/>
      <c r="T599"/>
      <c r="U599"/>
      <c r="V599"/>
      <c r="W599"/>
      <c r="X599"/>
      <c r="Y599"/>
      <c r="Z599"/>
      <c r="AA599"/>
      <c r="AB599"/>
      <c r="AC599"/>
      <c r="AD599"/>
    </row>
    <row r="600" spans="1:30" s="82" customFormat="1" x14ac:dyDescent="0.25">
      <c r="A600"/>
      <c r="B600"/>
      <c r="C600"/>
      <c r="D600"/>
      <c r="E600"/>
      <c r="F600"/>
      <c r="G600"/>
      <c r="H600"/>
      <c r="I600"/>
      <c r="J600"/>
      <c r="K600"/>
      <c r="L600"/>
      <c r="M600"/>
      <c r="N600"/>
      <c r="O600"/>
      <c r="P600"/>
      <c r="Q600"/>
      <c r="R600"/>
      <c r="S600"/>
      <c r="T600"/>
      <c r="U600"/>
      <c r="V600"/>
      <c r="W600"/>
      <c r="X600"/>
      <c r="Y600"/>
      <c r="Z600"/>
      <c r="AA600"/>
      <c r="AB600"/>
      <c r="AC600"/>
      <c r="AD600"/>
    </row>
    <row r="601" spans="1:30" s="82" customFormat="1" x14ac:dyDescent="0.25">
      <c r="A601"/>
      <c r="B601"/>
      <c r="C601"/>
      <c r="D601"/>
      <c r="E601"/>
      <c r="F601"/>
      <c r="G601"/>
      <c r="H601"/>
      <c r="I601"/>
      <c r="J601"/>
      <c r="K601"/>
      <c r="L601"/>
      <c r="M601"/>
      <c r="N601"/>
      <c r="O601"/>
      <c r="P601"/>
      <c r="Q601"/>
      <c r="R601"/>
      <c r="S601"/>
      <c r="T601"/>
      <c r="U601"/>
      <c r="V601"/>
      <c r="W601"/>
      <c r="X601"/>
      <c r="Y601"/>
      <c r="Z601"/>
      <c r="AA601"/>
      <c r="AB601"/>
      <c r="AC601"/>
      <c r="AD601"/>
    </row>
    <row r="602" spans="1:30" s="82" customFormat="1" x14ac:dyDescent="0.25">
      <c r="A602"/>
      <c r="B602"/>
      <c r="C602"/>
      <c r="D602"/>
      <c r="E602"/>
      <c r="F602"/>
      <c r="G602"/>
      <c r="H602"/>
      <c r="I602"/>
      <c r="J602"/>
      <c r="K602"/>
      <c r="L602"/>
      <c r="M602"/>
      <c r="N602"/>
      <c r="O602"/>
      <c r="P602"/>
      <c r="Q602"/>
      <c r="R602"/>
      <c r="S602"/>
      <c r="T602"/>
      <c r="U602"/>
      <c r="V602"/>
      <c r="W602"/>
      <c r="X602"/>
      <c r="Y602"/>
      <c r="Z602"/>
      <c r="AA602"/>
      <c r="AB602"/>
      <c r="AC602"/>
      <c r="AD602"/>
    </row>
    <row r="603" spans="1:30" s="82" customFormat="1" x14ac:dyDescent="0.25">
      <c r="A603"/>
      <c r="B603"/>
      <c r="C603"/>
      <c r="D603"/>
      <c r="E603"/>
      <c r="F603"/>
      <c r="G603"/>
      <c r="H603"/>
      <c r="I603"/>
      <c r="J603"/>
      <c r="K603"/>
      <c r="L603"/>
      <c r="M603"/>
      <c r="N603"/>
      <c r="O603"/>
      <c r="P603"/>
      <c r="Q603"/>
      <c r="R603"/>
      <c r="S603"/>
      <c r="T603"/>
      <c r="U603"/>
      <c r="V603"/>
      <c r="W603"/>
      <c r="X603"/>
      <c r="Y603"/>
      <c r="Z603"/>
      <c r="AA603"/>
      <c r="AB603"/>
      <c r="AC603"/>
      <c r="AD603"/>
    </row>
    <row r="604" spans="1:30" s="82" customFormat="1" x14ac:dyDescent="0.25">
      <c r="A604"/>
      <c r="B604"/>
      <c r="C604"/>
      <c r="D604"/>
      <c r="E604"/>
      <c r="F604"/>
      <c r="G604"/>
      <c r="H604"/>
      <c r="I604"/>
      <c r="J604"/>
      <c r="K604"/>
      <c r="L604"/>
      <c r="M604"/>
      <c r="N604"/>
      <c r="O604"/>
      <c r="P604"/>
      <c r="Q604"/>
      <c r="R604"/>
      <c r="S604"/>
      <c r="T604"/>
      <c r="U604"/>
      <c r="V604"/>
      <c r="W604"/>
      <c r="X604"/>
      <c r="Y604"/>
      <c r="Z604"/>
      <c r="AA604"/>
      <c r="AB604"/>
      <c r="AC604"/>
      <c r="AD604"/>
    </row>
    <row r="605" spans="1:30" s="82" customFormat="1" x14ac:dyDescent="0.25">
      <c r="A605"/>
      <c r="B605"/>
      <c r="C605"/>
      <c r="D605"/>
      <c r="E605"/>
      <c r="F605"/>
      <c r="G605"/>
      <c r="H605"/>
      <c r="I605"/>
      <c r="J605"/>
      <c r="K605"/>
      <c r="L605"/>
      <c r="M605"/>
      <c r="N605"/>
      <c r="O605"/>
      <c r="P605"/>
      <c r="Q605"/>
      <c r="R605"/>
      <c r="S605"/>
      <c r="T605"/>
      <c r="U605"/>
      <c r="V605"/>
      <c r="W605"/>
      <c r="X605"/>
      <c r="Y605"/>
      <c r="Z605"/>
      <c r="AA605"/>
      <c r="AB605"/>
      <c r="AC605"/>
      <c r="AD605"/>
    </row>
    <row r="606" spans="1:30" s="82" customFormat="1" x14ac:dyDescent="0.25">
      <c r="A606"/>
      <c r="B606"/>
      <c r="C606"/>
      <c r="D606"/>
      <c r="E606"/>
      <c r="F606"/>
      <c r="G606"/>
      <c r="H606"/>
      <c r="I606"/>
      <c r="J606"/>
      <c r="K606"/>
      <c r="L606"/>
      <c r="M606"/>
      <c r="N606"/>
      <c r="O606"/>
      <c r="P606"/>
      <c r="Q606"/>
      <c r="R606"/>
      <c r="S606"/>
      <c r="T606"/>
      <c r="U606"/>
      <c r="V606"/>
      <c r="W606"/>
      <c r="X606"/>
      <c r="Y606"/>
      <c r="Z606"/>
      <c r="AA606"/>
      <c r="AB606"/>
      <c r="AC606"/>
      <c r="AD606"/>
    </row>
    <row r="607" spans="1:30" s="82" customFormat="1" x14ac:dyDescent="0.25">
      <c r="A607"/>
      <c r="B607"/>
      <c r="C607"/>
      <c r="D607"/>
      <c r="E607"/>
      <c r="F607"/>
      <c r="G607"/>
      <c r="H607"/>
      <c r="I607"/>
      <c r="J607"/>
      <c r="K607"/>
      <c r="L607"/>
      <c r="M607"/>
      <c r="N607"/>
      <c r="O607"/>
      <c r="P607"/>
      <c r="Q607"/>
      <c r="R607"/>
      <c r="S607"/>
      <c r="T607"/>
      <c r="U607"/>
      <c r="V607"/>
      <c r="W607"/>
      <c r="X607"/>
      <c r="Y607"/>
      <c r="Z607"/>
      <c r="AA607"/>
      <c r="AB607"/>
      <c r="AC607"/>
      <c r="AD607"/>
    </row>
    <row r="608" spans="1:30" s="82" customFormat="1" x14ac:dyDescent="0.25">
      <c r="A608"/>
      <c r="B608"/>
      <c r="C608"/>
      <c r="D608"/>
      <c r="E608"/>
      <c r="F608"/>
      <c r="G608"/>
      <c r="H608"/>
      <c r="I608"/>
      <c r="J608"/>
      <c r="K608"/>
      <c r="L608"/>
      <c r="M608"/>
      <c r="N608"/>
      <c r="O608"/>
      <c r="P608"/>
      <c r="Q608"/>
      <c r="R608"/>
      <c r="S608"/>
      <c r="T608"/>
      <c r="U608"/>
      <c r="V608"/>
      <c r="W608"/>
      <c r="X608"/>
      <c r="Y608"/>
      <c r="Z608"/>
      <c r="AA608"/>
      <c r="AB608"/>
      <c r="AC608"/>
      <c r="AD608"/>
    </row>
    <row r="609" spans="1:30" s="82" customFormat="1" x14ac:dyDescent="0.25">
      <c r="A609"/>
      <c r="B609"/>
      <c r="C609"/>
      <c r="D609"/>
      <c r="E609"/>
      <c r="F609"/>
      <c r="G609"/>
      <c r="H609"/>
      <c r="I609"/>
      <c r="J609"/>
      <c r="K609"/>
      <c r="L609"/>
      <c r="M609"/>
      <c r="N609"/>
      <c r="O609"/>
      <c r="P609"/>
      <c r="Q609"/>
      <c r="R609"/>
      <c r="S609"/>
      <c r="T609"/>
      <c r="U609"/>
      <c r="V609"/>
      <c r="W609"/>
      <c r="X609"/>
      <c r="Y609"/>
      <c r="Z609"/>
      <c r="AA609"/>
      <c r="AB609"/>
      <c r="AC609"/>
      <c r="AD609"/>
    </row>
    <row r="610" spans="1:30" s="82" customFormat="1" x14ac:dyDescent="0.25">
      <c r="A610"/>
      <c r="B610"/>
      <c r="C610"/>
      <c r="D610"/>
      <c r="E610"/>
      <c r="F610"/>
      <c r="G610"/>
      <c r="H610"/>
      <c r="I610"/>
      <c r="J610"/>
      <c r="K610"/>
      <c r="L610"/>
      <c r="M610"/>
      <c r="N610"/>
      <c r="O610"/>
      <c r="P610"/>
      <c r="Q610"/>
      <c r="R610"/>
      <c r="S610"/>
      <c r="T610"/>
      <c r="U610"/>
      <c r="V610"/>
      <c r="W610"/>
      <c r="X610"/>
      <c r="Y610"/>
      <c r="Z610"/>
      <c r="AA610"/>
      <c r="AB610"/>
      <c r="AC610"/>
      <c r="AD610"/>
    </row>
    <row r="611" spans="1:30" s="82" customFormat="1" x14ac:dyDescent="0.25">
      <c r="A611"/>
      <c r="B611"/>
      <c r="C611"/>
      <c r="D611"/>
      <c r="E611"/>
      <c r="F611"/>
      <c r="G611"/>
      <c r="H611"/>
      <c r="I611"/>
      <c r="J611"/>
      <c r="K611"/>
      <c r="L611"/>
      <c r="M611"/>
      <c r="N611"/>
      <c r="O611"/>
      <c r="P611"/>
      <c r="Q611"/>
      <c r="R611"/>
      <c r="S611"/>
      <c r="T611"/>
      <c r="U611"/>
      <c r="V611"/>
      <c r="W611"/>
      <c r="X611"/>
      <c r="Y611"/>
      <c r="Z611"/>
      <c r="AA611"/>
      <c r="AB611"/>
      <c r="AC611"/>
      <c r="AD611"/>
    </row>
    <row r="612" spans="1:30" s="82" customFormat="1" x14ac:dyDescent="0.25">
      <c r="A612"/>
      <c r="B612"/>
      <c r="C612"/>
      <c r="D612"/>
      <c r="E612"/>
      <c r="F612"/>
      <c r="G612"/>
      <c r="H612"/>
      <c r="I612"/>
      <c r="J612"/>
      <c r="K612"/>
      <c r="L612"/>
      <c r="M612"/>
      <c r="N612"/>
      <c r="O612"/>
      <c r="P612"/>
      <c r="Q612"/>
      <c r="R612"/>
      <c r="S612"/>
      <c r="T612"/>
      <c r="U612"/>
      <c r="V612"/>
      <c r="W612"/>
      <c r="X612"/>
      <c r="Y612"/>
      <c r="Z612"/>
      <c r="AA612"/>
      <c r="AB612"/>
      <c r="AC612"/>
      <c r="AD612"/>
    </row>
    <row r="613" spans="1:30" s="82" customFormat="1" x14ac:dyDescent="0.25">
      <c r="A613"/>
      <c r="B613"/>
      <c r="C613"/>
      <c r="D613"/>
      <c r="E613"/>
      <c r="F613"/>
      <c r="G613"/>
      <c r="H613"/>
      <c r="I613"/>
      <c r="J613"/>
      <c r="K613"/>
      <c r="L613"/>
      <c r="M613"/>
      <c r="N613"/>
      <c r="O613"/>
      <c r="P613"/>
      <c r="Q613"/>
      <c r="R613"/>
      <c r="S613"/>
      <c r="T613"/>
      <c r="U613"/>
      <c r="V613"/>
      <c r="W613"/>
      <c r="X613"/>
      <c r="Y613"/>
      <c r="Z613"/>
      <c r="AA613"/>
      <c r="AB613"/>
      <c r="AC613"/>
      <c r="AD613"/>
    </row>
    <row r="614" spans="1:30" s="82" customFormat="1" x14ac:dyDescent="0.25">
      <c r="A614"/>
      <c r="B614"/>
      <c r="C614"/>
      <c r="D614"/>
      <c r="E614"/>
      <c r="F614"/>
      <c r="G614"/>
      <c r="H614"/>
      <c r="I614"/>
      <c r="J614"/>
      <c r="K614"/>
      <c r="L614"/>
      <c r="M614"/>
      <c r="N614"/>
      <c r="O614"/>
      <c r="P614"/>
      <c r="Q614"/>
      <c r="R614"/>
      <c r="S614"/>
      <c r="T614"/>
      <c r="U614"/>
      <c r="V614"/>
      <c r="W614"/>
      <c r="X614"/>
      <c r="Y614"/>
      <c r="Z614"/>
      <c r="AA614"/>
      <c r="AB614"/>
      <c r="AC614"/>
      <c r="AD614"/>
    </row>
    <row r="615" spans="1:30" s="82" customFormat="1" x14ac:dyDescent="0.25">
      <c r="A615"/>
      <c r="B615"/>
      <c r="C615"/>
      <c r="D615"/>
      <c r="E615"/>
      <c r="F615"/>
      <c r="G615"/>
      <c r="H615"/>
      <c r="I615"/>
      <c r="J615"/>
      <c r="K615"/>
      <c r="L615"/>
      <c r="M615"/>
      <c r="N615"/>
      <c r="O615"/>
      <c r="P615"/>
      <c r="Q615"/>
      <c r="R615"/>
      <c r="S615"/>
      <c r="T615"/>
      <c r="U615"/>
      <c r="V615"/>
      <c r="W615"/>
      <c r="X615"/>
      <c r="Y615"/>
      <c r="Z615"/>
      <c r="AA615"/>
      <c r="AB615"/>
      <c r="AC615"/>
      <c r="AD615"/>
    </row>
    <row r="616" spans="1:30" s="82" customFormat="1" x14ac:dyDescent="0.25">
      <c r="A616"/>
      <c r="B616"/>
      <c r="C616"/>
      <c r="D616"/>
      <c r="E616"/>
      <c r="F616"/>
      <c r="G616"/>
      <c r="H616"/>
      <c r="I616"/>
      <c r="J616"/>
      <c r="K616"/>
      <c r="L616"/>
      <c r="M616"/>
      <c r="N616"/>
      <c r="O616"/>
      <c r="P616"/>
      <c r="Q616"/>
      <c r="R616"/>
      <c r="S616"/>
      <c r="T616"/>
      <c r="U616"/>
      <c r="V616"/>
      <c r="W616"/>
      <c r="X616"/>
      <c r="Y616"/>
      <c r="Z616"/>
      <c r="AA616"/>
      <c r="AB616"/>
      <c r="AC616"/>
      <c r="AD616"/>
    </row>
    <row r="617" spans="1:30" s="82" customFormat="1" x14ac:dyDescent="0.25">
      <c r="A617"/>
      <c r="B617"/>
      <c r="C617"/>
      <c r="D617"/>
      <c r="E617"/>
      <c r="F617"/>
      <c r="G617"/>
      <c r="H617"/>
      <c r="I617"/>
      <c r="J617"/>
      <c r="K617"/>
      <c r="L617"/>
      <c r="M617"/>
      <c r="N617"/>
      <c r="O617"/>
      <c r="P617"/>
      <c r="Q617"/>
      <c r="R617"/>
      <c r="S617"/>
      <c r="T617"/>
      <c r="U617"/>
      <c r="V617"/>
      <c r="W617"/>
      <c r="X617"/>
      <c r="Y617"/>
      <c r="Z617"/>
      <c r="AA617"/>
      <c r="AB617"/>
      <c r="AC617"/>
      <c r="AD617"/>
    </row>
    <row r="618" spans="1:30" s="82" customFormat="1" x14ac:dyDescent="0.25">
      <c r="A618"/>
      <c r="B618"/>
      <c r="C618"/>
      <c r="D618"/>
      <c r="E618"/>
      <c r="F618"/>
      <c r="G618"/>
      <c r="H618"/>
      <c r="I618"/>
      <c r="J618"/>
      <c r="K618"/>
      <c r="L618"/>
      <c r="M618"/>
      <c r="N618"/>
      <c r="O618"/>
      <c r="P618"/>
      <c r="Q618"/>
      <c r="R618"/>
      <c r="S618"/>
      <c r="T618"/>
      <c r="U618"/>
      <c r="V618"/>
      <c r="W618"/>
      <c r="X618"/>
      <c r="Y618"/>
      <c r="Z618"/>
      <c r="AA618"/>
      <c r="AB618"/>
      <c r="AC618"/>
      <c r="AD618"/>
    </row>
    <row r="619" spans="1:30" s="82" customFormat="1" x14ac:dyDescent="0.25">
      <c r="A619"/>
      <c r="B619"/>
      <c r="C619"/>
      <c r="D619"/>
      <c r="E619"/>
      <c r="F619"/>
      <c r="G619"/>
      <c r="H619"/>
      <c r="I619"/>
      <c r="J619"/>
      <c r="K619"/>
      <c r="L619"/>
      <c r="M619"/>
      <c r="N619"/>
      <c r="O619"/>
      <c r="P619"/>
      <c r="Q619"/>
      <c r="R619"/>
      <c r="S619"/>
      <c r="T619"/>
      <c r="U619"/>
      <c r="V619"/>
      <c r="W619"/>
      <c r="X619"/>
      <c r="Y619"/>
      <c r="Z619"/>
      <c r="AA619"/>
      <c r="AB619"/>
      <c r="AC619"/>
      <c r="AD619"/>
    </row>
    <row r="620" spans="1:30" s="82" customFormat="1" x14ac:dyDescent="0.25">
      <c r="A620"/>
      <c r="B620"/>
      <c r="C620"/>
      <c r="D620"/>
      <c r="E620"/>
      <c r="F620"/>
      <c r="G620"/>
      <c r="H620"/>
      <c r="I620"/>
      <c r="J620"/>
      <c r="K620"/>
      <c r="L620"/>
      <c r="M620"/>
      <c r="N620"/>
      <c r="O620"/>
      <c r="P620"/>
      <c r="Q620"/>
      <c r="R620"/>
      <c r="S620"/>
      <c r="T620"/>
      <c r="U620"/>
      <c r="V620"/>
      <c r="W620"/>
      <c r="X620"/>
      <c r="Y620"/>
      <c r="Z620"/>
      <c r="AA620"/>
      <c r="AB620"/>
      <c r="AC620"/>
      <c r="AD620"/>
    </row>
    <row r="621" spans="1:30" s="82" customFormat="1" x14ac:dyDescent="0.25">
      <c r="A621"/>
      <c r="B621"/>
      <c r="C621"/>
      <c r="D621"/>
      <c r="E621"/>
      <c r="F621"/>
      <c r="G621"/>
      <c r="H621"/>
      <c r="I621"/>
      <c r="J621"/>
      <c r="K621"/>
      <c r="L621"/>
      <c r="M621"/>
      <c r="N621"/>
      <c r="O621"/>
      <c r="P621"/>
      <c r="Q621"/>
      <c r="R621"/>
      <c r="S621"/>
      <c r="T621"/>
      <c r="U621"/>
      <c r="V621"/>
      <c r="W621"/>
      <c r="X621"/>
      <c r="Y621"/>
      <c r="Z621"/>
      <c r="AA621"/>
      <c r="AB621"/>
      <c r="AC621"/>
      <c r="AD621"/>
    </row>
    <row r="622" spans="1:30" s="82" customFormat="1" x14ac:dyDescent="0.25">
      <c r="A622"/>
      <c r="B622"/>
      <c r="C622"/>
      <c r="D622"/>
      <c r="E622"/>
      <c r="F622"/>
      <c r="G622"/>
      <c r="H622"/>
      <c r="I622"/>
      <c r="J622"/>
      <c r="K622"/>
      <c r="L622"/>
      <c r="M622"/>
      <c r="N622"/>
      <c r="O622"/>
      <c r="P622"/>
      <c r="Q622"/>
      <c r="R622"/>
      <c r="S622"/>
      <c r="T622"/>
      <c r="U622"/>
      <c r="V622"/>
      <c r="W622"/>
      <c r="X622"/>
      <c r="Y622"/>
      <c r="Z622"/>
      <c r="AA622"/>
      <c r="AB622"/>
      <c r="AC622"/>
      <c r="AD622"/>
    </row>
    <row r="623" spans="1:30" s="82" customFormat="1" x14ac:dyDescent="0.25">
      <c r="A623"/>
      <c r="B623"/>
      <c r="C623"/>
      <c r="D623"/>
      <c r="E623"/>
      <c r="F623"/>
      <c r="G623"/>
      <c r="H623"/>
      <c r="I623"/>
      <c r="J623"/>
      <c r="K623"/>
      <c r="L623"/>
      <c r="M623"/>
      <c r="N623"/>
      <c r="O623"/>
      <c r="P623"/>
      <c r="Q623"/>
      <c r="R623"/>
      <c r="S623"/>
      <c r="T623"/>
      <c r="U623"/>
      <c r="V623"/>
      <c r="W623"/>
      <c r="X623"/>
      <c r="Y623"/>
      <c r="Z623"/>
      <c r="AA623"/>
      <c r="AB623"/>
      <c r="AC623"/>
      <c r="AD623"/>
    </row>
    <row r="624" spans="1:30" s="82" customFormat="1" x14ac:dyDescent="0.25">
      <c r="A624"/>
      <c r="B624"/>
      <c r="C624"/>
      <c r="D624"/>
      <c r="E624"/>
      <c r="F624"/>
      <c r="G624"/>
      <c r="H624"/>
      <c r="I624"/>
      <c r="J624"/>
      <c r="K624"/>
      <c r="L624"/>
      <c r="M624"/>
      <c r="N624"/>
      <c r="O624"/>
      <c r="P624"/>
      <c r="Q624"/>
      <c r="R624"/>
      <c r="S624"/>
      <c r="T624"/>
      <c r="U624"/>
      <c r="V624"/>
      <c r="W624"/>
      <c r="X624"/>
      <c r="Y624"/>
      <c r="Z624"/>
      <c r="AA624"/>
      <c r="AB624"/>
      <c r="AC624"/>
      <c r="AD624"/>
    </row>
    <row r="625" spans="1:30" s="82" customFormat="1" x14ac:dyDescent="0.25">
      <c r="A625"/>
      <c r="B625"/>
      <c r="C625"/>
      <c r="D625"/>
      <c r="E625"/>
      <c r="F625"/>
      <c r="G625"/>
      <c r="H625"/>
      <c r="I625"/>
      <c r="J625"/>
      <c r="K625"/>
      <c r="L625"/>
      <c r="M625"/>
      <c r="N625"/>
      <c r="O625"/>
      <c r="P625"/>
      <c r="Q625"/>
      <c r="R625"/>
      <c r="S625"/>
      <c r="T625"/>
      <c r="U625"/>
      <c r="V625"/>
      <c r="W625"/>
      <c r="X625"/>
      <c r="Y625"/>
      <c r="Z625"/>
      <c r="AA625"/>
      <c r="AB625"/>
      <c r="AC625"/>
      <c r="AD625"/>
    </row>
    <row r="626" spans="1:30" s="82" customFormat="1" x14ac:dyDescent="0.25">
      <c r="A626"/>
      <c r="B626"/>
      <c r="C626"/>
      <c r="D626"/>
      <c r="E626"/>
      <c r="F626"/>
      <c r="G626"/>
      <c r="H626"/>
      <c r="I626"/>
      <c r="J626"/>
      <c r="K626"/>
      <c r="L626"/>
      <c r="M626"/>
      <c r="N626"/>
      <c r="O626"/>
      <c r="P626"/>
      <c r="Q626"/>
      <c r="R626"/>
      <c r="S626"/>
      <c r="T626"/>
      <c r="U626"/>
      <c r="V626"/>
      <c r="W626"/>
      <c r="X626"/>
      <c r="Y626"/>
      <c r="Z626"/>
      <c r="AA626"/>
      <c r="AB626"/>
      <c r="AC626"/>
      <c r="AD626"/>
    </row>
    <row r="627" spans="1:30" s="82" customFormat="1" x14ac:dyDescent="0.25">
      <c r="A627"/>
      <c r="B627"/>
      <c r="C627"/>
      <c r="D627"/>
      <c r="E627"/>
      <c r="F627"/>
      <c r="G627"/>
      <c r="H627"/>
      <c r="I627"/>
      <c r="J627"/>
      <c r="K627"/>
      <c r="L627"/>
      <c r="M627"/>
      <c r="N627"/>
      <c r="O627"/>
      <c r="P627"/>
      <c r="Q627"/>
      <c r="R627"/>
      <c r="S627"/>
      <c r="T627"/>
      <c r="U627"/>
      <c r="V627"/>
      <c r="W627"/>
      <c r="X627"/>
      <c r="Y627"/>
      <c r="Z627"/>
      <c r="AA627"/>
      <c r="AB627"/>
      <c r="AC627"/>
      <c r="AD627"/>
    </row>
    <row r="628" spans="1:30" s="82" customFormat="1" x14ac:dyDescent="0.25">
      <c r="A628"/>
      <c r="B628"/>
      <c r="C628"/>
      <c r="D628"/>
      <c r="E628"/>
      <c r="F628"/>
      <c r="G628"/>
      <c r="H628"/>
      <c r="I628"/>
      <c r="J628"/>
      <c r="K628"/>
      <c r="L628"/>
      <c r="M628"/>
      <c r="N628"/>
      <c r="O628"/>
      <c r="P628"/>
      <c r="Q628"/>
      <c r="R628"/>
      <c r="S628"/>
      <c r="T628"/>
      <c r="U628"/>
      <c r="V628"/>
      <c r="W628"/>
      <c r="X628"/>
      <c r="Y628"/>
      <c r="Z628"/>
      <c r="AA628"/>
      <c r="AB628"/>
      <c r="AC628"/>
      <c r="AD628"/>
    </row>
    <row r="629" spans="1:30" s="82" customFormat="1" x14ac:dyDescent="0.25">
      <c r="A629"/>
      <c r="B629"/>
      <c r="C629"/>
      <c r="D629"/>
      <c r="E629"/>
      <c r="F629"/>
      <c r="G629"/>
      <c r="H629"/>
      <c r="I629"/>
      <c r="J629"/>
      <c r="K629"/>
      <c r="L629"/>
      <c r="M629"/>
      <c r="N629"/>
      <c r="O629"/>
      <c r="P629"/>
      <c r="Q629"/>
      <c r="R629"/>
      <c r="S629"/>
      <c r="T629"/>
      <c r="U629"/>
      <c r="V629"/>
      <c r="W629"/>
      <c r="X629"/>
      <c r="Y629"/>
      <c r="Z629"/>
      <c r="AA629"/>
      <c r="AB629"/>
      <c r="AC629"/>
      <c r="AD629"/>
    </row>
    <row r="630" spans="1:30" s="82" customFormat="1" x14ac:dyDescent="0.25">
      <c r="A630"/>
      <c r="B630"/>
      <c r="C630"/>
      <c r="D630"/>
      <c r="E630"/>
      <c r="F630"/>
      <c r="G630"/>
      <c r="H630"/>
      <c r="I630"/>
      <c r="J630"/>
      <c r="K630"/>
      <c r="L630"/>
      <c r="M630"/>
      <c r="N630"/>
      <c r="O630"/>
      <c r="P630"/>
      <c r="Q630"/>
      <c r="R630"/>
      <c r="S630"/>
      <c r="T630"/>
      <c r="U630"/>
      <c r="V630"/>
      <c r="W630"/>
      <c r="X630"/>
      <c r="Y630"/>
      <c r="Z630"/>
      <c r="AA630"/>
      <c r="AB630"/>
      <c r="AC630"/>
      <c r="AD630"/>
    </row>
    <row r="631" spans="1:30" s="82" customFormat="1" x14ac:dyDescent="0.25">
      <c r="A631"/>
      <c r="B631"/>
      <c r="C631"/>
      <c r="D631"/>
      <c r="E631"/>
      <c r="F631"/>
      <c r="G631"/>
      <c r="H631"/>
      <c r="I631"/>
      <c r="J631"/>
      <c r="K631"/>
      <c r="L631"/>
      <c r="M631"/>
      <c r="N631"/>
      <c r="O631"/>
      <c r="P631"/>
      <c r="Q631"/>
      <c r="R631"/>
      <c r="S631"/>
      <c r="T631"/>
      <c r="U631"/>
      <c r="V631"/>
      <c r="W631"/>
      <c r="X631"/>
      <c r="Y631"/>
      <c r="Z631"/>
      <c r="AA631"/>
      <c r="AB631"/>
      <c r="AC631"/>
      <c r="AD631"/>
    </row>
    <row r="632" spans="1:30" s="82" customFormat="1" x14ac:dyDescent="0.25">
      <c r="A632"/>
      <c r="B632"/>
      <c r="C632"/>
      <c r="D632"/>
      <c r="E632"/>
      <c r="F632"/>
      <c r="G632"/>
      <c r="H632"/>
      <c r="I632"/>
      <c r="J632"/>
      <c r="K632"/>
      <c r="L632"/>
      <c r="M632"/>
      <c r="N632"/>
      <c r="O632"/>
      <c r="P632"/>
      <c r="Q632"/>
      <c r="R632"/>
      <c r="S632"/>
      <c r="T632"/>
      <c r="U632"/>
      <c r="V632"/>
      <c r="W632"/>
      <c r="X632"/>
      <c r="Y632"/>
      <c r="Z632"/>
      <c r="AA632"/>
      <c r="AB632"/>
      <c r="AC632"/>
      <c r="AD632"/>
    </row>
    <row r="633" spans="1:30" s="82" customFormat="1" x14ac:dyDescent="0.25">
      <c r="A633"/>
      <c r="B633"/>
      <c r="C633"/>
      <c r="D633"/>
      <c r="E633"/>
      <c r="F633"/>
      <c r="G633"/>
      <c r="H633"/>
      <c r="I633"/>
      <c r="J633"/>
      <c r="K633"/>
      <c r="L633"/>
      <c r="M633"/>
      <c r="N633"/>
      <c r="O633"/>
      <c r="P633"/>
      <c r="Q633"/>
      <c r="R633"/>
      <c r="S633"/>
      <c r="T633"/>
      <c r="U633"/>
      <c r="V633"/>
      <c r="W633"/>
      <c r="X633"/>
      <c r="Y633"/>
      <c r="Z633"/>
      <c r="AA633"/>
      <c r="AB633"/>
      <c r="AC633"/>
      <c r="AD633"/>
    </row>
    <row r="634" spans="1:30" s="82" customFormat="1" x14ac:dyDescent="0.25">
      <c r="A634"/>
      <c r="B634"/>
      <c r="C634"/>
      <c r="D634"/>
      <c r="E634"/>
      <c r="F634"/>
      <c r="G634"/>
      <c r="H634"/>
      <c r="I634"/>
      <c r="J634"/>
      <c r="K634"/>
      <c r="L634"/>
      <c r="M634"/>
      <c r="N634"/>
      <c r="O634"/>
      <c r="P634"/>
      <c r="Q634"/>
      <c r="R634"/>
      <c r="S634"/>
      <c r="T634"/>
      <c r="U634"/>
      <c r="V634"/>
      <c r="W634"/>
      <c r="X634"/>
      <c r="Y634"/>
      <c r="Z634"/>
      <c r="AA634"/>
      <c r="AB634"/>
      <c r="AC634"/>
      <c r="AD634"/>
    </row>
    <row r="635" spans="1:30" s="82" customFormat="1" x14ac:dyDescent="0.25">
      <c r="A635"/>
      <c r="B635"/>
      <c r="C635"/>
      <c r="D635"/>
      <c r="E635"/>
      <c r="F635"/>
      <c r="G635"/>
      <c r="H635"/>
      <c r="I635"/>
      <c r="J635"/>
      <c r="K635"/>
      <c r="L635"/>
      <c r="M635"/>
      <c r="N635"/>
      <c r="O635"/>
      <c r="P635"/>
      <c r="Q635"/>
      <c r="R635"/>
      <c r="S635"/>
      <c r="T635"/>
      <c r="U635"/>
      <c r="V635"/>
      <c r="W635"/>
      <c r="X635"/>
      <c r="Y635"/>
      <c r="Z635"/>
      <c r="AA635"/>
      <c r="AB635"/>
      <c r="AC635"/>
      <c r="AD635"/>
    </row>
    <row r="636" spans="1:30" s="82" customFormat="1" x14ac:dyDescent="0.25">
      <c r="A636"/>
      <c r="B636"/>
      <c r="C636"/>
      <c r="D636"/>
      <c r="E636"/>
      <c r="F636"/>
      <c r="G636"/>
      <c r="H636"/>
      <c r="I636"/>
      <c r="J636"/>
      <c r="K636"/>
      <c r="L636"/>
      <c r="M636"/>
      <c r="N636"/>
      <c r="O636"/>
      <c r="P636"/>
      <c r="Q636"/>
      <c r="R636"/>
      <c r="S636"/>
      <c r="T636"/>
      <c r="U636"/>
      <c r="V636"/>
      <c r="W636"/>
      <c r="X636"/>
      <c r="Y636"/>
      <c r="Z636"/>
      <c r="AA636"/>
      <c r="AB636"/>
      <c r="AC636"/>
      <c r="AD636"/>
    </row>
    <row r="637" spans="1:30" s="82" customFormat="1" x14ac:dyDescent="0.25">
      <c r="A637"/>
      <c r="B637"/>
      <c r="C637"/>
      <c r="D637"/>
      <c r="E637"/>
      <c r="F637"/>
      <c r="G637"/>
      <c r="H637"/>
      <c r="I637"/>
      <c r="J637"/>
      <c r="K637"/>
      <c r="L637"/>
      <c r="M637"/>
      <c r="N637"/>
      <c r="O637"/>
      <c r="P637"/>
      <c r="Q637"/>
      <c r="R637"/>
      <c r="S637"/>
      <c r="T637"/>
      <c r="U637"/>
      <c r="V637"/>
      <c r="W637"/>
      <c r="X637"/>
      <c r="Y637"/>
      <c r="Z637"/>
      <c r="AA637"/>
      <c r="AB637"/>
      <c r="AC637"/>
      <c r="AD637"/>
    </row>
    <row r="638" spans="1:30" s="82" customFormat="1" x14ac:dyDescent="0.25">
      <c r="A638"/>
      <c r="B638"/>
      <c r="C638"/>
      <c r="D638"/>
      <c r="E638"/>
      <c r="F638"/>
      <c r="G638"/>
      <c r="H638"/>
      <c r="I638"/>
      <c r="J638"/>
      <c r="K638"/>
      <c r="L638"/>
      <c r="M638"/>
      <c r="N638"/>
      <c r="O638"/>
      <c r="P638"/>
      <c r="Q638"/>
      <c r="R638"/>
      <c r="S638"/>
      <c r="T638"/>
      <c r="U638"/>
      <c r="V638"/>
      <c r="W638"/>
      <c r="X638"/>
      <c r="Y638"/>
      <c r="Z638"/>
      <c r="AA638"/>
      <c r="AB638"/>
      <c r="AC638"/>
      <c r="AD638"/>
    </row>
    <row r="639" spans="1:30" s="82" customFormat="1" x14ac:dyDescent="0.25">
      <c r="A639"/>
      <c r="B639"/>
      <c r="C639"/>
      <c r="D639"/>
      <c r="E639"/>
      <c r="F639"/>
      <c r="G639"/>
      <c r="H639"/>
      <c r="I639"/>
      <c r="J639"/>
      <c r="K639"/>
      <c r="L639"/>
      <c r="M639"/>
      <c r="N639"/>
      <c r="O639"/>
      <c r="P639"/>
      <c r="Q639"/>
      <c r="R639"/>
      <c r="S639"/>
      <c r="T639"/>
      <c r="U639"/>
      <c r="V639"/>
      <c r="W639"/>
      <c r="X639"/>
      <c r="Y639"/>
      <c r="Z639"/>
      <c r="AA639"/>
      <c r="AB639"/>
      <c r="AC639"/>
      <c r="AD639"/>
    </row>
    <row r="640" spans="1:30" s="82" customFormat="1" x14ac:dyDescent="0.25">
      <c r="A640"/>
      <c r="B640"/>
      <c r="C640"/>
      <c r="D640"/>
      <c r="E640"/>
      <c r="F640"/>
      <c r="G640"/>
      <c r="H640"/>
      <c r="I640"/>
      <c r="J640"/>
      <c r="K640"/>
      <c r="L640"/>
      <c r="M640"/>
      <c r="N640"/>
      <c r="O640"/>
      <c r="P640"/>
      <c r="Q640"/>
      <c r="R640"/>
      <c r="S640"/>
      <c r="T640"/>
      <c r="U640"/>
      <c r="V640"/>
      <c r="W640"/>
      <c r="X640"/>
      <c r="Y640"/>
      <c r="Z640"/>
      <c r="AA640"/>
      <c r="AB640"/>
      <c r="AC640"/>
      <c r="AD640"/>
    </row>
    <row r="641" spans="1:30" s="82" customFormat="1" x14ac:dyDescent="0.25">
      <c r="A641"/>
      <c r="B641"/>
      <c r="C641"/>
      <c r="D641"/>
      <c r="E641"/>
      <c r="F641"/>
      <c r="G641"/>
      <c r="H641"/>
      <c r="I641"/>
      <c r="J641"/>
      <c r="K641"/>
      <c r="L641"/>
      <c r="M641"/>
      <c r="N641"/>
      <c r="O641"/>
      <c r="P641"/>
      <c r="Q641"/>
      <c r="R641"/>
      <c r="S641"/>
      <c r="T641"/>
      <c r="U641"/>
      <c r="V641"/>
      <c r="W641"/>
      <c r="X641"/>
      <c r="Y641"/>
      <c r="Z641"/>
      <c r="AA641"/>
      <c r="AB641"/>
      <c r="AC641"/>
      <c r="AD641"/>
    </row>
    <row r="642" spans="1:30" s="82" customFormat="1" x14ac:dyDescent="0.25">
      <c r="A642"/>
      <c r="B642"/>
      <c r="C642"/>
      <c r="D642"/>
      <c r="E642"/>
      <c r="F642"/>
      <c r="G642"/>
      <c r="H642"/>
      <c r="I642"/>
      <c r="J642"/>
      <c r="K642"/>
      <c r="L642"/>
      <c r="M642"/>
      <c r="N642"/>
      <c r="O642"/>
      <c r="P642"/>
      <c r="Q642"/>
      <c r="R642"/>
      <c r="S642"/>
      <c r="T642"/>
      <c r="U642"/>
      <c r="V642"/>
      <c r="W642"/>
      <c r="X642"/>
      <c r="Y642"/>
      <c r="Z642"/>
      <c r="AA642"/>
      <c r="AB642"/>
      <c r="AC642"/>
      <c r="AD642"/>
    </row>
    <row r="643" spans="1:30" s="82" customFormat="1" x14ac:dyDescent="0.25">
      <c r="A643"/>
      <c r="B643"/>
      <c r="C643"/>
      <c r="D643"/>
      <c r="E643"/>
      <c r="F643"/>
      <c r="G643"/>
      <c r="H643"/>
      <c r="I643"/>
      <c r="J643"/>
      <c r="K643"/>
      <c r="L643"/>
      <c r="M643"/>
      <c r="N643"/>
      <c r="O643"/>
      <c r="P643"/>
      <c r="Q643"/>
      <c r="R643"/>
      <c r="S643"/>
      <c r="T643"/>
      <c r="U643"/>
      <c r="V643"/>
      <c r="W643"/>
      <c r="X643"/>
      <c r="Y643"/>
      <c r="Z643"/>
      <c r="AA643"/>
      <c r="AB643"/>
      <c r="AC643"/>
      <c r="AD643"/>
    </row>
    <row r="644" spans="1:30" s="82" customFormat="1" x14ac:dyDescent="0.25">
      <c r="A644"/>
      <c r="B644"/>
      <c r="C644"/>
      <c r="D644"/>
      <c r="E644"/>
      <c r="F644"/>
      <c r="G644"/>
      <c r="H644"/>
      <c r="I644"/>
      <c r="J644"/>
      <c r="K644"/>
      <c r="L644"/>
      <c r="M644"/>
      <c r="N644"/>
      <c r="O644"/>
      <c r="P644"/>
      <c r="Q644"/>
      <c r="R644"/>
      <c r="S644"/>
      <c r="T644"/>
      <c r="U644"/>
      <c r="V644"/>
      <c r="W644"/>
      <c r="X644"/>
      <c r="Y644"/>
      <c r="Z644"/>
      <c r="AA644"/>
      <c r="AB644"/>
      <c r="AC644"/>
      <c r="AD644"/>
    </row>
    <row r="645" spans="1:30" s="82" customFormat="1" x14ac:dyDescent="0.25">
      <c r="A645"/>
      <c r="B645"/>
      <c r="C645"/>
      <c r="D645"/>
      <c r="E645"/>
      <c r="F645"/>
      <c r="G645"/>
      <c r="H645"/>
      <c r="I645"/>
      <c r="J645"/>
      <c r="K645"/>
      <c r="L645"/>
      <c r="M645"/>
      <c r="N645"/>
      <c r="O645"/>
      <c r="P645"/>
      <c r="Q645"/>
      <c r="R645"/>
      <c r="S645"/>
      <c r="T645"/>
      <c r="U645"/>
      <c r="V645"/>
      <c r="W645"/>
      <c r="X645"/>
      <c r="Y645"/>
      <c r="Z645"/>
      <c r="AA645"/>
      <c r="AB645"/>
      <c r="AC645"/>
      <c r="AD645"/>
    </row>
    <row r="646" spans="1:30" s="82" customFormat="1" x14ac:dyDescent="0.25">
      <c r="A646"/>
      <c r="B646"/>
      <c r="C646"/>
      <c r="D646"/>
      <c r="E646"/>
      <c r="F646"/>
      <c r="G646"/>
      <c r="H646"/>
      <c r="I646"/>
      <c r="J646"/>
      <c r="K646"/>
      <c r="L646"/>
      <c r="M646"/>
      <c r="N646"/>
      <c r="O646"/>
      <c r="P646"/>
      <c r="Q646"/>
      <c r="R646"/>
      <c r="S646"/>
      <c r="T646"/>
      <c r="U646"/>
      <c r="V646"/>
      <c r="W646"/>
      <c r="X646"/>
      <c r="Y646"/>
      <c r="Z646"/>
      <c r="AA646"/>
      <c r="AB646"/>
      <c r="AC646"/>
      <c r="AD646"/>
    </row>
    <row r="647" spans="1:30" s="82" customFormat="1" x14ac:dyDescent="0.25">
      <c r="A647"/>
      <c r="B647"/>
      <c r="C647"/>
      <c r="D647"/>
      <c r="E647"/>
      <c r="F647"/>
      <c r="G647"/>
      <c r="H647"/>
      <c r="I647"/>
      <c r="J647"/>
      <c r="K647"/>
      <c r="L647"/>
      <c r="M647"/>
      <c r="N647"/>
      <c r="O647"/>
      <c r="P647"/>
      <c r="Q647"/>
      <c r="R647"/>
      <c r="S647"/>
      <c r="T647"/>
      <c r="U647"/>
      <c r="V647"/>
      <c r="W647"/>
      <c r="X647"/>
      <c r="Y647"/>
      <c r="Z647"/>
      <c r="AA647"/>
      <c r="AB647"/>
      <c r="AC647"/>
      <c r="AD647"/>
    </row>
    <row r="648" spans="1:30" s="82" customFormat="1" x14ac:dyDescent="0.25">
      <c r="A648"/>
      <c r="B648"/>
      <c r="C648"/>
      <c r="D648"/>
      <c r="E648"/>
      <c r="F648"/>
      <c r="G648"/>
      <c r="H648"/>
      <c r="I648"/>
      <c r="J648"/>
      <c r="K648"/>
      <c r="L648"/>
      <c r="M648"/>
      <c r="N648"/>
      <c r="O648"/>
      <c r="P648"/>
      <c r="Q648"/>
      <c r="R648"/>
      <c r="S648"/>
      <c r="T648"/>
      <c r="U648"/>
      <c r="V648"/>
      <c r="W648"/>
      <c r="X648"/>
      <c r="Y648"/>
      <c r="Z648"/>
      <c r="AA648"/>
      <c r="AB648"/>
      <c r="AC648"/>
      <c r="AD648"/>
    </row>
    <row r="649" spans="1:30" s="82" customFormat="1" x14ac:dyDescent="0.25">
      <c r="A649"/>
      <c r="B649"/>
      <c r="C649"/>
      <c r="D649"/>
      <c r="E649"/>
      <c r="F649"/>
      <c r="G649"/>
      <c r="H649"/>
      <c r="I649"/>
      <c r="J649"/>
      <c r="K649"/>
      <c r="L649"/>
      <c r="M649"/>
      <c r="N649"/>
      <c r="O649"/>
      <c r="P649"/>
      <c r="Q649"/>
      <c r="R649"/>
      <c r="S649"/>
      <c r="T649"/>
      <c r="U649"/>
      <c r="V649"/>
      <c r="W649"/>
      <c r="X649"/>
      <c r="Y649"/>
      <c r="Z649"/>
      <c r="AA649"/>
      <c r="AB649"/>
      <c r="AC649"/>
      <c r="AD649"/>
    </row>
    <row r="650" spans="1:30" s="82" customFormat="1" x14ac:dyDescent="0.25">
      <c r="A650"/>
      <c r="B650"/>
      <c r="C650"/>
      <c r="D650"/>
      <c r="E650"/>
      <c r="F650"/>
      <c r="G650"/>
      <c r="H650"/>
      <c r="I650"/>
      <c r="J650"/>
      <c r="K650"/>
      <c r="L650"/>
      <c r="M650"/>
      <c r="N650"/>
      <c r="O650"/>
      <c r="P650"/>
      <c r="Q650"/>
      <c r="R650"/>
      <c r="S650"/>
      <c r="T650"/>
      <c r="U650"/>
      <c r="V650"/>
      <c r="W650"/>
      <c r="X650"/>
      <c r="Y650"/>
      <c r="Z650"/>
      <c r="AA650"/>
      <c r="AB650"/>
      <c r="AC650"/>
      <c r="AD650"/>
    </row>
    <row r="651" spans="1:30" s="82" customFormat="1" x14ac:dyDescent="0.25">
      <c r="A651"/>
      <c r="B651"/>
      <c r="C651"/>
      <c r="D651"/>
      <c r="E651"/>
      <c r="F651"/>
      <c r="G651"/>
      <c r="H651"/>
      <c r="I651"/>
      <c r="J651"/>
      <c r="K651"/>
      <c r="L651"/>
      <c r="M651"/>
      <c r="N651"/>
      <c r="O651"/>
      <c r="P651"/>
      <c r="Q651"/>
      <c r="R651"/>
      <c r="S651"/>
      <c r="T651"/>
      <c r="U651"/>
      <c r="V651"/>
      <c r="W651"/>
      <c r="X651"/>
      <c r="Y651"/>
      <c r="Z651"/>
      <c r="AA651"/>
      <c r="AB651"/>
      <c r="AC651"/>
      <c r="AD651"/>
    </row>
    <row r="652" spans="1:30" s="82" customFormat="1" x14ac:dyDescent="0.25">
      <c r="A652"/>
      <c r="B652"/>
      <c r="C652"/>
      <c r="D652"/>
      <c r="E652"/>
      <c r="F652"/>
      <c r="G652"/>
      <c r="H652"/>
      <c r="I652"/>
      <c r="J652"/>
      <c r="K652"/>
      <c r="L652"/>
      <c r="M652"/>
      <c r="N652"/>
      <c r="O652"/>
      <c r="P652"/>
      <c r="Q652"/>
      <c r="R652"/>
      <c r="S652"/>
      <c r="T652"/>
      <c r="U652"/>
      <c r="V652"/>
      <c r="W652"/>
      <c r="X652"/>
      <c r="Y652"/>
      <c r="Z652"/>
      <c r="AA652"/>
      <c r="AB652"/>
      <c r="AC652"/>
      <c r="AD652"/>
    </row>
    <row r="653" spans="1:30" s="82" customFormat="1" x14ac:dyDescent="0.25">
      <c r="A653"/>
      <c r="B653"/>
      <c r="C653"/>
      <c r="D653"/>
      <c r="E653"/>
      <c r="F653"/>
      <c r="G653"/>
      <c r="H653"/>
      <c r="I653"/>
      <c r="J653"/>
      <c r="K653"/>
      <c r="L653"/>
      <c r="M653"/>
      <c r="N653"/>
      <c r="O653"/>
      <c r="P653"/>
      <c r="Q653"/>
      <c r="R653"/>
      <c r="S653"/>
      <c r="T653"/>
      <c r="U653"/>
      <c r="V653"/>
      <c r="W653"/>
      <c r="X653"/>
      <c r="Y653"/>
      <c r="Z653"/>
      <c r="AA653"/>
      <c r="AB653"/>
      <c r="AC653"/>
      <c r="AD653"/>
    </row>
    <row r="654" spans="1:30" s="82" customFormat="1" x14ac:dyDescent="0.25">
      <c r="A654"/>
      <c r="B654"/>
      <c r="C654"/>
      <c r="D654"/>
      <c r="E654"/>
      <c r="F654"/>
      <c r="G654"/>
      <c r="H654"/>
      <c r="I654"/>
      <c r="J654"/>
      <c r="K654"/>
      <c r="L654"/>
      <c r="M654"/>
      <c r="N654"/>
      <c r="O654"/>
      <c r="P654"/>
      <c r="Q654"/>
      <c r="R654"/>
      <c r="S654"/>
      <c r="T654"/>
      <c r="U654"/>
      <c r="V654"/>
      <c r="W654"/>
      <c r="X654"/>
      <c r="Y654"/>
      <c r="Z654"/>
      <c r="AA654"/>
      <c r="AB654"/>
      <c r="AC654"/>
      <c r="AD654"/>
    </row>
    <row r="655" spans="1:30" s="82" customFormat="1" x14ac:dyDescent="0.25">
      <c r="A655"/>
      <c r="B655"/>
      <c r="C655"/>
      <c r="D655"/>
      <c r="E655"/>
      <c r="F655"/>
      <c r="G655"/>
      <c r="H655"/>
      <c r="I655"/>
      <c r="J655"/>
      <c r="K655"/>
      <c r="L655"/>
      <c r="M655"/>
      <c r="N655"/>
      <c r="O655"/>
      <c r="P655"/>
      <c r="Q655"/>
      <c r="R655"/>
      <c r="S655"/>
      <c r="T655"/>
      <c r="U655"/>
      <c r="V655"/>
      <c r="W655"/>
      <c r="X655"/>
      <c r="Y655"/>
      <c r="Z655"/>
      <c r="AA655"/>
      <c r="AB655"/>
      <c r="AC655"/>
      <c r="AD655"/>
    </row>
    <row r="656" spans="1:30" s="82" customFormat="1" x14ac:dyDescent="0.25">
      <c r="A656"/>
      <c r="B656"/>
      <c r="C656"/>
      <c r="D656"/>
      <c r="E656"/>
      <c r="F656"/>
      <c r="G656"/>
      <c r="H656"/>
      <c r="I656"/>
      <c r="J656"/>
      <c r="K656"/>
      <c r="L656"/>
      <c r="M656"/>
      <c r="N656"/>
      <c r="O656"/>
      <c r="P656"/>
      <c r="Q656"/>
      <c r="R656"/>
      <c r="S656"/>
      <c r="T656"/>
      <c r="U656"/>
      <c r="V656"/>
      <c r="W656"/>
      <c r="X656"/>
      <c r="Y656"/>
      <c r="Z656"/>
      <c r="AA656"/>
      <c r="AB656"/>
      <c r="AC656"/>
      <c r="AD656"/>
    </row>
    <row r="657" spans="1:30" s="82" customFormat="1" x14ac:dyDescent="0.25">
      <c r="A657"/>
      <c r="B657"/>
      <c r="C657"/>
      <c r="D657"/>
      <c r="E657"/>
      <c r="F657"/>
      <c r="G657"/>
      <c r="H657"/>
      <c r="I657"/>
      <c r="J657"/>
      <c r="K657"/>
      <c r="L657"/>
      <c r="M657"/>
      <c r="N657"/>
      <c r="O657"/>
      <c r="P657"/>
      <c r="Q657"/>
      <c r="R657"/>
      <c r="S657"/>
      <c r="T657"/>
      <c r="U657"/>
      <c r="V657"/>
      <c r="W657"/>
      <c r="X657"/>
      <c r="Y657"/>
      <c r="Z657"/>
      <c r="AA657"/>
      <c r="AB657"/>
      <c r="AC657"/>
      <c r="AD657"/>
    </row>
    <row r="658" spans="1:30" s="82" customFormat="1" x14ac:dyDescent="0.25">
      <c r="A658"/>
      <c r="B658"/>
      <c r="C658"/>
      <c r="D658"/>
      <c r="E658"/>
      <c r="F658"/>
      <c r="G658"/>
      <c r="H658"/>
      <c r="I658"/>
      <c r="J658"/>
      <c r="K658"/>
      <c r="L658"/>
      <c r="M658"/>
      <c r="N658"/>
      <c r="O658"/>
      <c r="P658"/>
      <c r="Q658"/>
      <c r="R658"/>
      <c r="S658"/>
      <c r="T658"/>
      <c r="U658"/>
      <c r="V658"/>
      <c r="W658"/>
      <c r="X658"/>
      <c r="Y658"/>
      <c r="Z658"/>
      <c r="AA658"/>
      <c r="AB658"/>
      <c r="AC658"/>
      <c r="AD658"/>
    </row>
    <row r="659" spans="1:30" s="82" customFormat="1" x14ac:dyDescent="0.25">
      <c r="A659"/>
      <c r="B659"/>
      <c r="C659"/>
      <c r="D659"/>
      <c r="E659"/>
      <c r="F659"/>
      <c r="G659"/>
      <c r="H659"/>
      <c r="I659"/>
      <c r="J659"/>
      <c r="K659"/>
      <c r="L659"/>
      <c r="M659"/>
      <c r="N659"/>
      <c r="O659"/>
      <c r="P659"/>
      <c r="Q659"/>
      <c r="R659"/>
      <c r="S659"/>
      <c r="T659"/>
      <c r="U659"/>
      <c r="V659"/>
      <c r="W659"/>
      <c r="X659"/>
      <c r="Y659"/>
      <c r="Z659"/>
      <c r="AA659"/>
      <c r="AB659"/>
      <c r="AC659"/>
      <c r="AD659"/>
    </row>
    <row r="660" spans="1:30" s="82" customFormat="1" x14ac:dyDescent="0.25">
      <c r="A660"/>
      <c r="B660"/>
      <c r="C660"/>
      <c r="D660"/>
      <c r="E660"/>
      <c r="F660"/>
      <c r="G660"/>
      <c r="H660"/>
      <c r="I660"/>
      <c r="J660"/>
      <c r="K660"/>
      <c r="L660"/>
      <c r="M660"/>
      <c r="N660"/>
      <c r="O660"/>
      <c r="P660"/>
      <c r="Q660"/>
      <c r="R660"/>
      <c r="S660"/>
      <c r="T660"/>
      <c r="U660"/>
      <c r="V660"/>
      <c r="W660"/>
      <c r="X660"/>
      <c r="Y660"/>
      <c r="Z660"/>
      <c r="AA660"/>
      <c r="AB660"/>
      <c r="AC660"/>
      <c r="AD660"/>
    </row>
    <row r="661" spans="1:30" s="82" customFormat="1" x14ac:dyDescent="0.25">
      <c r="A661"/>
      <c r="B661"/>
      <c r="C661"/>
      <c r="D661"/>
      <c r="E661"/>
      <c r="F661"/>
      <c r="G661"/>
      <c r="H661"/>
      <c r="I661"/>
      <c r="J661"/>
      <c r="K661"/>
      <c r="L661"/>
      <c r="M661"/>
      <c r="N661"/>
      <c r="O661"/>
      <c r="P661"/>
      <c r="Q661"/>
      <c r="R661"/>
      <c r="S661"/>
      <c r="T661"/>
      <c r="U661"/>
      <c r="V661"/>
      <c r="W661"/>
      <c r="X661"/>
      <c r="Y661"/>
      <c r="Z661"/>
      <c r="AA661"/>
      <c r="AB661"/>
      <c r="AC661"/>
      <c r="AD661"/>
    </row>
    <row r="662" spans="1:30" s="82" customFormat="1" x14ac:dyDescent="0.25">
      <c r="A662"/>
      <c r="B662"/>
      <c r="C662"/>
      <c r="D662"/>
      <c r="E662"/>
      <c r="F662"/>
      <c r="G662"/>
      <c r="H662"/>
      <c r="I662"/>
      <c r="J662"/>
      <c r="K662"/>
      <c r="L662"/>
      <c r="M662"/>
      <c r="N662"/>
      <c r="O662"/>
      <c r="P662"/>
      <c r="Q662"/>
      <c r="R662"/>
      <c r="S662"/>
      <c r="T662"/>
      <c r="U662"/>
      <c r="V662"/>
      <c r="W662"/>
      <c r="X662"/>
      <c r="Y662"/>
      <c r="Z662"/>
      <c r="AA662"/>
      <c r="AB662"/>
      <c r="AC662"/>
      <c r="AD662"/>
    </row>
    <row r="663" spans="1:30" s="82" customFormat="1" x14ac:dyDescent="0.25">
      <c r="A663"/>
      <c r="B663"/>
      <c r="C663"/>
      <c r="D663"/>
      <c r="E663"/>
      <c r="F663"/>
      <c r="G663"/>
      <c r="H663"/>
      <c r="I663"/>
      <c r="J663"/>
      <c r="K663"/>
      <c r="L663"/>
      <c r="M663"/>
      <c r="N663"/>
      <c r="O663"/>
      <c r="P663"/>
      <c r="Q663"/>
      <c r="R663"/>
      <c r="S663"/>
      <c r="T663"/>
      <c r="U663"/>
      <c r="V663"/>
      <c r="W663"/>
      <c r="X663"/>
      <c r="Y663"/>
      <c r="Z663"/>
      <c r="AA663"/>
      <c r="AB663"/>
      <c r="AC663"/>
      <c r="AD663"/>
    </row>
    <row r="664" spans="1:30" s="82" customFormat="1" x14ac:dyDescent="0.25">
      <c r="A664"/>
      <c r="B664"/>
      <c r="C664"/>
      <c r="D664"/>
      <c r="E664"/>
      <c r="F664"/>
      <c r="G664"/>
      <c r="H664"/>
      <c r="I664"/>
      <c r="J664"/>
      <c r="K664"/>
      <c r="L664"/>
      <c r="M664"/>
      <c r="N664"/>
      <c r="O664"/>
      <c r="P664"/>
      <c r="Q664"/>
      <c r="R664"/>
      <c r="S664"/>
      <c r="T664"/>
      <c r="U664"/>
      <c r="V664"/>
      <c r="W664"/>
      <c r="X664"/>
      <c r="Y664"/>
      <c r="Z664"/>
      <c r="AA664"/>
      <c r="AB664"/>
      <c r="AC664"/>
      <c r="AD664"/>
    </row>
    <row r="665" spans="1:30" s="82" customFormat="1" x14ac:dyDescent="0.25">
      <c r="A665"/>
      <c r="B665"/>
      <c r="C665"/>
      <c r="D665"/>
      <c r="E665"/>
      <c r="F665"/>
      <c r="G665"/>
      <c r="H665"/>
      <c r="I665"/>
      <c r="J665"/>
      <c r="K665"/>
      <c r="L665"/>
      <c r="M665"/>
      <c r="N665"/>
      <c r="O665"/>
      <c r="P665"/>
      <c r="Q665"/>
      <c r="R665"/>
      <c r="S665"/>
      <c r="T665"/>
      <c r="U665"/>
      <c r="V665"/>
      <c r="W665"/>
      <c r="X665"/>
      <c r="Y665"/>
      <c r="Z665"/>
      <c r="AA665"/>
      <c r="AB665"/>
      <c r="AC665"/>
      <c r="AD665"/>
    </row>
    <row r="666" spans="1:30" s="82" customFormat="1" x14ac:dyDescent="0.25">
      <c r="A666"/>
      <c r="B666"/>
      <c r="C666"/>
      <c r="D666"/>
      <c r="E666"/>
      <c r="F666"/>
      <c r="G666"/>
      <c r="H666"/>
      <c r="I666"/>
      <c r="J666"/>
      <c r="K666"/>
      <c r="L666"/>
      <c r="M666"/>
      <c r="N666"/>
      <c r="O666"/>
      <c r="P666"/>
      <c r="Q666"/>
      <c r="R666"/>
      <c r="S666"/>
      <c r="T666"/>
      <c r="U666"/>
      <c r="V666"/>
      <c r="W666"/>
      <c r="X666"/>
      <c r="Y666"/>
      <c r="Z666"/>
      <c r="AA666"/>
      <c r="AB666"/>
      <c r="AC666"/>
      <c r="AD666"/>
    </row>
    <row r="667" spans="1:30" s="82" customFormat="1" x14ac:dyDescent="0.25">
      <c r="A667"/>
      <c r="B667"/>
      <c r="C667"/>
      <c r="D667"/>
      <c r="E667"/>
      <c r="F667"/>
      <c r="G667"/>
      <c r="H667"/>
      <c r="I667"/>
      <c r="J667"/>
      <c r="K667"/>
      <c r="L667"/>
      <c r="M667"/>
      <c r="N667"/>
      <c r="O667"/>
      <c r="P667"/>
      <c r="Q667"/>
      <c r="R667"/>
      <c r="S667"/>
      <c r="T667"/>
      <c r="U667"/>
      <c r="V667"/>
      <c r="W667"/>
      <c r="X667"/>
      <c r="Y667"/>
      <c r="Z667"/>
      <c r="AA667"/>
      <c r="AB667"/>
      <c r="AC667"/>
      <c r="AD667"/>
    </row>
    <row r="668" spans="1:30" s="82" customFormat="1" x14ac:dyDescent="0.25">
      <c r="A668"/>
      <c r="B668"/>
      <c r="C668"/>
      <c r="D668"/>
      <c r="E668"/>
      <c r="F668"/>
      <c r="G668"/>
      <c r="H668"/>
      <c r="I668"/>
      <c r="J668"/>
      <c r="K668"/>
      <c r="L668"/>
      <c r="M668"/>
      <c r="N668"/>
      <c r="O668"/>
      <c r="P668"/>
      <c r="Q668"/>
      <c r="R668"/>
      <c r="S668"/>
      <c r="T668"/>
      <c r="U668"/>
      <c r="V668"/>
      <c r="W668"/>
      <c r="X668"/>
      <c r="Y668"/>
      <c r="Z668"/>
      <c r="AA668"/>
      <c r="AB668"/>
      <c r="AC668"/>
      <c r="AD668"/>
    </row>
    <row r="669" spans="1:30" s="82" customFormat="1" x14ac:dyDescent="0.25">
      <c r="A669"/>
      <c r="B669"/>
      <c r="C669"/>
      <c r="D669"/>
      <c r="E669"/>
      <c r="F669"/>
      <c r="G669"/>
      <c r="H669"/>
      <c r="I669"/>
      <c r="J669"/>
      <c r="K669"/>
      <c r="L669"/>
      <c r="M669"/>
      <c r="N669"/>
      <c r="O669"/>
      <c r="P669"/>
      <c r="Q669"/>
      <c r="R669"/>
      <c r="S669"/>
      <c r="T669"/>
      <c r="U669"/>
      <c r="V669"/>
      <c r="W669"/>
      <c r="X669"/>
      <c r="Y669"/>
      <c r="Z669"/>
      <c r="AA669"/>
      <c r="AB669"/>
      <c r="AC669"/>
      <c r="AD669"/>
    </row>
    <row r="670" spans="1:30" s="82" customFormat="1" x14ac:dyDescent="0.25">
      <c r="A670"/>
      <c r="B670"/>
      <c r="C670"/>
      <c r="D670"/>
      <c r="E670"/>
      <c r="F670"/>
      <c r="G670"/>
      <c r="H670"/>
      <c r="I670"/>
      <c r="J670"/>
      <c r="K670"/>
      <c r="L670"/>
      <c r="M670"/>
      <c r="N670"/>
      <c r="O670"/>
      <c r="P670"/>
      <c r="Q670"/>
      <c r="R670"/>
      <c r="S670"/>
      <c r="T670"/>
      <c r="U670"/>
      <c r="V670"/>
      <c r="W670"/>
      <c r="X670"/>
      <c r="Y670"/>
      <c r="Z670"/>
      <c r="AA670"/>
      <c r="AB670"/>
      <c r="AC670"/>
      <c r="AD670"/>
    </row>
    <row r="671" spans="1:30" s="82" customFormat="1" x14ac:dyDescent="0.25">
      <c r="A671"/>
      <c r="B671"/>
      <c r="C671"/>
      <c r="D671"/>
      <c r="E671"/>
      <c r="F671"/>
      <c r="G671"/>
      <c r="H671"/>
      <c r="I671"/>
      <c r="J671"/>
      <c r="K671"/>
      <c r="L671"/>
      <c r="M671"/>
      <c r="N671"/>
      <c r="O671"/>
      <c r="P671"/>
      <c r="Q671"/>
      <c r="R671"/>
      <c r="S671"/>
      <c r="T671"/>
      <c r="U671"/>
      <c r="V671"/>
      <c r="W671"/>
      <c r="X671"/>
      <c r="Y671"/>
      <c r="Z671"/>
      <c r="AA671"/>
      <c r="AB671"/>
      <c r="AC671"/>
      <c r="AD671"/>
    </row>
    <row r="672" spans="1:30" s="82" customFormat="1" x14ac:dyDescent="0.25">
      <c r="A672"/>
      <c r="B672"/>
      <c r="C672"/>
      <c r="D672"/>
      <c r="E672"/>
      <c r="F672"/>
      <c r="G672"/>
      <c r="H672"/>
      <c r="I672"/>
      <c r="J672"/>
      <c r="K672"/>
      <c r="L672"/>
      <c r="M672"/>
      <c r="N672"/>
      <c r="O672"/>
      <c r="P672"/>
      <c r="Q672"/>
      <c r="R672"/>
      <c r="S672"/>
      <c r="T672"/>
      <c r="U672"/>
      <c r="V672"/>
      <c r="W672"/>
      <c r="X672"/>
      <c r="Y672"/>
      <c r="Z672"/>
      <c r="AA672"/>
      <c r="AB672"/>
      <c r="AC672"/>
      <c r="AD672"/>
    </row>
    <row r="673" spans="1:30" s="82" customFormat="1" x14ac:dyDescent="0.25">
      <c r="A673"/>
      <c r="B673"/>
      <c r="C673"/>
      <c r="D673"/>
      <c r="E673"/>
      <c r="F673"/>
      <c r="G673"/>
      <c r="H673"/>
      <c r="I673"/>
      <c r="J673"/>
      <c r="K673"/>
      <c r="L673"/>
      <c r="M673"/>
      <c r="N673"/>
      <c r="O673"/>
      <c r="P673"/>
      <c r="Q673"/>
      <c r="R673"/>
      <c r="S673"/>
      <c r="T673"/>
      <c r="U673"/>
      <c r="V673"/>
      <c r="W673"/>
      <c r="X673"/>
      <c r="Y673"/>
      <c r="Z673"/>
      <c r="AA673"/>
      <c r="AB673"/>
      <c r="AC673"/>
      <c r="AD673"/>
    </row>
    <row r="674" spans="1:30" s="82" customFormat="1" x14ac:dyDescent="0.25">
      <c r="A674"/>
      <c r="B674"/>
      <c r="C674"/>
      <c r="D674"/>
      <c r="E674"/>
      <c r="F674"/>
      <c r="G674"/>
      <c r="H674"/>
      <c r="I674"/>
      <c r="J674"/>
      <c r="K674"/>
      <c r="L674"/>
      <c r="M674"/>
      <c r="N674"/>
      <c r="O674"/>
      <c r="P674"/>
      <c r="Q674"/>
      <c r="R674"/>
      <c r="S674"/>
      <c r="T674"/>
      <c r="U674"/>
      <c r="V674"/>
      <c r="W674"/>
      <c r="X674"/>
      <c r="Y674"/>
      <c r="Z674"/>
      <c r="AA674"/>
      <c r="AB674"/>
      <c r="AC674"/>
      <c r="AD674"/>
    </row>
    <row r="675" spans="1:30" s="82" customFormat="1" x14ac:dyDescent="0.25">
      <c r="A675"/>
      <c r="B675"/>
      <c r="C675"/>
      <c r="D675"/>
      <c r="E675"/>
      <c r="F675"/>
      <c r="G675"/>
      <c r="H675"/>
      <c r="I675"/>
      <c r="J675"/>
      <c r="K675"/>
      <c r="L675"/>
      <c r="M675"/>
      <c r="N675"/>
      <c r="O675"/>
      <c r="P675"/>
      <c r="Q675"/>
      <c r="R675"/>
      <c r="S675"/>
      <c r="T675"/>
      <c r="U675"/>
      <c r="V675"/>
      <c r="W675"/>
      <c r="X675"/>
      <c r="Y675"/>
      <c r="Z675"/>
      <c r="AA675"/>
      <c r="AB675"/>
      <c r="AC675"/>
      <c r="AD675"/>
    </row>
    <row r="676" spans="1:30" s="82" customFormat="1" x14ac:dyDescent="0.25">
      <c r="A676"/>
      <c r="B676"/>
      <c r="C676"/>
      <c r="D676"/>
      <c r="E676"/>
      <c r="F676"/>
      <c r="G676"/>
      <c r="H676"/>
      <c r="I676"/>
      <c r="J676"/>
      <c r="K676"/>
      <c r="L676"/>
      <c r="M676"/>
      <c r="N676"/>
      <c r="O676"/>
      <c r="P676"/>
      <c r="Q676"/>
      <c r="R676"/>
      <c r="S676"/>
      <c r="T676"/>
      <c r="U676"/>
      <c r="V676"/>
      <c r="W676"/>
      <c r="X676"/>
      <c r="Y676"/>
      <c r="Z676"/>
      <c r="AA676"/>
      <c r="AB676"/>
      <c r="AC676"/>
      <c r="AD676"/>
    </row>
    <row r="677" spans="1:30" s="82" customFormat="1" x14ac:dyDescent="0.25">
      <c r="A677"/>
      <c r="B677"/>
      <c r="C677"/>
      <c r="D677"/>
      <c r="E677"/>
      <c r="F677"/>
      <c r="G677"/>
      <c r="H677"/>
      <c r="I677"/>
      <c r="J677"/>
      <c r="K677"/>
      <c r="L677"/>
      <c r="M677"/>
      <c r="N677"/>
      <c r="O677"/>
      <c r="P677"/>
      <c r="Q677"/>
      <c r="R677"/>
      <c r="S677"/>
      <c r="T677"/>
      <c r="U677"/>
      <c r="V677"/>
      <c r="W677"/>
      <c r="X677"/>
      <c r="Y677"/>
      <c r="Z677"/>
      <c r="AA677"/>
      <c r="AB677"/>
      <c r="AC677"/>
      <c r="AD677"/>
    </row>
    <row r="678" spans="1:30" s="82" customFormat="1" x14ac:dyDescent="0.25">
      <c r="A678"/>
      <c r="B678"/>
      <c r="C678"/>
      <c r="D678"/>
      <c r="E678"/>
      <c r="F678"/>
      <c r="G678"/>
      <c r="H678"/>
      <c r="I678"/>
      <c r="J678"/>
      <c r="K678"/>
      <c r="L678"/>
      <c r="M678"/>
      <c r="N678"/>
      <c r="O678"/>
      <c r="P678"/>
      <c r="Q678"/>
      <c r="R678"/>
      <c r="S678"/>
      <c r="T678"/>
      <c r="U678"/>
      <c r="V678"/>
      <c r="W678"/>
      <c r="X678"/>
      <c r="Y678"/>
      <c r="Z678"/>
      <c r="AA678"/>
      <c r="AB678"/>
      <c r="AC678"/>
      <c r="AD678"/>
    </row>
    <row r="679" spans="1:30" s="82" customFormat="1" x14ac:dyDescent="0.25">
      <c r="A679"/>
      <c r="B679"/>
      <c r="C679"/>
      <c r="D679"/>
      <c r="E679"/>
      <c r="F679"/>
      <c r="G679"/>
      <c r="H679"/>
      <c r="I679"/>
      <c r="J679"/>
      <c r="K679"/>
      <c r="L679"/>
      <c r="M679"/>
      <c r="N679"/>
      <c r="O679"/>
      <c r="P679"/>
      <c r="Q679"/>
      <c r="R679"/>
      <c r="S679"/>
      <c r="T679"/>
      <c r="U679"/>
      <c r="V679"/>
      <c r="W679"/>
      <c r="X679"/>
      <c r="Y679"/>
      <c r="Z679"/>
      <c r="AA679"/>
      <c r="AB679"/>
      <c r="AC679"/>
      <c r="AD679"/>
    </row>
    <row r="680" spans="1:30" s="82" customFormat="1" x14ac:dyDescent="0.25">
      <c r="A680"/>
      <c r="B680"/>
      <c r="C680"/>
      <c r="D680"/>
      <c r="E680"/>
      <c r="F680"/>
      <c r="G680"/>
      <c r="H680"/>
      <c r="I680"/>
      <c r="J680"/>
      <c r="K680"/>
      <c r="L680"/>
      <c r="M680"/>
      <c r="N680"/>
      <c r="O680"/>
      <c r="P680"/>
      <c r="Q680"/>
      <c r="R680"/>
      <c r="S680"/>
      <c r="T680"/>
      <c r="U680"/>
      <c r="V680"/>
      <c r="W680"/>
      <c r="X680"/>
      <c r="Y680"/>
      <c r="Z680"/>
      <c r="AA680"/>
      <c r="AB680"/>
      <c r="AC680"/>
      <c r="AD680"/>
    </row>
    <row r="681" spans="1:30" s="82" customFormat="1" x14ac:dyDescent="0.25">
      <c r="A681"/>
      <c r="B681"/>
      <c r="C681"/>
      <c r="D681"/>
      <c r="E681"/>
      <c r="F681"/>
      <c r="G681"/>
      <c r="H681"/>
      <c r="I681"/>
      <c r="J681"/>
      <c r="K681"/>
      <c r="L681"/>
      <c r="M681"/>
      <c r="N681"/>
      <c r="O681"/>
      <c r="P681"/>
      <c r="Q681"/>
      <c r="R681"/>
      <c r="S681"/>
      <c r="T681"/>
      <c r="U681"/>
      <c r="V681"/>
      <c r="W681"/>
      <c r="X681"/>
      <c r="Y681"/>
      <c r="Z681"/>
      <c r="AA681"/>
      <c r="AB681"/>
      <c r="AC681"/>
      <c r="AD681"/>
    </row>
    <row r="682" spans="1:30" s="82" customFormat="1" x14ac:dyDescent="0.25">
      <c r="A682"/>
      <c r="B682"/>
      <c r="C682"/>
      <c r="D682"/>
      <c r="E682"/>
      <c r="F682"/>
      <c r="G682"/>
      <c r="H682"/>
      <c r="I682"/>
      <c r="J682"/>
      <c r="K682"/>
      <c r="L682"/>
      <c r="M682"/>
      <c r="N682"/>
      <c r="O682"/>
      <c r="P682"/>
      <c r="Q682"/>
      <c r="R682"/>
      <c r="S682"/>
      <c r="T682"/>
      <c r="U682"/>
      <c r="V682"/>
      <c r="W682"/>
      <c r="X682"/>
      <c r="Y682"/>
      <c r="Z682"/>
      <c r="AA682"/>
      <c r="AB682"/>
      <c r="AC682"/>
      <c r="AD682"/>
    </row>
    <row r="683" spans="1:30" s="82" customFormat="1" x14ac:dyDescent="0.25">
      <c r="A683"/>
      <c r="B683"/>
      <c r="C683"/>
      <c r="D683"/>
      <c r="E683"/>
      <c r="F683"/>
      <c r="G683"/>
      <c r="H683"/>
      <c r="I683"/>
      <c r="J683"/>
      <c r="K683"/>
      <c r="L683"/>
      <c r="M683"/>
      <c r="N683"/>
      <c r="O683"/>
      <c r="P683"/>
      <c r="Q683"/>
      <c r="R683"/>
      <c r="S683"/>
      <c r="T683"/>
      <c r="U683"/>
      <c r="V683"/>
      <c r="W683"/>
      <c r="X683"/>
      <c r="Y683"/>
      <c r="Z683"/>
      <c r="AA683"/>
      <c r="AB683"/>
      <c r="AC683"/>
      <c r="AD683"/>
    </row>
    <row r="684" spans="1:30" s="82" customFormat="1" x14ac:dyDescent="0.25">
      <c r="A684"/>
      <c r="B684"/>
      <c r="C684"/>
      <c r="D684"/>
      <c r="E684"/>
      <c r="F684"/>
      <c r="G684"/>
      <c r="H684"/>
      <c r="I684"/>
      <c r="J684"/>
      <c r="K684"/>
      <c r="L684"/>
      <c r="M684"/>
      <c r="N684"/>
      <c r="O684"/>
      <c r="P684"/>
      <c r="Q684"/>
      <c r="R684"/>
      <c r="S684"/>
      <c r="T684"/>
      <c r="U684"/>
      <c r="V684"/>
      <c r="W684"/>
      <c r="X684"/>
      <c r="Y684"/>
      <c r="Z684"/>
      <c r="AA684"/>
      <c r="AB684"/>
      <c r="AC684"/>
      <c r="AD684"/>
    </row>
    <row r="685" spans="1:30" s="82" customFormat="1" x14ac:dyDescent="0.25">
      <c r="A685"/>
      <c r="B685"/>
      <c r="C685"/>
      <c r="D685"/>
      <c r="E685"/>
      <c r="F685"/>
      <c r="G685"/>
      <c r="H685"/>
      <c r="I685"/>
      <c r="J685"/>
      <c r="K685"/>
      <c r="L685"/>
      <c r="M685"/>
      <c r="N685"/>
      <c r="O685"/>
      <c r="P685"/>
      <c r="Q685"/>
      <c r="R685"/>
      <c r="S685"/>
      <c r="T685"/>
      <c r="U685"/>
      <c r="V685"/>
      <c r="W685"/>
      <c r="X685"/>
      <c r="Y685"/>
      <c r="Z685"/>
      <c r="AA685"/>
      <c r="AB685"/>
      <c r="AC685"/>
      <c r="AD685"/>
    </row>
    <row r="686" spans="1:30" s="82" customFormat="1" x14ac:dyDescent="0.25">
      <c r="A686"/>
      <c r="B686"/>
      <c r="C686"/>
      <c r="D686"/>
      <c r="E686"/>
      <c r="F686"/>
      <c r="G686"/>
      <c r="H686"/>
      <c r="I686"/>
      <c r="J686"/>
      <c r="K686"/>
      <c r="L686"/>
      <c r="M686"/>
      <c r="N686"/>
      <c r="O686"/>
      <c r="P686"/>
      <c r="Q686"/>
      <c r="R686"/>
      <c r="S686"/>
      <c r="T686"/>
      <c r="U686"/>
      <c r="V686"/>
      <c r="W686"/>
      <c r="X686"/>
      <c r="Y686"/>
      <c r="Z686"/>
      <c r="AA686"/>
      <c r="AB686"/>
      <c r="AC686"/>
      <c r="AD686"/>
    </row>
    <row r="687" spans="1:30" s="82" customFormat="1" x14ac:dyDescent="0.25">
      <c r="A687"/>
      <c r="B687"/>
      <c r="C687"/>
      <c r="D687"/>
      <c r="E687"/>
      <c r="F687"/>
      <c r="G687"/>
      <c r="H687"/>
      <c r="I687"/>
      <c r="J687"/>
      <c r="K687"/>
      <c r="L687"/>
      <c r="M687"/>
      <c r="N687"/>
      <c r="O687"/>
      <c r="P687"/>
      <c r="Q687"/>
      <c r="R687"/>
      <c r="S687"/>
      <c r="T687"/>
      <c r="U687"/>
      <c r="V687"/>
      <c r="W687"/>
      <c r="X687"/>
      <c r="Y687"/>
      <c r="Z687"/>
      <c r="AA687"/>
      <c r="AB687"/>
      <c r="AC687"/>
      <c r="AD687"/>
    </row>
    <row r="688" spans="1:30" s="82" customFormat="1" x14ac:dyDescent="0.25">
      <c r="A688"/>
      <c r="B688"/>
      <c r="C688"/>
      <c r="D688"/>
      <c r="E688"/>
      <c r="F688"/>
      <c r="G688"/>
      <c r="H688"/>
      <c r="I688"/>
      <c r="J688"/>
      <c r="K688"/>
      <c r="L688"/>
      <c r="M688"/>
      <c r="N688"/>
      <c r="O688"/>
      <c r="P688"/>
      <c r="Q688"/>
      <c r="R688"/>
      <c r="S688"/>
      <c r="T688"/>
      <c r="U688"/>
      <c r="V688"/>
      <c r="W688"/>
      <c r="X688"/>
      <c r="Y688"/>
      <c r="Z688"/>
      <c r="AA688"/>
      <c r="AB688"/>
      <c r="AC688"/>
      <c r="AD688"/>
    </row>
    <row r="689" spans="1:30" s="82" customFormat="1" x14ac:dyDescent="0.25">
      <c r="A689"/>
      <c r="B689"/>
      <c r="C689"/>
      <c r="D689"/>
      <c r="E689"/>
      <c r="F689"/>
      <c r="G689"/>
      <c r="H689"/>
      <c r="I689"/>
      <c r="J689"/>
      <c r="K689"/>
      <c r="L689"/>
      <c r="M689"/>
      <c r="N689"/>
      <c r="O689"/>
      <c r="P689"/>
      <c r="Q689"/>
      <c r="R689"/>
      <c r="S689"/>
      <c r="T689"/>
      <c r="U689"/>
      <c r="V689"/>
      <c r="W689"/>
      <c r="X689"/>
      <c r="Y689"/>
      <c r="Z689"/>
      <c r="AA689"/>
      <c r="AB689"/>
      <c r="AC689"/>
      <c r="AD689"/>
    </row>
    <row r="690" spans="1:30" s="82" customFormat="1" x14ac:dyDescent="0.25">
      <c r="A690"/>
      <c r="B690"/>
      <c r="C690"/>
      <c r="D690"/>
      <c r="E690"/>
      <c r="F690"/>
      <c r="G690"/>
      <c r="H690"/>
      <c r="I690"/>
      <c r="J690"/>
      <c r="K690"/>
      <c r="L690"/>
      <c r="M690"/>
      <c r="N690"/>
      <c r="O690"/>
      <c r="P690"/>
      <c r="Q690"/>
      <c r="R690"/>
      <c r="S690"/>
      <c r="T690"/>
      <c r="U690"/>
      <c r="V690"/>
      <c r="W690"/>
      <c r="X690"/>
      <c r="Y690"/>
      <c r="Z690"/>
      <c r="AA690"/>
      <c r="AB690"/>
      <c r="AC690"/>
      <c r="AD690"/>
    </row>
    <row r="691" spans="1:30" s="82" customFormat="1" x14ac:dyDescent="0.25">
      <c r="A691"/>
      <c r="B691"/>
      <c r="C691"/>
      <c r="D691"/>
      <c r="E691"/>
      <c r="F691"/>
      <c r="G691"/>
      <c r="H691"/>
      <c r="I691"/>
      <c r="J691"/>
      <c r="K691"/>
      <c r="L691"/>
      <c r="M691"/>
      <c r="N691"/>
      <c r="O691"/>
      <c r="P691"/>
      <c r="Q691"/>
      <c r="R691"/>
      <c r="S691"/>
      <c r="T691"/>
      <c r="U691"/>
      <c r="V691"/>
      <c r="W691"/>
      <c r="X691"/>
      <c r="Y691"/>
      <c r="Z691"/>
      <c r="AA691"/>
      <c r="AB691"/>
      <c r="AC691"/>
      <c r="AD691"/>
    </row>
    <row r="692" spans="1:30" s="82" customFormat="1" x14ac:dyDescent="0.25">
      <c r="A692"/>
      <c r="B692"/>
      <c r="C692"/>
      <c r="D692"/>
      <c r="E692"/>
      <c r="F692"/>
      <c r="G692"/>
      <c r="H692"/>
      <c r="I692"/>
      <c r="J692"/>
      <c r="K692"/>
      <c r="L692"/>
      <c r="M692"/>
      <c r="N692"/>
      <c r="O692"/>
      <c r="P692"/>
      <c r="Q692"/>
      <c r="R692"/>
      <c r="S692"/>
      <c r="T692"/>
      <c r="U692"/>
      <c r="V692"/>
      <c r="W692"/>
      <c r="X692"/>
      <c r="Y692"/>
      <c r="Z692"/>
      <c r="AA692"/>
      <c r="AB692"/>
      <c r="AC692"/>
      <c r="AD692"/>
    </row>
    <row r="693" spans="1:30" s="82" customFormat="1" x14ac:dyDescent="0.25">
      <c r="A693"/>
      <c r="B693"/>
      <c r="C693"/>
      <c r="D693"/>
      <c r="E693"/>
      <c r="F693"/>
      <c r="G693"/>
      <c r="H693"/>
      <c r="I693"/>
      <c r="J693"/>
      <c r="K693"/>
      <c r="L693"/>
      <c r="M693"/>
      <c r="N693"/>
      <c r="O693"/>
      <c r="P693"/>
      <c r="Q693"/>
      <c r="R693"/>
      <c r="S693"/>
      <c r="T693"/>
      <c r="U693"/>
      <c r="V693"/>
      <c r="W693"/>
      <c r="X693"/>
      <c r="Y693"/>
      <c r="Z693"/>
      <c r="AA693"/>
      <c r="AB693"/>
      <c r="AC693"/>
      <c r="AD693"/>
    </row>
    <row r="694" spans="1:30" s="82" customFormat="1" x14ac:dyDescent="0.25">
      <c r="A694"/>
      <c r="B694"/>
      <c r="C694"/>
      <c r="D694"/>
      <c r="E694"/>
      <c r="F694"/>
      <c r="G694"/>
      <c r="H694"/>
      <c r="I694"/>
      <c r="J694"/>
      <c r="K694"/>
      <c r="L694"/>
      <c r="M694"/>
      <c r="N694"/>
      <c r="O694"/>
      <c r="P694"/>
      <c r="Q694"/>
      <c r="R694"/>
      <c r="S694"/>
      <c r="T694"/>
      <c r="U694"/>
      <c r="V694"/>
      <c r="W694"/>
      <c r="X694"/>
      <c r="Y694"/>
      <c r="Z694"/>
      <c r="AA694"/>
      <c r="AB694"/>
      <c r="AC694"/>
      <c r="AD694"/>
    </row>
    <row r="695" spans="1:30" s="82" customFormat="1" x14ac:dyDescent="0.25">
      <c r="A695"/>
      <c r="B695"/>
      <c r="C695"/>
      <c r="D695"/>
      <c r="E695"/>
      <c r="F695"/>
      <c r="G695"/>
      <c r="H695"/>
      <c r="I695"/>
      <c r="J695"/>
      <c r="K695"/>
      <c r="L695"/>
      <c r="M695"/>
      <c r="N695"/>
      <c r="O695"/>
      <c r="P695"/>
      <c r="Q695"/>
      <c r="R695"/>
      <c r="S695"/>
      <c r="T695"/>
      <c r="U695"/>
      <c r="V695"/>
      <c r="W695"/>
      <c r="X695"/>
      <c r="Y695"/>
      <c r="Z695"/>
      <c r="AA695"/>
      <c r="AB695"/>
      <c r="AC695"/>
      <c r="AD695"/>
    </row>
    <row r="696" spans="1:30" s="82" customFormat="1" x14ac:dyDescent="0.25">
      <c r="A696"/>
      <c r="B696"/>
      <c r="C696"/>
      <c r="D696"/>
      <c r="E696"/>
      <c r="F696"/>
      <c r="G696"/>
      <c r="H696"/>
      <c r="I696"/>
      <c r="J696"/>
      <c r="K696"/>
      <c r="L696"/>
      <c r="M696"/>
      <c r="N696"/>
      <c r="O696"/>
      <c r="P696"/>
      <c r="Q696"/>
      <c r="R696"/>
      <c r="S696"/>
      <c r="T696"/>
      <c r="U696"/>
      <c r="V696"/>
      <c r="W696"/>
      <c r="X696"/>
      <c r="Y696"/>
      <c r="Z696"/>
      <c r="AA696"/>
      <c r="AB696"/>
      <c r="AC696"/>
      <c r="AD696"/>
    </row>
    <row r="697" spans="1:30" s="82" customFormat="1" x14ac:dyDescent="0.25">
      <c r="A697"/>
      <c r="B697"/>
      <c r="C697"/>
      <c r="D697"/>
      <c r="E697"/>
      <c r="F697"/>
      <c r="G697"/>
      <c r="H697"/>
      <c r="I697"/>
      <c r="J697"/>
      <c r="K697"/>
      <c r="L697"/>
      <c r="M697"/>
      <c r="N697"/>
      <c r="O697"/>
      <c r="P697"/>
      <c r="Q697"/>
      <c r="R697"/>
      <c r="S697"/>
      <c r="T697"/>
      <c r="U697"/>
      <c r="V697"/>
      <c r="W697"/>
      <c r="X697"/>
      <c r="Y697"/>
      <c r="Z697"/>
      <c r="AA697"/>
      <c r="AB697"/>
      <c r="AC697"/>
      <c r="AD697"/>
    </row>
    <row r="698" spans="1:30" s="82" customFormat="1" x14ac:dyDescent="0.25">
      <c r="A698"/>
      <c r="B698"/>
      <c r="C698"/>
      <c r="D698"/>
      <c r="E698"/>
      <c r="F698"/>
      <c r="G698"/>
      <c r="H698"/>
      <c r="I698"/>
      <c r="J698"/>
      <c r="K698"/>
      <c r="L698"/>
      <c r="M698"/>
      <c r="N698"/>
      <c r="O698"/>
      <c r="P698"/>
      <c r="Q698"/>
      <c r="R698"/>
      <c r="S698"/>
      <c r="T698"/>
      <c r="U698"/>
      <c r="V698"/>
      <c r="W698"/>
      <c r="X698"/>
      <c r="Y698"/>
      <c r="Z698"/>
      <c r="AA698"/>
      <c r="AB698"/>
      <c r="AC698"/>
      <c r="AD698"/>
    </row>
    <row r="699" spans="1:30" s="82" customFormat="1" x14ac:dyDescent="0.25">
      <c r="A699"/>
      <c r="B699"/>
      <c r="C699"/>
      <c r="D699"/>
      <c r="E699"/>
      <c r="F699"/>
      <c r="G699"/>
      <c r="H699"/>
      <c r="I699"/>
      <c r="J699"/>
      <c r="K699"/>
      <c r="L699"/>
      <c r="M699"/>
      <c r="N699"/>
      <c r="O699"/>
      <c r="P699"/>
      <c r="Q699"/>
      <c r="R699"/>
      <c r="S699"/>
      <c r="T699"/>
      <c r="U699"/>
      <c r="V699"/>
      <c r="W699"/>
      <c r="X699"/>
      <c r="Y699"/>
      <c r="Z699"/>
      <c r="AA699"/>
      <c r="AB699"/>
      <c r="AC699"/>
      <c r="AD699"/>
    </row>
    <row r="700" spans="1:30" s="82" customFormat="1" x14ac:dyDescent="0.25">
      <c r="A700"/>
      <c r="B700"/>
      <c r="C700"/>
      <c r="D700"/>
      <c r="E700"/>
      <c r="F700"/>
      <c r="G700"/>
      <c r="H700"/>
      <c r="I700"/>
      <c r="J700"/>
      <c r="K700"/>
      <c r="L700"/>
      <c r="M700"/>
      <c r="N700"/>
      <c r="O700"/>
      <c r="P700"/>
      <c r="Q700"/>
      <c r="R700"/>
      <c r="S700"/>
      <c r="T700"/>
      <c r="U700"/>
      <c r="V700"/>
      <c r="W700"/>
      <c r="X700"/>
      <c r="Y700"/>
      <c r="Z700"/>
      <c r="AA700"/>
      <c r="AB700"/>
      <c r="AC700"/>
      <c r="AD700"/>
    </row>
    <row r="701" spans="1:30" s="82" customFormat="1" x14ac:dyDescent="0.25">
      <c r="A701"/>
      <c r="B701"/>
      <c r="C701"/>
      <c r="D701"/>
      <c r="E701"/>
      <c r="F701"/>
      <c r="G701"/>
      <c r="H701"/>
      <c r="I701"/>
      <c r="J701"/>
      <c r="K701"/>
      <c r="L701"/>
      <c r="M701"/>
      <c r="N701"/>
      <c r="O701"/>
      <c r="P701"/>
      <c r="Q701"/>
      <c r="R701"/>
      <c r="S701"/>
      <c r="T701"/>
      <c r="U701"/>
      <c r="V701"/>
      <c r="W701"/>
      <c r="X701"/>
      <c r="Y701"/>
      <c r="Z701"/>
      <c r="AA701"/>
      <c r="AB701"/>
      <c r="AC701"/>
      <c r="AD701"/>
    </row>
    <row r="702" spans="1:30" s="82" customFormat="1" x14ac:dyDescent="0.25">
      <c r="A702"/>
      <c r="B702"/>
      <c r="C702"/>
      <c r="D702"/>
      <c r="E702"/>
      <c r="F702"/>
      <c r="G702"/>
      <c r="H702"/>
      <c r="I702"/>
      <c r="J702"/>
      <c r="K702"/>
      <c r="L702"/>
      <c r="M702"/>
      <c r="N702"/>
      <c r="O702"/>
      <c r="P702"/>
      <c r="Q702"/>
      <c r="R702"/>
      <c r="S702"/>
      <c r="T702"/>
      <c r="U702"/>
      <c r="V702"/>
      <c r="W702"/>
      <c r="X702"/>
      <c r="Y702"/>
      <c r="Z702"/>
      <c r="AA702"/>
      <c r="AB702"/>
      <c r="AC702"/>
      <c r="AD702"/>
    </row>
    <row r="703" spans="1:30" s="82" customFormat="1" x14ac:dyDescent="0.25">
      <c r="A703"/>
      <c r="B703"/>
      <c r="C703"/>
      <c r="D703"/>
      <c r="E703"/>
      <c r="F703"/>
      <c r="G703"/>
      <c r="H703"/>
      <c r="I703"/>
      <c r="J703"/>
      <c r="K703"/>
      <c r="L703"/>
      <c r="M703"/>
      <c r="N703"/>
      <c r="O703"/>
      <c r="P703"/>
      <c r="Q703"/>
      <c r="R703"/>
      <c r="S703"/>
      <c r="T703"/>
      <c r="U703"/>
      <c r="V703"/>
      <c r="W703"/>
      <c r="X703"/>
      <c r="Y703"/>
      <c r="Z703"/>
      <c r="AA703"/>
      <c r="AB703"/>
      <c r="AC703"/>
      <c r="AD703"/>
    </row>
    <row r="704" spans="1:30" s="82" customFormat="1" x14ac:dyDescent="0.25">
      <c r="A704"/>
      <c r="B704"/>
      <c r="C704"/>
      <c r="D704"/>
      <c r="E704"/>
      <c r="F704"/>
      <c r="G704"/>
      <c r="H704"/>
      <c r="I704"/>
      <c r="J704"/>
      <c r="K704"/>
      <c r="L704"/>
      <c r="M704"/>
      <c r="N704"/>
      <c r="O704"/>
      <c r="P704"/>
      <c r="Q704"/>
      <c r="R704"/>
      <c r="S704"/>
      <c r="T704"/>
      <c r="U704"/>
      <c r="V704"/>
      <c r="W704"/>
      <c r="X704"/>
      <c r="Y704"/>
      <c r="Z704"/>
      <c r="AA704"/>
      <c r="AB704"/>
      <c r="AC704"/>
      <c r="AD704"/>
    </row>
    <row r="705" spans="1:30" s="82" customFormat="1" x14ac:dyDescent="0.25">
      <c r="A705"/>
      <c r="B705"/>
      <c r="C705"/>
      <c r="D705"/>
      <c r="E705"/>
      <c r="F705"/>
      <c r="G705"/>
      <c r="H705"/>
      <c r="I705"/>
      <c r="J705"/>
      <c r="K705"/>
      <c r="L705"/>
      <c r="M705"/>
      <c r="N705"/>
      <c r="O705"/>
      <c r="P705"/>
      <c r="Q705"/>
      <c r="R705"/>
      <c r="S705"/>
      <c r="T705"/>
      <c r="U705"/>
      <c r="V705"/>
      <c r="W705"/>
      <c r="X705"/>
      <c r="Y705"/>
      <c r="Z705"/>
      <c r="AA705"/>
      <c r="AB705"/>
      <c r="AC705"/>
      <c r="AD705"/>
    </row>
    <row r="706" spans="1:30" s="82" customFormat="1" x14ac:dyDescent="0.25">
      <c r="A706"/>
      <c r="B706"/>
      <c r="C706"/>
      <c r="D706"/>
      <c r="E706"/>
      <c r="F706"/>
      <c r="G706"/>
      <c r="H706"/>
      <c r="I706"/>
      <c r="J706"/>
      <c r="K706"/>
      <c r="L706"/>
      <c r="M706"/>
      <c r="N706"/>
      <c r="O706"/>
      <c r="P706"/>
      <c r="Q706"/>
      <c r="R706"/>
      <c r="S706"/>
      <c r="T706"/>
      <c r="U706"/>
      <c r="V706"/>
      <c r="W706"/>
      <c r="X706"/>
      <c r="Y706"/>
      <c r="Z706"/>
      <c r="AA706"/>
      <c r="AB706"/>
      <c r="AC706"/>
      <c r="AD706"/>
    </row>
    <row r="707" spans="1:30" s="82" customFormat="1" x14ac:dyDescent="0.25">
      <c r="A707"/>
      <c r="B707"/>
      <c r="C707"/>
      <c r="D707"/>
      <c r="E707"/>
      <c r="F707"/>
      <c r="G707"/>
      <c r="H707"/>
      <c r="I707"/>
      <c r="J707"/>
      <c r="K707"/>
      <c r="L707"/>
      <c r="M707"/>
      <c r="N707"/>
      <c r="O707"/>
      <c r="P707"/>
      <c r="Q707"/>
      <c r="R707"/>
      <c r="S707"/>
      <c r="T707"/>
      <c r="U707"/>
      <c r="V707"/>
      <c r="W707"/>
      <c r="X707"/>
      <c r="Y707"/>
      <c r="Z707"/>
      <c r="AA707"/>
      <c r="AB707"/>
      <c r="AC707"/>
      <c r="AD707"/>
    </row>
    <row r="708" spans="1:30" s="82" customFormat="1" x14ac:dyDescent="0.25">
      <c r="A708"/>
      <c r="B708"/>
      <c r="C708"/>
      <c r="D708"/>
      <c r="E708"/>
      <c r="F708"/>
      <c r="G708"/>
      <c r="H708"/>
      <c r="I708"/>
      <c r="J708"/>
      <c r="K708"/>
      <c r="L708"/>
      <c r="M708"/>
      <c r="N708"/>
      <c r="O708"/>
      <c r="P708"/>
      <c r="Q708"/>
      <c r="R708"/>
      <c r="S708"/>
      <c r="T708"/>
      <c r="U708"/>
      <c r="V708"/>
      <c r="W708"/>
      <c r="X708"/>
      <c r="Y708"/>
      <c r="Z708"/>
      <c r="AA708"/>
      <c r="AB708"/>
      <c r="AC708"/>
      <c r="AD708"/>
    </row>
    <row r="709" spans="1:30" s="82" customFormat="1" x14ac:dyDescent="0.25">
      <c r="A709"/>
      <c r="B709"/>
      <c r="C709"/>
      <c r="D709"/>
      <c r="E709"/>
      <c r="F709"/>
      <c r="G709"/>
      <c r="H709"/>
      <c r="I709"/>
      <c r="J709"/>
      <c r="K709"/>
      <c r="L709"/>
      <c r="M709"/>
      <c r="N709"/>
      <c r="O709"/>
      <c r="P709"/>
      <c r="Q709"/>
      <c r="R709"/>
      <c r="S709"/>
      <c r="T709"/>
      <c r="U709"/>
      <c r="V709"/>
      <c r="W709"/>
      <c r="X709"/>
      <c r="Y709"/>
      <c r="Z709"/>
      <c r="AA709"/>
      <c r="AB709"/>
      <c r="AC709"/>
      <c r="AD709"/>
    </row>
    <row r="710" spans="1:30" s="82" customFormat="1" x14ac:dyDescent="0.25">
      <c r="A710"/>
      <c r="B710"/>
      <c r="C710"/>
      <c r="D710"/>
      <c r="E710"/>
      <c r="F710"/>
      <c r="G710"/>
      <c r="H710"/>
      <c r="I710"/>
      <c r="J710"/>
      <c r="K710"/>
      <c r="L710"/>
      <c r="M710"/>
      <c r="N710"/>
      <c r="O710"/>
      <c r="P710"/>
      <c r="Q710"/>
      <c r="R710"/>
      <c r="S710"/>
      <c r="T710"/>
      <c r="U710"/>
      <c r="V710"/>
      <c r="W710"/>
      <c r="X710"/>
      <c r="Y710"/>
      <c r="Z710"/>
      <c r="AA710"/>
      <c r="AB710"/>
      <c r="AC710"/>
      <c r="AD710"/>
    </row>
    <row r="711" spans="1:30" s="82" customFormat="1" x14ac:dyDescent="0.25">
      <c r="A711"/>
      <c r="B711"/>
      <c r="C711"/>
      <c r="D711"/>
      <c r="E711"/>
      <c r="F711"/>
      <c r="G711"/>
      <c r="H711"/>
      <c r="I711"/>
      <c r="J711"/>
      <c r="K711"/>
      <c r="L711"/>
      <c r="M711"/>
      <c r="N711"/>
      <c r="O711"/>
      <c r="P711"/>
      <c r="Q711"/>
      <c r="R711"/>
      <c r="S711"/>
      <c r="T711"/>
      <c r="U711"/>
      <c r="V711"/>
      <c r="W711"/>
      <c r="X711"/>
      <c r="Y711"/>
      <c r="Z711"/>
      <c r="AA711"/>
      <c r="AB711"/>
      <c r="AC711"/>
      <c r="AD711"/>
    </row>
    <row r="712" spans="1:30" s="82" customFormat="1" x14ac:dyDescent="0.25">
      <c r="A712"/>
      <c r="B712"/>
      <c r="C712"/>
      <c r="D712"/>
      <c r="E712"/>
      <c r="F712"/>
      <c r="G712"/>
      <c r="H712"/>
      <c r="I712"/>
      <c r="J712"/>
      <c r="K712"/>
      <c r="L712"/>
      <c r="M712"/>
      <c r="N712"/>
      <c r="O712"/>
      <c r="P712"/>
      <c r="Q712"/>
      <c r="R712"/>
      <c r="S712"/>
      <c r="T712"/>
      <c r="U712"/>
      <c r="V712"/>
      <c r="W712"/>
      <c r="X712"/>
      <c r="Y712"/>
      <c r="Z712"/>
      <c r="AA712"/>
      <c r="AB712"/>
      <c r="AC712"/>
      <c r="AD712"/>
    </row>
    <row r="713" spans="1:30" s="82" customFormat="1" x14ac:dyDescent="0.25">
      <c r="A713"/>
      <c r="B713"/>
      <c r="C713"/>
      <c r="D713"/>
      <c r="E713"/>
      <c r="F713"/>
      <c r="G713"/>
      <c r="H713"/>
      <c r="I713"/>
      <c r="J713"/>
      <c r="K713"/>
      <c r="L713"/>
      <c r="M713"/>
      <c r="N713"/>
      <c r="O713"/>
      <c r="P713"/>
      <c r="Q713"/>
      <c r="R713"/>
      <c r="S713"/>
      <c r="T713"/>
      <c r="U713"/>
      <c r="V713"/>
      <c r="W713"/>
      <c r="X713"/>
      <c r="Y713"/>
      <c r="Z713"/>
      <c r="AA713"/>
      <c r="AB713"/>
      <c r="AC713"/>
      <c r="AD713"/>
    </row>
    <row r="714" spans="1:30" s="82" customFormat="1" x14ac:dyDescent="0.25">
      <c r="A714"/>
      <c r="B714"/>
      <c r="C714"/>
      <c r="D714"/>
      <c r="E714"/>
      <c r="F714"/>
      <c r="G714"/>
      <c r="H714"/>
      <c r="I714"/>
      <c r="J714"/>
      <c r="K714"/>
      <c r="L714"/>
      <c r="M714"/>
      <c r="N714"/>
      <c r="O714"/>
      <c r="P714"/>
      <c r="Q714"/>
      <c r="R714"/>
      <c r="S714"/>
      <c r="T714"/>
      <c r="U714"/>
      <c r="V714"/>
      <c r="W714"/>
      <c r="X714"/>
      <c r="Y714"/>
      <c r="Z714"/>
      <c r="AA714"/>
      <c r="AB714"/>
      <c r="AC714"/>
      <c r="AD714"/>
    </row>
    <row r="715" spans="1:30" s="82" customFormat="1" x14ac:dyDescent="0.25">
      <c r="A715"/>
      <c r="B715"/>
      <c r="C715"/>
      <c r="D715"/>
      <c r="E715"/>
      <c r="F715"/>
      <c r="G715"/>
      <c r="H715"/>
      <c r="I715"/>
      <c r="J715"/>
      <c r="K715"/>
      <c r="L715"/>
      <c r="M715"/>
      <c r="N715"/>
      <c r="O715"/>
      <c r="P715"/>
      <c r="Q715"/>
      <c r="R715"/>
      <c r="S715"/>
      <c r="T715"/>
      <c r="U715"/>
      <c r="V715"/>
      <c r="W715"/>
      <c r="X715"/>
      <c r="Y715"/>
      <c r="Z715"/>
      <c r="AA715"/>
      <c r="AB715"/>
      <c r="AC715"/>
      <c r="AD715"/>
    </row>
    <row r="716" spans="1:30" s="82" customFormat="1" x14ac:dyDescent="0.25">
      <c r="A716"/>
      <c r="B716"/>
      <c r="C716"/>
      <c r="D716"/>
      <c r="E716"/>
      <c r="F716"/>
      <c r="G716"/>
      <c r="H716"/>
      <c r="I716"/>
      <c r="J716"/>
      <c r="K716"/>
      <c r="L716"/>
      <c r="M716"/>
      <c r="N716"/>
      <c r="O716"/>
      <c r="P716"/>
      <c r="Q716"/>
      <c r="R716"/>
      <c r="S716"/>
      <c r="T716"/>
      <c r="U716"/>
      <c r="V716"/>
      <c r="W716"/>
      <c r="X716"/>
      <c r="Y716"/>
      <c r="Z716"/>
      <c r="AA716"/>
      <c r="AB716"/>
      <c r="AC716"/>
      <c r="AD716"/>
    </row>
    <row r="717" spans="1:30" s="82" customFormat="1" x14ac:dyDescent="0.25">
      <c r="A717"/>
      <c r="B717"/>
      <c r="C717"/>
      <c r="D717"/>
      <c r="E717"/>
      <c r="F717"/>
      <c r="G717"/>
      <c r="H717"/>
      <c r="I717"/>
      <c r="J717"/>
      <c r="K717"/>
      <c r="L717"/>
      <c r="M717"/>
      <c r="N717"/>
      <c r="O717"/>
      <c r="P717"/>
      <c r="Q717"/>
      <c r="R717"/>
      <c r="S717"/>
      <c r="T717"/>
      <c r="U717"/>
      <c r="V717"/>
      <c r="W717"/>
      <c r="X717"/>
      <c r="Y717"/>
      <c r="Z717"/>
      <c r="AA717"/>
      <c r="AB717"/>
      <c r="AC717"/>
      <c r="AD717"/>
    </row>
    <row r="718" spans="1:30" s="82" customFormat="1" x14ac:dyDescent="0.25">
      <c r="A718"/>
      <c r="B718"/>
      <c r="C718"/>
      <c r="D718"/>
      <c r="E718"/>
      <c r="F718"/>
      <c r="G718"/>
      <c r="H718"/>
      <c r="I718"/>
      <c r="J718"/>
      <c r="K718"/>
      <c r="L718"/>
      <c r="M718"/>
      <c r="N718"/>
      <c r="O718"/>
      <c r="P718"/>
      <c r="Q718"/>
      <c r="R718"/>
      <c r="S718"/>
      <c r="T718"/>
      <c r="U718"/>
      <c r="V718"/>
      <c r="W718"/>
      <c r="X718"/>
      <c r="Y718"/>
      <c r="Z718"/>
      <c r="AA718"/>
      <c r="AB718"/>
      <c r="AC718"/>
      <c r="AD718"/>
    </row>
    <row r="719" spans="1:30" s="82" customFormat="1" x14ac:dyDescent="0.25">
      <c r="A719"/>
      <c r="B719"/>
      <c r="C719"/>
      <c r="D719"/>
      <c r="E719"/>
      <c r="F719"/>
      <c r="G719"/>
      <c r="H719"/>
      <c r="I719"/>
      <c r="J719"/>
      <c r="K719"/>
      <c r="L719"/>
      <c r="M719"/>
      <c r="N719"/>
      <c r="O719"/>
      <c r="P719"/>
      <c r="Q719"/>
      <c r="R719"/>
      <c r="S719"/>
      <c r="T719"/>
      <c r="U719"/>
      <c r="V719"/>
      <c r="W719"/>
      <c r="X719"/>
      <c r="Y719"/>
      <c r="Z719"/>
      <c r="AA719"/>
      <c r="AB719"/>
      <c r="AC719"/>
      <c r="AD719"/>
    </row>
  </sheetData>
  <sheetProtection algorithmName="SHA-512" hashValue="PpiGQGVZ4b8VgWPVSduAvd6PC5RZNTjOBLdAbCQ6vw7xcXdKItnzD+BLf3lwHy7rkBHq5/PJd1ZTSbmf5dXyRA==" saltValue="dxny00aTIe8xr75bznXSyg==" spinCount="100000" sheet="1" selectLockedCells="1"/>
  <mergeCells count="5">
    <mergeCell ref="B2:L2"/>
    <mergeCell ref="B3:C3"/>
    <mergeCell ref="D3:L4"/>
    <mergeCell ref="C17:R17"/>
    <mergeCell ref="C28:C29"/>
  </mergeCells>
  <conditionalFormatting sqref="C8:D15">
    <cfRule type="expression" dxfId="4" priority="2">
      <formula>AND(COUNTA($C8:$D8,$G8:$K8)&gt;0,C8="")</formula>
    </cfRule>
  </conditionalFormatting>
  <conditionalFormatting sqref="E8:F15 L8:O15">
    <cfRule type="cellIs" dxfId="3" priority="1" operator="equal">
      <formula>0</formula>
    </cfRule>
  </conditionalFormatting>
  <conditionalFormatting sqref="P8:P15">
    <cfRule type="cellIs" dxfId="2" priority="3" operator="equal">
      <formula>0</formula>
    </cfRule>
  </conditionalFormatting>
  <dataValidations count="4">
    <dataValidation type="list" allowBlank="1" showInputMessage="1" showErrorMessage="1" sqref="D8:D15" xr:uid="{34A97C33-3579-448F-AADE-5009C260DC64}">
      <formula1>$D$28:$E$28</formula1>
    </dataValidation>
    <dataValidation type="list" allowBlank="1" showInputMessage="1" showErrorMessage="1" sqref="J16" xr:uid="{C0D71811-29A6-4D03-ADC0-DD259AD40DF6}">
      <formula1>#REF!</formula1>
    </dataValidation>
    <dataValidation type="list" allowBlank="1" showInputMessage="1" showErrorMessage="1" sqref="I16" xr:uid="{3C5558B6-9DAB-4AE3-8019-21026CED505F}">
      <formula1>$C$32:$C$32</formula1>
    </dataValidation>
    <dataValidation type="list" allowBlank="1" showInputMessage="1" showErrorMessage="1" sqref="C8:C15" xr:uid="{1A164B3D-2641-4FAA-8EDB-9347E08EDBC5}">
      <formula1>"Reach-in Door Gaskets, Walk-in Door Gaskets"</formula1>
    </dataValidation>
  </dataValidations>
  <hyperlinks>
    <hyperlink ref="B3" location="'Calculator Index'!A1" display="Return to Index" xr:uid="{AC32C1ED-4733-489F-ABD8-7A29DC6C0B6F}"/>
    <hyperlink ref="B3:C3" location="'Project Summary'!A1" display="Return to Project Summary" xr:uid="{1A8A0EA7-E0B4-45B8-8711-60CFF8BF1347}"/>
    <hyperlink ref="M1" r:id="rId1" xr:uid="{DD4DFD39-7AA6-4AA2-BDFB-29EF9429DC65}"/>
  </hyperlinks>
  <pageMargins left="0.7" right="0.7" top="0.75" bottom="0.75" header="0.3" footer="0.3"/>
  <pageSetup orientation="portrait"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C75FA-EB83-4D37-8261-36AE5A00ABE5}">
  <dimension ref="A1:FV1064"/>
  <sheetViews>
    <sheetView topLeftCell="B1" zoomScale="90" zoomScaleNormal="90" workbookViewId="0">
      <selection activeCell="B3" sqref="B3:C3"/>
    </sheetView>
  </sheetViews>
  <sheetFormatPr defaultRowHeight="15" x14ac:dyDescent="0.25"/>
  <cols>
    <col min="1" max="1" width="3.7109375" customWidth="1"/>
    <col min="2" max="2" width="7.140625" customWidth="1"/>
    <col min="3" max="3" width="29" customWidth="1"/>
    <col min="4" max="5" width="19" customWidth="1"/>
    <col min="6" max="6" width="19.85546875" customWidth="1"/>
    <col min="7" max="7" width="18.5703125" customWidth="1"/>
    <col min="8" max="8" width="15.85546875" customWidth="1"/>
    <col min="9" max="9" width="14.5703125" bestFit="1" customWidth="1"/>
    <col min="10" max="11" width="14.5703125" customWidth="1"/>
    <col min="12" max="12" width="17" bestFit="1" customWidth="1"/>
    <col min="13" max="13" width="17.28515625" customWidth="1"/>
    <col min="14" max="14" width="17.7109375" bestFit="1" customWidth="1"/>
    <col min="15" max="15" width="18" hidden="1" customWidth="1"/>
    <col min="16" max="16" width="13.7109375" hidden="1" customWidth="1"/>
    <col min="17" max="17" width="31.85546875" hidden="1" customWidth="1"/>
    <col min="18" max="18" width="7.28515625" customWidth="1"/>
    <col min="19" max="178" width="9.140625" style="82"/>
  </cols>
  <sheetData>
    <row r="1" spans="1:18" ht="19.5" customHeight="1" x14ac:dyDescent="0.25">
      <c r="A1" s="38"/>
      <c r="B1" s="38"/>
      <c r="C1" s="38"/>
      <c r="D1" s="38"/>
      <c r="E1" s="38"/>
      <c r="F1" s="38"/>
      <c r="G1" s="38"/>
      <c r="H1" s="38"/>
      <c r="I1" s="38"/>
      <c r="J1" s="38"/>
      <c r="K1" s="38"/>
      <c r="L1" s="38"/>
      <c r="M1" s="38"/>
      <c r="N1" s="38"/>
      <c r="O1" s="27" t="s">
        <v>76</v>
      </c>
      <c r="P1" s="27"/>
      <c r="Q1" s="27"/>
      <c r="R1" s="83"/>
    </row>
    <row r="2" spans="1:18" ht="27" customHeight="1" x14ac:dyDescent="0.25">
      <c r="A2" s="38"/>
      <c r="B2" s="530" t="s">
        <v>666</v>
      </c>
      <c r="C2" s="531"/>
      <c r="D2" s="531"/>
      <c r="E2" s="531"/>
      <c r="F2" s="531"/>
      <c r="G2" s="531"/>
      <c r="H2" s="531"/>
      <c r="I2" s="531"/>
      <c r="J2" s="531"/>
      <c r="K2" s="531"/>
      <c r="L2" s="531"/>
      <c r="M2" s="531"/>
      <c r="N2" s="531"/>
      <c r="O2" s="27"/>
      <c r="P2" s="27"/>
      <c r="Q2" s="27"/>
      <c r="R2" s="83"/>
    </row>
    <row r="3" spans="1:18" ht="23.25" customHeight="1" x14ac:dyDescent="0.25">
      <c r="A3" s="38"/>
      <c r="B3" s="505" t="s">
        <v>79</v>
      </c>
      <c r="C3" s="506"/>
      <c r="D3" s="513" t="s">
        <v>782</v>
      </c>
      <c r="E3" s="513"/>
      <c r="F3" s="513"/>
      <c r="G3" s="513"/>
      <c r="H3" s="513"/>
      <c r="I3" s="513"/>
      <c r="J3" s="38"/>
      <c r="K3" s="38"/>
      <c r="L3" s="38"/>
      <c r="M3" s="38"/>
      <c r="N3" s="38"/>
      <c r="O3" s="27"/>
      <c r="P3" s="27"/>
      <c r="Q3" s="27"/>
      <c r="R3" s="83"/>
    </row>
    <row r="4" spans="1:18" ht="27.75" customHeight="1" x14ac:dyDescent="0.25">
      <c r="A4" s="38"/>
      <c r="B4" s="38"/>
      <c r="C4" s="38"/>
      <c r="D4" s="513"/>
      <c r="E4" s="513"/>
      <c r="F4" s="513"/>
      <c r="G4" s="513"/>
      <c r="H4" s="513"/>
      <c r="I4" s="513"/>
      <c r="J4" s="38"/>
      <c r="K4" s="38"/>
      <c r="L4" s="38"/>
      <c r="M4" s="38"/>
      <c r="N4" s="38"/>
      <c r="O4" s="27"/>
      <c r="P4" s="27"/>
      <c r="Q4" s="27"/>
      <c r="R4" s="83"/>
    </row>
    <row r="5" spans="1:18" ht="12.75" customHeight="1" x14ac:dyDescent="0.25">
      <c r="A5" s="38"/>
      <c r="B5" s="38"/>
      <c r="C5" s="38"/>
      <c r="D5" s="38"/>
      <c r="E5" s="38"/>
      <c r="F5" s="38"/>
      <c r="G5" s="38"/>
      <c r="H5" s="38"/>
      <c r="I5" s="38"/>
      <c r="J5" s="38"/>
      <c r="K5" s="38"/>
      <c r="L5" s="38"/>
      <c r="M5" s="38"/>
      <c r="N5" s="38"/>
      <c r="O5" s="27"/>
      <c r="P5" s="27"/>
      <c r="Q5" s="27"/>
      <c r="R5" s="83"/>
    </row>
    <row r="6" spans="1:18" ht="45.75" customHeight="1" x14ac:dyDescent="0.25">
      <c r="A6" s="38"/>
      <c r="B6" s="153" t="s">
        <v>194</v>
      </c>
      <c r="C6" s="153" t="s">
        <v>82</v>
      </c>
      <c r="D6" s="153" t="s">
        <v>83</v>
      </c>
      <c r="E6" s="153" t="s">
        <v>196</v>
      </c>
      <c r="F6" s="153" t="s">
        <v>86</v>
      </c>
      <c r="G6" s="153" t="s">
        <v>87</v>
      </c>
      <c r="H6" s="153" t="s">
        <v>380</v>
      </c>
      <c r="I6" s="153" t="s">
        <v>778</v>
      </c>
      <c r="J6" s="153" t="s">
        <v>789</v>
      </c>
      <c r="K6" s="153" t="s">
        <v>215</v>
      </c>
      <c r="L6" s="153" t="s">
        <v>383</v>
      </c>
      <c r="M6" s="153" t="s">
        <v>96</v>
      </c>
      <c r="N6" s="153" t="s">
        <v>70</v>
      </c>
      <c r="O6" s="154" t="s">
        <v>97</v>
      </c>
      <c r="P6" s="154" t="s">
        <v>217</v>
      </c>
      <c r="Q6" s="251" t="s">
        <v>71</v>
      </c>
      <c r="R6" s="83"/>
    </row>
    <row r="7" spans="1:18" ht="21.75" hidden="1" customHeight="1" x14ac:dyDescent="0.25">
      <c r="A7" s="38"/>
      <c r="B7" s="245" t="s">
        <v>100</v>
      </c>
      <c r="C7" s="245"/>
      <c r="D7" s="245" t="s">
        <v>102</v>
      </c>
      <c r="E7" s="245" t="s">
        <v>103</v>
      </c>
      <c r="F7" s="245" t="s">
        <v>104</v>
      </c>
      <c r="G7" s="245" t="s">
        <v>105</v>
      </c>
      <c r="H7" s="245" t="s">
        <v>384</v>
      </c>
      <c r="I7" s="245" t="s">
        <v>51</v>
      </c>
      <c r="J7" s="245" t="s">
        <v>385</v>
      </c>
      <c r="K7" s="245" t="s">
        <v>108</v>
      </c>
      <c r="L7" s="245" t="s">
        <v>109</v>
      </c>
      <c r="M7" s="245" t="s">
        <v>110</v>
      </c>
      <c r="N7" s="245" t="s">
        <v>111</v>
      </c>
      <c r="O7" s="245" t="s">
        <v>112</v>
      </c>
      <c r="P7" s="245" t="s">
        <v>114</v>
      </c>
      <c r="Q7" s="245" t="s">
        <v>113</v>
      </c>
      <c r="R7" s="83"/>
    </row>
    <row r="8" spans="1:18" x14ac:dyDescent="0.25">
      <c r="A8" s="38"/>
      <c r="B8" s="220">
        <v>1</v>
      </c>
      <c r="C8" s="220" t="s">
        <v>783</v>
      </c>
      <c r="D8" s="11"/>
      <c r="E8" s="11"/>
      <c r="F8" s="84"/>
      <c r="G8" s="84"/>
      <c r="H8" s="11"/>
      <c r="I8" s="11"/>
      <c r="J8" s="181"/>
      <c r="K8" s="405">
        <f>L8</f>
        <v>0</v>
      </c>
      <c r="L8" s="405">
        <f>IFERROR(I8*$E$19*$E$20*IF(H8="Cooler", $E$21, IF(H8="Freezer", $E$22, 0)), 0)</f>
        <v>0</v>
      </c>
      <c r="M8" s="405">
        <f>IFERROR(I8*$E$19*$E$20*IF(H8="Cooler", $E$21, IF(H8="Freezer", $E$22, 0))*$E$23, 0)</f>
        <v>0</v>
      </c>
      <c r="N8" s="39" t="str">
        <f>IF(J8="", "",MIN(E8, J8*$I$19))</f>
        <v/>
      </c>
      <c r="O8" s="56">
        <f t="shared" ref="O8:O15" si="0">E8</f>
        <v>0</v>
      </c>
      <c r="P8" t="str">
        <f t="shared" ref="P8:P15" si="1">IF(M8&gt;0,"Yes","No")</f>
        <v>No</v>
      </c>
      <c r="R8" s="83"/>
    </row>
    <row r="9" spans="1:18" x14ac:dyDescent="0.25">
      <c r="A9" s="38"/>
      <c r="B9" s="220">
        <v>2</v>
      </c>
      <c r="C9" s="220" t="s">
        <v>783</v>
      </c>
      <c r="D9" s="11"/>
      <c r="E9" s="11"/>
      <c r="F9" s="84"/>
      <c r="G9" s="84"/>
      <c r="H9" s="11"/>
      <c r="I9" s="49"/>
      <c r="J9" s="187"/>
      <c r="K9" s="405">
        <f>L9</f>
        <v>0</v>
      </c>
      <c r="L9" s="405">
        <f t="shared" ref="L9:L15" si="2">IFERROR(I9*$E$19*$E$20*IF(H9="Cooler", $E$21, IF(H9="Freezer", $E$22, 0)), 0)</f>
        <v>0</v>
      </c>
      <c r="M9" s="405">
        <f t="shared" ref="M9:M15" si="3">IFERROR(I9*$E$19*$E$20*IF(H9="Cooler", $E$21, IF(H9="Freezer", $E$22, 0))*$E$23, 0)</f>
        <v>0</v>
      </c>
      <c r="N9" s="39" t="str">
        <f t="shared" ref="N9:N15" si="4">IF(J9="", "",MIN(E9, J9*$I$19))</f>
        <v/>
      </c>
      <c r="O9" s="56">
        <f t="shared" si="0"/>
        <v>0</v>
      </c>
      <c r="P9" t="str">
        <f t="shared" si="1"/>
        <v>No</v>
      </c>
      <c r="R9" s="83"/>
    </row>
    <row r="10" spans="1:18" x14ac:dyDescent="0.25">
      <c r="A10" s="38"/>
      <c r="B10" s="220">
        <v>3</v>
      </c>
      <c r="C10" s="220" t="s">
        <v>783</v>
      </c>
      <c r="D10" s="11"/>
      <c r="E10" s="11"/>
      <c r="F10" s="84"/>
      <c r="G10" s="84"/>
      <c r="H10" s="11"/>
      <c r="I10" s="11"/>
      <c r="J10" s="187"/>
      <c r="K10" s="405">
        <f t="shared" ref="K10:K15" si="5">L10</f>
        <v>0</v>
      </c>
      <c r="L10" s="405">
        <f t="shared" si="2"/>
        <v>0</v>
      </c>
      <c r="M10" s="405">
        <f t="shared" si="3"/>
        <v>0</v>
      </c>
      <c r="N10" s="39" t="str">
        <f t="shared" si="4"/>
        <v/>
      </c>
      <c r="O10" s="56">
        <f t="shared" si="0"/>
        <v>0</v>
      </c>
      <c r="P10" t="str">
        <f t="shared" si="1"/>
        <v>No</v>
      </c>
      <c r="R10" s="83"/>
    </row>
    <row r="11" spans="1:18" x14ac:dyDescent="0.25">
      <c r="A11" s="38"/>
      <c r="B11" s="220">
        <v>4</v>
      </c>
      <c r="C11" s="220" t="s">
        <v>783</v>
      </c>
      <c r="D11" s="11"/>
      <c r="E11" s="11"/>
      <c r="F11" s="84"/>
      <c r="G11" s="84"/>
      <c r="H11" s="11"/>
      <c r="I11" s="49"/>
      <c r="J11" s="187"/>
      <c r="K11" s="405">
        <f t="shared" si="5"/>
        <v>0</v>
      </c>
      <c r="L11" s="405">
        <f t="shared" si="2"/>
        <v>0</v>
      </c>
      <c r="M11" s="405">
        <f t="shared" si="3"/>
        <v>0</v>
      </c>
      <c r="N11" s="39" t="str">
        <f t="shared" si="4"/>
        <v/>
      </c>
      <c r="O11" s="56">
        <f t="shared" si="0"/>
        <v>0</v>
      </c>
      <c r="P11" t="str">
        <f t="shared" si="1"/>
        <v>No</v>
      </c>
      <c r="R11" s="83"/>
    </row>
    <row r="12" spans="1:18" x14ac:dyDescent="0.25">
      <c r="A12" s="38"/>
      <c r="B12" s="220">
        <v>5</v>
      </c>
      <c r="C12" s="220" t="s">
        <v>783</v>
      </c>
      <c r="D12" s="11"/>
      <c r="E12" s="11"/>
      <c r="F12" s="84"/>
      <c r="G12" s="84"/>
      <c r="H12" s="11"/>
      <c r="I12" s="11"/>
      <c r="J12" s="187"/>
      <c r="K12" s="405">
        <f t="shared" si="5"/>
        <v>0</v>
      </c>
      <c r="L12" s="405">
        <f t="shared" si="2"/>
        <v>0</v>
      </c>
      <c r="M12" s="405">
        <f t="shared" si="3"/>
        <v>0</v>
      </c>
      <c r="N12" s="39" t="str">
        <f t="shared" si="4"/>
        <v/>
      </c>
      <c r="O12" s="56">
        <f t="shared" si="0"/>
        <v>0</v>
      </c>
      <c r="P12" t="str">
        <f t="shared" si="1"/>
        <v>No</v>
      </c>
      <c r="R12" s="83"/>
    </row>
    <row r="13" spans="1:18" x14ac:dyDescent="0.25">
      <c r="A13" s="38"/>
      <c r="B13" s="220">
        <v>6</v>
      </c>
      <c r="C13" s="220" t="s">
        <v>783</v>
      </c>
      <c r="D13" s="11"/>
      <c r="E13" s="11"/>
      <c r="F13" s="84"/>
      <c r="G13" s="84"/>
      <c r="H13" s="11"/>
      <c r="I13" s="49"/>
      <c r="J13" s="187"/>
      <c r="K13" s="405">
        <f t="shared" si="5"/>
        <v>0</v>
      </c>
      <c r="L13" s="405">
        <f t="shared" si="2"/>
        <v>0</v>
      </c>
      <c r="M13" s="405">
        <f t="shared" si="3"/>
        <v>0</v>
      </c>
      <c r="N13" s="39" t="str">
        <f t="shared" si="4"/>
        <v/>
      </c>
      <c r="O13" s="56">
        <f t="shared" si="0"/>
        <v>0</v>
      </c>
      <c r="P13" t="str">
        <f t="shared" si="1"/>
        <v>No</v>
      </c>
      <c r="R13" s="83"/>
    </row>
    <row r="14" spans="1:18" x14ac:dyDescent="0.25">
      <c r="A14" s="38"/>
      <c r="B14" s="220">
        <v>7</v>
      </c>
      <c r="C14" s="220" t="s">
        <v>783</v>
      </c>
      <c r="D14" s="11"/>
      <c r="E14" s="11"/>
      <c r="F14" s="84"/>
      <c r="G14" s="84"/>
      <c r="H14" s="11"/>
      <c r="I14" s="49"/>
      <c r="J14" s="187"/>
      <c r="K14" s="405">
        <f t="shared" si="5"/>
        <v>0</v>
      </c>
      <c r="L14" s="405">
        <f t="shared" si="2"/>
        <v>0</v>
      </c>
      <c r="M14" s="405">
        <f t="shared" si="3"/>
        <v>0</v>
      </c>
      <c r="N14" s="39" t="str">
        <f t="shared" si="4"/>
        <v/>
      </c>
      <c r="O14" s="56">
        <f t="shared" si="0"/>
        <v>0</v>
      </c>
      <c r="P14" t="str">
        <f t="shared" si="1"/>
        <v>No</v>
      </c>
      <c r="R14" s="83"/>
    </row>
    <row r="15" spans="1:18" x14ac:dyDescent="0.25">
      <c r="A15" s="38"/>
      <c r="B15" s="220">
        <v>8</v>
      </c>
      <c r="C15" s="220" t="s">
        <v>783</v>
      </c>
      <c r="D15" s="11"/>
      <c r="E15" s="11"/>
      <c r="F15" s="84"/>
      <c r="G15" s="84"/>
      <c r="H15" s="11"/>
      <c r="I15" s="49"/>
      <c r="J15" s="187"/>
      <c r="K15" s="405">
        <f t="shared" si="5"/>
        <v>0</v>
      </c>
      <c r="L15" s="405">
        <f t="shared" si="2"/>
        <v>0</v>
      </c>
      <c r="M15" s="405">
        <f t="shared" si="3"/>
        <v>0</v>
      </c>
      <c r="N15" s="39" t="str">
        <f t="shared" si="4"/>
        <v/>
      </c>
      <c r="O15" s="56">
        <f t="shared" si="0"/>
        <v>0</v>
      </c>
      <c r="P15" t="str">
        <f t="shared" si="1"/>
        <v>No</v>
      </c>
      <c r="R15" s="83"/>
    </row>
    <row r="16" spans="1:18" hidden="1" x14ac:dyDescent="0.25">
      <c r="A16" s="27"/>
      <c r="I16">
        <f>SUM(I8:I15)</f>
        <v>0</v>
      </c>
      <c r="L16">
        <f>SUM(L8:L15)</f>
        <v>0</v>
      </c>
      <c r="M16">
        <f>SUM(M8:M15)</f>
        <v>0</v>
      </c>
      <c r="N16">
        <f>SUM(N8:N15)</f>
        <v>0</v>
      </c>
    </row>
    <row r="17" spans="1:18" hidden="1" x14ac:dyDescent="0.25">
      <c r="A17" s="27"/>
      <c r="O17" s="184"/>
      <c r="P17" s="191"/>
      <c r="Q17" s="191"/>
      <c r="R17" s="192"/>
    </row>
    <row r="18" spans="1:18" hidden="1" x14ac:dyDescent="0.25">
      <c r="A18" s="27"/>
      <c r="C18" s="121"/>
      <c r="D18" s="393" t="s">
        <v>387</v>
      </c>
      <c r="E18" s="87" t="s">
        <v>388</v>
      </c>
      <c r="G18" s="45" t="s">
        <v>380</v>
      </c>
      <c r="H18" s="185"/>
      <c r="I18" s="85" t="s">
        <v>788</v>
      </c>
      <c r="J18" s="184"/>
      <c r="K18" s="219"/>
      <c r="O18" s="184"/>
      <c r="P18" s="192"/>
      <c r="Q18" s="192"/>
      <c r="R18" s="192"/>
    </row>
    <row r="19" spans="1:18" ht="18" hidden="1" x14ac:dyDescent="0.25">
      <c r="A19" s="27"/>
      <c r="D19" s="394" t="s">
        <v>784</v>
      </c>
      <c r="E19" s="194">
        <v>0.9</v>
      </c>
      <c r="G19" t="s">
        <v>390</v>
      </c>
      <c r="H19" s="184"/>
      <c r="I19" s="76">
        <f>104*'Project Summary'!M12</f>
        <v>52</v>
      </c>
      <c r="J19" s="192"/>
      <c r="K19" s="184"/>
      <c r="O19" s="193"/>
      <c r="P19" s="193"/>
      <c r="Q19" s="193"/>
      <c r="R19" s="193"/>
    </row>
    <row r="20" spans="1:18" hidden="1" x14ac:dyDescent="0.25">
      <c r="A20" s="27"/>
      <c r="D20" s="394" t="s">
        <v>785</v>
      </c>
      <c r="E20" s="195">
        <v>0.3</v>
      </c>
      <c r="G20" t="s">
        <v>395</v>
      </c>
      <c r="H20" s="184"/>
      <c r="J20" s="192"/>
      <c r="K20" s="192"/>
      <c r="O20" s="184"/>
      <c r="P20" s="191"/>
      <c r="Q20" s="191"/>
      <c r="R20" s="192"/>
    </row>
    <row r="21" spans="1:18" ht="30" hidden="1" x14ac:dyDescent="0.25">
      <c r="A21" s="27"/>
      <c r="D21" s="394" t="s">
        <v>786</v>
      </c>
      <c r="E21" s="194">
        <v>1.3</v>
      </c>
      <c r="H21" s="184"/>
      <c r="I21" s="14" t="s">
        <v>83</v>
      </c>
      <c r="J21" s="192"/>
      <c r="K21" s="192"/>
      <c r="L21" s="192"/>
      <c r="O21" s="184"/>
      <c r="P21" s="192"/>
      <c r="Q21" s="192"/>
      <c r="R21" s="192"/>
    </row>
    <row r="22" spans="1:18" hidden="1" x14ac:dyDescent="0.25">
      <c r="A22" s="27"/>
      <c r="D22" s="395" t="s">
        <v>787</v>
      </c>
      <c r="E22" s="399">
        <v>1.67</v>
      </c>
      <c r="G22" s="45" t="s">
        <v>268</v>
      </c>
      <c r="H22" s="193"/>
      <c r="I22" s="19" t="s">
        <v>124</v>
      </c>
      <c r="J22" s="184"/>
      <c r="K22" s="192"/>
      <c r="L22" s="192"/>
    </row>
    <row r="23" spans="1:18" hidden="1" x14ac:dyDescent="0.25">
      <c r="A23" s="27"/>
      <c r="D23" s="396" t="s">
        <v>346</v>
      </c>
      <c r="E23" s="396">
        <v>487</v>
      </c>
      <c r="G23" s="5">
        <v>12</v>
      </c>
      <c r="H23" s="184"/>
      <c r="I23" s="19" t="s">
        <v>130</v>
      </c>
      <c r="J23" s="192"/>
      <c r="K23" s="184"/>
      <c r="L23" s="184"/>
    </row>
    <row r="24" spans="1:18" hidden="1" x14ac:dyDescent="0.25">
      <c r="A24" s="27"/>
      <c r="D24" s="396"/>
      <c r="E24" s="396"/>
      <c r="H24" s="184"/>
      <c r="I24" s="191"/>
      <c r="J24" s="192"/>
      <c r="K24" s="192"/>
      <c r="L24" s="192"/>
    </row>
    <row r="25" spans="1:18" hidden="1" x14ac:dyDescent="0.25">
      <c r="A25" s="27"/>
      <c r="C25" s="353"/>
      <c r="D25" s="396"/>
      <c r="E25" s="396"/>
      <c r="H25" s="184"/>
      <c r="I25" s="192"/>
      <c r="J25" s="192"/>
      <c r="K25" s="192"/>
      <c r="L25" s="192"/>
    </row>
    <row r="26" spans="1:18" hidden="1" x14ac:dyDescent="0.25">
      <c r="A26" s="27"/>
      <c r="C26" s="353"/>
      <c r="D26" s="396"/>
      <c r="E26" s="398"/>
      <c r="H26" s="184"/>
      <c r="I26" s="184"/>
      <c r="J26" s="184"/>
      <c r="K26" s="192"/>
      <c r="L26" s="192"/>
    </row>
    <row r="27" spans="1:18" hidden="1" x14ac:dyDescent="0.25">
      <c r="A27" s="27"/>
      <c r="C27" s="353"/>
      <c r="D27" s="396"/>
      <c r="E27" s="398"/>
      <c r="H27" s="184"/>
      <c r="I27" s="184"/>
      <c r="J27" s="184"/>
      <c r="K27" s="184"/>
      <c r="L27" s="184"/>
    </row>
    <row r="28" spans="1:18" hidden="1" x14ac:dyDescent="0.25">
      <c r="A28" s="27"/>
      <c r="C28" s="353"/>
      <c r="D28" s="396"/>
      <c r="E28" s="397"/>
      <c r="H28" s="185"/>
      <c r="I28" s="186"/>
      <c r="J28" s="186"/>
      <c r="K28" s="186"/>
      <c r="L28" s="185"/>
    </row>
    <row r="29" spans="1:18" hidden="1" x14ac:dyDescent="0.25">
      <c r="A29" s="27"/>
      <c r="C29" s="353"/>
      <c r="D29" s="396"/>
      <c r="E29" s="397"/>
      <c r="H29" s="185"/>
      <c r="I29" s="185"/>
      <c r="J29" s="185"/>
      <c r="K29" s="185"/>
      <c r="L29" s="185"/>
    </row>
    <row r="30" spans="1:18" hidden="1" x14ac:dyDescent="0.25">
      <c r="A30" s="27"/>
      <c r="C30" s="353"/>
      <c r="D30" s="396"/>
      <c r="E30" s="396"/>
      <c r="H30" s="185"/>
      <c r="I30" s="185"/>
      <c r="J30" s="185"/>
      <c r="K30" s="185"/>
      <c r="L30" s="185"/>
    </row>
    <row r="31" spans="1:18" x14ac:dyDescent="0.25">
      <c r="A31" s="83"/>
      <c r="B31" s="83"/>
      <c r="C31" s="83"/>
      <c r="D31" s="83"/>
      <c r="E31" s="83"/>
      <c r="F31" s="83"/>
      <c r="G31" s="83"/>
      <c r="H31" s="83"/>
      <c r="I31" s="83"/>
      <c r="J31" s="83"/>
      <c r="K31" s="83"/>
      <c r="L31" s="83"/>
      <c r="M31" s="83"/>
      <c r="N31" s="83"/>
      <c r="O31" s="83"/>
      <c r="P31" s="83"/>
      <c r="Q31" s="83"/>
      <c r="R31" s="83"/>
    </row>
    <row r="32" spans="1:18" ht="16.5" customHeight="1" x14ac:dyDescent="0.25">
      <c r="A32" s="83"/>
      <c r="B32" s="83"/>
      <c r="C32" s="83"/>
      <c r="D32" s="83"/>
      <c r="E32" s="83"/>
      <c r="F32" s="83"/>
      <c r="G32" s="83"/>
      <c r="H32" s="83"/>
      <c r="I32" s="83"/>
      <c r="J32" s="83"/>
      <c r="K32" s="83"/>
      <c r="L32" s="83"/>
      <c r="M32" s="83"/>
      <c r="N32" s="83"/>
      <c r="O32" s="83"/>
      <c r="P32" s="83"/>
      <c r="Q32" s="83"/>
      <c r="R32" s="83"/>
    </row>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row r="596" s="82" customFormat="1" x14ac:dyDescent="0.25"/>
    <row r="597" s="82" customFormat="1" x14ac:dyDescent="0.25"/>
    <row r="598" s="82" customFormat="1" x14ac:dyDescent="0.25"/>
    <row r="599" s="82" customFormat="1" x14ac:dyDescent="0.25"/>
    <row r="600" s="82" customFormat="1" x14ac:dyDescent="0.25"/>
    <row r="601" s="82" customFormat="1" x14ac:dyDescent="0.25"/>
    <row r="602" s="82" customFormat="1" x14ac:dyDescent="0.25"/>
    <row r="603" s="82" customFormat="1" x14ac:dyDescent="0.25"/>
    <row r="604" s="82" customFormat="1" x14ac:dyDescent="0.25"/>
    <row r="605" s="82" customFormat="1" x14ac:dyDescent="0.25"/>
    <row r="606" s="82" customFormat="1" x14ac:dyDescent="0.25"/>
    <row r="607" s="82" customFormat="1" x14ac:dyDescent="0.25"/>
    <row r="608" s="82" customFormat="1" x14ac:dyDescent="0.25"/>
    <row r="609" s="82" customFormat="1" x14ac:dyDescent="0.25"/>
    <row r="610" s="82" customFormat="1" x14ac:dyDescent="0.25"/>
    <row r="611" s="82" customFormat="1" x14ac:dyDescent="0.25"/>
    <row r="612" s="82" customFormat="1" x14ac:dyDescent="0.25"/>
    <row r="613" s="82" customFormat="1" x14ac:dyDescent="0.25"/>
    <row r="614" s="82" customFormat="1" x14ac:dyDescent="0.25"/>
    <row r="615" s="82" customFormat="1" x14ac:dyDescent="0.25"/>
    <row r="616" s="82" customFormat="1" x14ac:dyDescent="0.25"/>
    <row r="617" s="82" customFormat="1" x14ac:dyDescent="0.25"/>
    <row r="618" s="82" customFormat="1" x14ac:dyDescent="0.25"/>
    <row r="619" s="82" customFormat="1" x14ac:dyDescent="0.25"/>
    <row r="620" s="82" customFormat="1" x14ac:dyDescent="0.25"/>
    <row r="621" s="82" customFormat="1" x14ac:dyDescent="0.25"/>
    <row r="622" s="82" customFormat="1" x14ac:dyDescent="0.25"/>
    <row r="623" s="82" customFormat="1" x14ac:dyDescent="0.25"/>
    <row r="624" s="82" customFormat="1" x14ac:dyDescent="0.25"/>
    <row r="625" s="82" customFormat="1" x14ac:dyDescent="0.25"/>
    <row r="626" s="82" customFormat="1" x14ac:dyDescent="0.25"/>
    <row r="627" s="82" customFormat="1" x14ac:dyDescent="0.25"/>
    <row r="628" s="82" customFormat="1" x14ac:dyDescent="0.25"/>
    <row r="629" s="82" customFormat="1" x14ac:dyDescent="0.25"/>
    <row r="630" s="82" customFormat="1" x14ac:dyDescent="0.25"/>
    <row r="631" s="82" customFormat="1" x14ac:dyDescent="0.25"/>
    <row r="632" s="82" customFormat="1" x14ac:dyDescent="0.25"/>
    <row r="633" s="82" customFormat="1" x14ac:dyDescent="0.25"/>
    <row r="634" s="82" customFormat="1" x14ac:dyDescent="0.25"/>
    <row r="635" s="82" customFormat="1" x14ac:dyDescent="0.25"/>
    <row r="636" s="82" customFormat="1" x14ac:dyDescent="0.25"/>
    <row r="637" s="82" customFormat="1" x14ac:dyDescent="0.25"/>
    <row r="638" s="82" customFormat="1" x14ac:dyDescent="0.25"/>
    <row r="639" s="82" customFormat="1" x14ac:dyDescent="0.25"/>
    <row r="640" s="82" customFormat="1" x14ac:dyDescent="0.25"/>
    <row r="641" s="82" customFormat="1" x14ac:dyDescent="0.25"/>
    <row r="642" s="82" customFormat="1" x14ac:dyDescent="0.25"/>
    <row r="643" s="82" customFormat="1" x14ac:dyDescent="0.25"/>
    <row r="644" s="82" customFormat="1" x14ac:dyDescent="0.25"/>
    <row r="645" s="82" customFormat="1" x14ac:dyDescent="0.25"/>
    <row r="646" s="82" customFormat="1" x14ac:dyDescent="0.25"/>
    <row r="647" s="82" customFormat="1" x14ac:dyDescent="0.25"/>
    <row r="648" s="82" customFormat="1" x14ac:dyDescent="0.25"/>
    <row r="649" s="82" customFormat="1" x14ac:dyDescent="0.25"/>
    <row r="650" s="82" customFormat="1" x14ac:dyDescent="0.25"/>
    <row r="651" s="82" customFormat="1" x14ac:dyDescent="0.25"/>
    <row r="652" s="82" customFormat="1" x14ac:dyDescent="0.25"/>
    <row r="653" s="82" customFormat="1" x14ac:dyDescent="0.25"/>
    <row r="654" s="82" customFormat="1" x14ac:dyDescent="0.25"/>
    <row r="655" s="82" customFormat="1" x14ac:dyDescent="0.25"/>
    <row r="656" s="82" customFormat="1" x14ac:dyDescent="0.25"/>
    <row r="657" s="82" customFormat="1" x14ac:dyDescent="0.25"/>
    <row r="658" s="82" customFormat="1" x14ac:dyDescent="0.25"/>
    <row r="659" s="82" customFormat="1" x14ac:dyDescent="0.25"/>
    <row r="660" s="82" customFormat="1" x14ac:dyDescent="0.25"/>
    <row r="661" s="82" customFormat="1" x14ac:dyDescent="0.25"/>
    <row r="662" s="82" customFormat="1" x14ac:dyDescent="0.25"/>
    <row r="663" s="82" customFormat="1" x14ac:dyDescent="0.25"/>
    <row r="664" s="82" customFormat="1" x14ac:dyDescent="0.25"/>
    <row r="665" s="82" customFormat="1" x14ac:dyDescent="0.25"/>
    <row r="666" s="82" customFormat="1" x14ac:dyDescent="0.25"/>
    <row r="667" s="82" customFormat="1" x14ac:dyDescent="0.25"/>
    <row r="668" s="82" customFormat="1" x14ac:dyDescent="0.25"/>
    <row r="669" s="82" customFormat="1" x14ac:dyDescent="0.25"/>
    <row r="670" s="82" customFormat="1" x14ac:dyDescent="0.25"/>
    <row r="671" s="82" customFormat="1" x14ac:dyDescent="0.25"/>
    <row r="672" s="82" customFormat="1" x14ac:dyDescent="0.25"/>
    <row r="673" s="82" customFormat="1" x14ac:dyDescent="0.25"/>
    <row r="674" s="82" customFormat="1" x14ac:dyDescent="0.25"/>
    <row r="675" s="82" customFormat="1" x14ac:dyDescent="0.25"/>
    <row r="676" s="82" customFormat="1" x14ac:dyDescent="0.25"/>
    <row r="677" s="82" customFormat="1" x14ac:dyDescent="0.25"/>
    <row r="678" s="82" customFormat="1" x14ac:dyDescent="0.25"/>
    <row r="679" s="82" customFormat="1" x14ac:dyDescent="0.25"/>
    <row r="680" s="82" customFormat="1" x14ac:dyDescent="0.25"/>
    <row r="681" s="82" customFormat="1" x14ac:dyDescent="0.25"/>
    <row r="682" s="82" customFormat="1" x14ac:dyDescent="0.25"/>
    <row r="683" s="82" customFormat="1" x14ac:dyDescent="0.25"/>
    <row r="684" s="82" customFormat="1" x14ac:dyDescent="0.25"/>
    <row r="685" s="82" customFormat="1" x14ac:dyDescent="0.25"/>
    <row r="686" s="82" customFormat="1" x14ac:dyDescent="0.25"/>
    <row r="687" s="82" customFormat="1" x14ac:dyDescent="0.25"/>
    <row r="688" s="82" customFormat="1" x14ac:dyDescent="0.25"/>
    <row r="689" s="82" customFormat="1" x14ac:dyDescent="0.25"/>
    <row r="690" s="82" customFormat="1" x14ac:dyDescent="0.25"/>
    <row r="691" s="82" customFormat="1" x14ac:dyDescent="0.25"/>
    <row r="692" s="82" customFormat="1" x14ac:dyDescent="0.25"/>
    <row r="693" s="82" customFormat="1" x14ac:dyDescent="0.25"/>
    <row r="694" s="82" customFormat="1" x14ac:dyDescent="0.25"/>
    <row r="695" s="82" customFormat="1" x14ac:dyDescent="0.25"/>
    <row r="696" s="82" customFormat="1" x14ac:dyDescent="0.25"/>
    <row r="697" s="82" customFormat="1" x14ac:dyDescent="0.25"/>
    <row r="698" s="82" customFormat="1" x14ac:dyDescent="0.25"/>
    <row r="699" s="82" customFormat="1" x14ac:dyDescent="0.25"/>
    <row r="700" s="82" customFormat="1" x14ac:dyDescent="0.25"/>
    <row r="701" s="82" customFormat="1" x14ac:dyDescent="0.25"/>
    <row r="702" s="82" customFormat="1" x14ac:dyDescent="0.25"/>
    <row r="703" s="82" customFormat="1" x14ac:dyDescent="0.25"/>
    <row r="704" s="82" customFormat="1" x14ac:dyDescent="0.25"/>
    <row r="705" s="82" customFormat="1" x14ac:dyDescent="0.25"/>
    <row r="706" s="82" customFormat="1" x14ac:dyDescent="0.25"/>
    <row r="707" s="82" customFormat="1" x14ac:dyDescent="0.25"/>
    <row r="708" s="82" customFormat="1" x14ac:dyDescent="0.25"/>
    <row r="709" s="82" customFormat="1" x14ac:dyDescent="0.25"/>
    <row r="710" s="82" customFormat="1" x14ac:dyDescent="0.25"/>
    <row r="711" s="82" customFormat="1" x14ac:dyDescent="0.25"/>
    <row r="712" s="82" customFormat="1" x14ac:dyDescent="0.25"/>
    <row r="713" s="82" customFormat="1" x14ac:dyDescent="0.25"/>
    <row r="714" s="82" customFormat="1" x14ac:dyDescent="0.25"/>
    <row r="715" s="82" customFormat="1" x14ac:dyDescent="0.25"/>
    <row r="716" s="82" customFormat="1" x14ac:dyDescent="0.25"/>
    <row r="717" s="82" customFormat="1" x14ac:dyDescent="0.25"/>
    <row r="718" s="82" customFormat="1" x14ac:dyDescent="0.25"/>
    <row r="719" s="82" customFormat="1" x14ac:dyDescent="0.25"/>
    <row r="720" s="82" customFormat="1" x14ac:dyDescent="0.25"/>
    <row r="721" s="82" customFormat="1" x14ac:dyDescent="0.25"/>
    <row r="722" s="82" customFormat="1" x14ac:dyDescent="0.25"/>
    <row r="723" s="82" customFormat="1" x14ac:dyDescent="0.25"/>
    <row r="724" s="82" customFormat="1" x14ac:dyDescent="0.25"/>
    <row r="725" s="82" customFormat="1" x14ac:dyDescent="0.25"/>
    <row r="726" s="82" customFormat="1" x14ac:dyDescent="0.25"/>
    <row r="727" s="82" customFormat="1" x14ac:dyDescent="0.25"/>
    <row r="728" s="82" customFormat="1" x14ac:dyDescent="0.25"/>
    <row r="729" s="82" customFormat="1" x14ac:dyDescent="0.25"/>
    <row r="730" s="82" customFormat="1" x14ac:dyDescent="0.25"/>
    <row r="731" s="82" customFormat="1" x14ac:dyDescent="0.25"/>
    <row r="732" s="82" customFormat="1" x14ac:dyDescent="0.25"/>
    <row r="733" s="82" customFormat="1" x14ac:dyDescent="0.25"/>
    <row r="734" s="82" customFormat="1" x14ac:dyDescent="0.25"/>
    <row r="735" s="82" customFormat="1" x14ac:dyDescent="0.25"/>
    <row r="736" s="82" customFormat="1" x14ac:dyDescent="0.25"/>
    <row r="737" s="82" customFormat="1" x14ac:dyDescent="0.25"/>
    <row r="738" s="82" customFormat="1" x14ac:dyDescent="0.25"/>
    <row r="739" s="82" customFormat="1" x14ac:dyDescent="0.25"/>
    <row r="740" s="82" customFormat="1" x14ac:dyDescent="0.25"/>
    <row r="741" s="82" customFormat="1" x14ac:dyDescent="0.25"/>
    <row r="742" s="82" customFormat="1" x14ac:dyDescent="0.25"/>
    <row r="743" s="82" customFormat="1" x14ac:dyDescent="0.25"/>
    <row r="744" s="82" customFormat="1" x14ac:dyDescent="0.25"/>
    <row r="745" s="82" customFormat="1" x14ac:dyDescent="0.25"/>
    <row r="746" s="82" customFormat="1" x14ac:dyDescent="0.25"/>
    <row r="747" s="82" customFormat="1" x14ac:dyDescent="0.25"/>
    <row r="748" s="82" customFormat="1" x14ac:dyDescent="0.25"/>
    <row r="749" s="82" customFormat="1" x14ac:dyDescent="0.25"/>
    <row r="750" s="82" customFormat="1" x14ac:dyDescent="0.25"/>
    <row r="751" s="82" customFormat="1" x14ac:dyDescent="0.25"/>
    <row r="752" s="82" customFormat="1" x14ac:dyDescent="0.25"/>
    <row r="753" s="82" customFormat="1" x14ac:dyDescent="0.25"/>
    <row r="754" s="82" customFormat="1" x14ac:dyDescent="0.25"/>
    <row r="755" s="82" customFormat="1" x14ac:dyDescent="0.25"/>
    <row r="756" s="82" customFormat="1" x14ac:dyDescent="0.25"/>
    <row r="757" s="82" customFormat="1" x14ac:dyDescent="0.25"/>
    <row r="758" s="82" customFormat="1" x14ac:dyDescent="0.25"/>
    <row r="759" s="82" customFormat="1" x14ac:dyDescent="0.25"/>
    <row r="760" s="82" customFormat="1" x14ac:dyDescent="0.25"/>
    <row r="761" s="82" customFormat="1" x14ac:dyDescent="0.25"/>
    <row r="762" s="82" customFormat="1" x14ac:dyDescent="0.25"/>
    <row r="763" s="82" customFormat="1" x14ac:dyDescent="0.25"/>
    <row r="764" s="82" customFormat="1" x14ac:dyDescent="0.25"/>
    <row r="765" s="82" customFormat="1" x14ac:dyDescent="0.25"/>
    <row r="766" s="82" customFormat="1" x14ac:dyDescent="0.25"/>
    <row r="767" s="82" customFormat="1" x14ac:dyDescent="0.25"/>
    <row r="768" s="82" customFormat="1" x14ac:dyDescent="0.25"/>
    <row r="769" s="82" customFormat="1" x14ac:dyDescent="0.25"/>
    <row r="770" s="82" customFormat="1" x14ac:dyDescent="0.25"/>
    <row r="771" s="82" customFormat="1" x14ac:dyDescent="0.25"/>
    <row r="772" s="82" customFormat="1" x14ac:dyDescent="0.25"/>
    <row r="773" s="82" customFormat="1" x14ac:dyDescent="0.25"/>
    <row r="774" s="82" customFormat="1" x14ac:dyDescent="0.25"/>
    <row r="775" s="82" customFormat="1" x14ac:dyDescent="0.25"/>
    <row r="776" s="82" customFormat="1" x14ac:dyDescent="0.25"/>
    <row r="777" s="82" customFormat="1" x14ac:dyDescent="0.25"/>
    <row r="778" s="82" customFormat="1" x14ac:dyDescent="0.25"/>
    <row r="779" s="82" customFormat="1" x14ac:dyDescent="0.25"/>
    <row r="780" s="82" customFormat="1" x14ac:dyDescent="0.25"/>
    <row r="781" s="82" customFormat="1" x14ac:dyDescent="0.25"/>
    <row r="782" s="82" customFormat="1" x14ac:dyDescent="0.25"/>
    <row r="783" s="82" customFormat="1" x14ac:dyDescent="0.25"/>
    <row r="784" s="82" customFormat="1" x14ac:dyDescent="0.25"/>
    <row r="785" s="82" customFormat="1" x14ac:dyDescent="0.25"/>
    <row r="786" s="82" customFormat="1" x14ac:dyDescent="0.25"/>
    <row r="787" s="82" customFormat="1" x14ac:dyDescent="0.25"/>
    <row r="788" s="82" customFormat="1" x14ac:dyDescent="0.25"/>
    <row r="789" s="82" customFormat="1" x14ac:dyDescent="0.25"/>
    <row r="790" s="82" customFormat="1" x14ac:dyDescent="0.25"/>
    <row r="791" s="82" customFormat="1" x14ac:dyDescent="0.25"/>
    <row r="792" s="82" customFormat="1" x14ac:dyDescent="0.25"/>
    <row r="793" s="82" customFormat="1" x14ac:dyDescent="0.25"/>
    <row r="794" s="82" customFormat="1" x14ac:dyDescent="0.25"/>
    <row r="795" s="82" customFormat="1" x14ac:dyDescent="0.25"/>
    <row r="796" s="82" customFormat="1" x14ac:dyDescent="0.25"/>
    <row r="797" s="82" customFormat="1" x14ac:dyDescent="0.25"/>
    <row r="798" s="82" customFormat="1" x14ac:dyDescent="0.25"/>
    <row r="799" s="82" customFormat="1" x14ac:dyDescent="0.25"/>
    <row r="800" s="82" customFormat="1" x14ac:dyDescent="0.25"/>
    <row r="801" s="82" customFormat="1" x14ac:dyDescent="0.25"/>
    <row r="802" s="82" customFormat="1" x14ac:dyDescent="0.25"/>
    <row r="803" s="82" customFormat="1" x14ac:dyDescent="0.25"/>
    <row r="804" s="82" customFormat="1" x14ac:dyDescent="0.25"/>
    <row r="805" s="82" customFormat="1" x14ac:dyDescent="0.25"/>
    <row r="806" s="82" customFormat="1" x14ac:dyDescent="0.25"/>
    <row r="807" s="82" customFormat="1" x14ac:dyDescent="0.25"/>
    <row r="808" s="82" customFormat="1" x14ac:dyDescent="0.25"/>
    <row r="809" s="82" customFormat="1" x14ac:dyDescent="0.25"/>
    <row r="810" s="82" customFormat="1" x14ac:dyDescent="0.25"/>
    <row r="811" s="82" customFormat="1" x14ac:dyDescent="0.25"/>
    <row r="812" s="82" customFormat="1" x14ac:dyDescent="0.25"/>
    <row r="813" s="82" customFormat="1" x14ac:dyDescent="0.25"/>
    <row r="814" s="82" customFormat="1" x14ac:dyDescent="0.25"/>
    <row r="815" s="82" customFormat="1" x14ac:dyDescent="0.25"/>
    <row r="816" s="82" customFormat="1" x14ac:dyDescent="0.25"/>
    <row r="817" s="82" customFormat="1" x14ac:dyDescent="0.25"/>
    <row r="818" s="82" customFormat="1" x14ac:dyDescent="0.25"/>
    <row r="819" s="82" customFormat="1" x14ac:dyDescent="0.25"/>
    <row r="820" s="82" customFormat="1" x14ac:dyDescent="0.25"/>
    <row r="821" s="82" customFormat="1" x14ac:dyDescent="0.25"/>
    <row r="822" s="82" customFormat="1" x14ac:dyDescent="0.25"/>
    <row r="823" s="82" customFormat="1" x14ac:dyDescent="0.25"/>
    <row r="824" s="82" customFormat="1" x14ac:dyDescent="0.25"/>
    <row r="825" s="82" customFormat="1" x14ac:dyDescent="0.25"/>
    <row r="826" s="82" customFormat="1" x14ac:dyDescent="0.25"/>
    <row r="827" s="82" customFormat="1" x14ac:dyDescent="0.25"/>
    <row r="828" s="82" customFormat="1" x14ac:dyDescent="0.25"/>
    <row r="829" s="82" customFormat="1" x14ac:dyDescent="0.25"/>
    <row r="830" s="82" customFormat="1" x14ac:dyDescent="0.25"/>
    <row r="831" s="82" customFormat="1" x14ac:dyDescent="0.25"/>
    <row r="832" s="82" customFormat="1" x14ac:dyDescent="0.25"/>
    <row r="833" s="82" customFormat="1" x14ac:dyDescent="0.25"/>
    <row r="834" s="82" customFormat="1" x14ac:dyDescent="0.25"/>
    <row r="835" s="82" customFormat="1" x14ac:dyDescent="0.25"/>
    <row r="836" s="82" customFormat="1" x14ac:dyDescent="0.25"/>
    <row r="837" s="82" customFormat="1" x14ac:dyDescent="0.25"/>
    <row r="838" s="82" customFormat="1" x14ac:dyDescent="0.25"/>
    <row r="839" s="82" customFormat="1" x14ac:dyDescent="0.25"/>
    <row r="840" s="82" customFormat="1" x14ac:dyDescent="0.25"/>
    <row r="841" s="82" customFormat="1" x14ac:dyDescent="0.25"/>
    <row r="842" s="82" customFormat="1" x14ac:dyDescent="0.25"/>
    <row r="843" s="82" customFormat="1" x14ac:dyDescent="0.25"/>
    <row r="844" s="82" customFormat="1" x14ac:dyDescent="0.25"/>
    <row r="845" s="82" customFormat="1" x14ac:dyDescent="0.25"/>
    <row r="846" s="82" customFormat="1" x14ac:dyDescent="0.25"/>
    <row r="847" s="82" customFormat="1" x14ac:dyDescent="0.25"/>
    <row r="848" s="82" customFormat="1" x14ac:dyDescent="0.25"/>
    <row r="849" s="82" customFormat="1" x14ac:dyDescent="0.25"/>
    <row r="850" s="82" customFormat="1" x14ac:dyDescent="0.25"/>
    <row r="851" s="82" customFormat="1" x14ac:dyDescent="0.25"/>
    <row r="852" s="82" customFormat="1" x14ac:dyDescent="0.25"/>
    <row r="853" s="82" customFormat="1" x14ac:dyDescent="0.25"/>
    <row r="854" s="82" customFormat="1" x14ac:dyDescent="0.25"/>
    <row r="855" s="82" customFormat="1" x14ac:dyDescent="0.25"/>
    <row r="856" s="82" customFormat="1" x14ac:dyDescent="0.25"/>
    <row r="857" s="82" customFormat="1" x14ac:dyDescent="0.25"/>
    <row r="858" s="82" customFormat="1" x14ac:dyDescent="0.25"/>
    <row r="859" s="82" customFormat="1" x14ac:dyDescent="0.25"/>
    <row r="860" s="82" customFormat="1" x14ac:dyDescent="0.25"/>
    <row r="861" s="82" customFormat="1" x14ac:dyDescent="0.25"/>
    <row r="862" s="82" customFormat="1" x14ac:dyDescent="0.25"/>
    <row r="863" s="82" customFormat="1" x14ac:dyDescent="0.25"/>
    <row r="864" s="82" customFormat="1" x14ac:dyDescent="0.25"/>
    <row r="865" s="82" customFormat="1" x14ac:dyDescent="0.25"/>
    <row r="866" s="82" customFormat="1" x14ac:dyDescent="0.25"/>
    <row r="867" s="82" customFormat="1" x14ac:dyDescent="0.25"/>
    <row r="868" s="82" customFormat="1" x14ac:dyDescent="0.25"/>
    <row r="869" s="82" customFormat="1" x14ac:dyDescent="0.25"/>
    <row r="870" s="82" customFormat="1" x14ac:dyDescent="0.25"/>
    <row r="871" s="82" customFormat="1" x14ac:dyDescent="0.25"/>
    <row r="872" s="82" customFormat="1" x14ac:dyDescent="0.25"/>
    <row r="873" s="82" customFormat="1" x14ac:dyDescent="0.25"/>
    <row r="874" s="82" customFormat="1" x14ac:dyDescent="0.25"/>
    <row r="875" s="82" customFormat="1" x14ac:dyDescent="0.25"/>
    <row r="876" s="82" customFormat="1" x14ac:dyDescent="0.25"/>
    <row r="877" s="82" customFormat="1" x14ac:dyDescent="0.25"/>
    <row r="878" s="82" customFormat="1" x14ac:dyDescent="0.25"/>
    <row r="879" s="82" customFormat="1" x14ac:dyDescent="0.25"/>
    <row r="880" s="82" customFormat="1" x14ac:dyDescent="0.25"/>
    <row r="881" s="82" customFormat="1" x14ac:dyDescent="0.25"/>
    <row r="882" s="82" customFormat="1" x14ac:dyDescent="0.25"/>
    <row r="883" s="82" customFormat="1" x14ac:dyDescent="0.25"/>
    <row r="884" s="82" customFormat="1" x14ac:dyDescent="0.25"/>
    <row r="885" s="82" customFormat="1" x14ac:dyDescent="0.25"/>
    <row r="886" s="82" customFormat="1" x14ac:dyDescent="0.25"/>
    <row r="887" s="82" customFormat="1" x14ac:dyDescent="0.25"/>
    <row r="888" s="82" customFormat="1" x14ac:dyDescent="0.25"/>
    <row r="889" s="82" customFormat="1" x14ac:dyDescent="0.25"/>
    <row r="890" s="82" customFormat="1" x14ac:dyDescent="0.25"/>
    <row r="891" s="82" customFormat="1" x14ac:dyDescent="0.25"/>
    <row r="892" s="82" customFormat="1" x14ac:dyDescent="0.25"/>
    <row r="893" s="82" customFormat="1" x14ac:dyDescent="0.25"/>
    <row r="894" s="82" customFormat="1" x14ac:dyDescent="0.25"/>
    <row r="895" s="82" customFormat="1" x14ac:dyDescent="0.25"/>
    <row r="896" s="82" customFormat="1" x14ac:dyDescent="0.25"/>
    <row r="897" s="82" customFormat="1" x14ac:dyDescent="0.25"/>
    <row r="898" s="82" customFormat="1" x14ac:dyDescent="0.25"/>
    <row r="899" s="82" customFormat="1" x14ac:dyDescent="0.25"/>
    <row r="900" s="82" customFormat="1" x14ac:dyDescent="0.25"/>
    <row r="901" s="82" customFormat="1" x14ac:dyDescent="0.25"/>
    <row r="902" s="82" customFormat="1" x14ac:dyDescent="0.25"/>
    <row r="903" s="82" customFormat="1" x14ac:dyDescent="0.25"/>
    <row r="904" s="82" customFormat="1" x14ac:dyDescent="0.25"/>
    <row r="905" s="82" customFormat="1" x14ac:dyDescent="0.25"/>
    <row r="906" s="82" customFormat="1" x14ac:dyDescent="0.25"/>
    <row r="907" s="82" customFormat="1" x14ac:dyDescent="0.25"/>
    <row r="908" s="82" customFormat="1" x14ac:dyDescent="0.25"/>
    <row r="909" s="82" customFormat="1" x14ac:dyDescent="0.25"/>
    <row r="910" s="82" customFormat="1" x14ac:dyDescent="0.25"/>
    <row r="911" s="82" customFormat="1" x14ac:dyDescent="0.25"/>
    <row r="912" s="82" customFormat="1" x14ac:dyDescent="0.25"/>
    <row r="913" s="82" customFormat="1" x14ac:dyDescent="0.25"/>
    <row r="914" s="82" customFormat="1" x14ac:dyDescent="0.25"/>
    <row r="915" s="82" customFormat="1" x14ac:dyDescent="0.25"/>
    <row r="916" s="82" customFormat="1" x14ac:dyDescent="0.25"/>
    <row r="917" s="82" customFormat="1" x14ac:dyDescent="0.25"/>
    <row r="918" s="82" customFormat="1" x14ac:dyDescent="0.25"/>
    <row r="919" s="82" customFormat="1" x14ac:dyDescent="0.25"/>
    <row r="920" s="82" customFormat="1" x14ac:dyDescent="0.25"/>
    <row r="921" s="82" customFormat="1" x14ac:dyDescent="0.25"/>
    <row r="922" s="82" customFormat="1" x14ac:dyDescent="0.25"/>
    <row r="923" s="82" customFormat="1" x14ac:dyDescent="0.25"/>
    <row r="924" s="82" customFormat="1" x14ac:dyDescent="0.25"/>
    <row r="925" s="82" customFormat="1" x14ac:dyDescent="0.25"/>
    <row r="926" s="82" customFormat="1" x14ac:dyDescent="0.25"/>
    <row r="927" s="82" customFormat="1" x14ac:dyDescent="0.25"/>
    <row r="928" s="82" customFormat="1" x14ac:dyDescent="0.25"/>
    <row r="929" s="82" customFormat="1" x14ac:dyDescent="0.25"/>
    <row r="930" s="82" customFormat="1" x14ac:dyDescent="0.25"/>
    <row r="931" s="82" customFormat="1" x14ac:dyDescent="0.25"/>
    <row r="932" s="82" customFormat="1" x14ac:dyDescent="0.25"/>
    <row r="933" s="82" customFormat="1" x14ac:dyDescent="0.25"/>
    <row r="934" s="82" customFormat="1" x14ac:dyDescent="0.25"/>
    <row r="935" s="82" customFormat="1" x14ac:dyDescent="0.25"/>
    <row r="936" s="82" customFormat="1" x14ac:dyDescent="0.25"/>
    <row r="937" s="82" customFormat="1" x14ac:dyDescent="0.25"/>
    <row r="938" s="82" customFormat="1" x14ac:dyDescent="0.25"/>
    <row r="939" s="82" customFormat="1" x14ac:dyDescent="0.25"/>
    <row r="940" s="82" customFormat="1" x14ac:dyDescent="0.25"/>
    <row r="941" s="82" customFormat="1" x14ac:dyDescent="0.25"/>
    <row r="942" s="82" customFormat="1" x14ac:dyDescent="0.25"/>
    <row r="943" s="82" customFormat="1" x14ac:dyDescent="0.25"/>
    <row r="944" s="82" customFormat="1" x14ac:dyDescent="0.25"/>
    <row r="945" s="82" customFormat="1" x14ac:dyDescent="0.25"/>
    <row r="946" s="82" customFormat="1" x14ac:dyDescent="0.25"/>
    <row r="947" s="82" customFormat="1" x14ac:dyDescent="0.25"/>
    <row r="948" s="82" customFormat="1" x14ac:dyDescent="0.25"/>
    <row r="949" s="82" customFormat="1" x14ac:dyDescent="0.25"/>
    <row r="950" s="82" customFormat="1" x14ac:dyDescent="0.25"/>
    <row r="951" s="82" customFormat="1" x14ac:dyDescent="0.25"/>
    <row r="952" s="82" customFormat="1" x14ac:dyDescent="0.25"/>
    <row r="953" s="82" customFormat="1" x14ac:dyDescent="0.25"/>
    <row r="954" s="82" customFormat="1" x14ac:dyDescent="0.25"/>
    <row r="955" s="82" customFormat="1" x14ac:dyDescent="0.25"/>
    <row r="956" s="82" customFormat="1" x14ac:dyDescent="0.25"/>
    <row r="957" s="82" customFormat="1" x14ac:dyDescent="0.25"/>
    <row r="958" s="82" customFormat="1" x14ac:dyDescent="0.25"/>
    <row r="959" s="82" customFormat="1" x14ac:dyDescent="0.25"/>
    <row r="960" s="82" customFormat="1" x14ac:dyDescent="0.25"/>
    <row r="961" s="82" customFormat="1" x14ac:dyDescent="0.25"/>
    <row r="962" s="82" customFormat="1" x14ac:dyDescent="0.25"/>
    <row r="963" s="82" customFormat="1" x14ac:dyDescent="0.25"/>
    <row r="964" s="82" customFormat="1" x14ac:dyDescent="0.25"/>
    <row r="965" s="82" customFormat="1" x14ac:dyDescent="0.25"/>
    <row r="966" s="82" customFormat="1" x14ac:dyDescent="0.25"/>
    <row r="967" s="82" customFormat="1" x14ac:dyDescent="0.25"/>
    <row r="968" s="82" customFormat="1" x14ac:dyDescent="0.25"/>
    <row r="969" s="82" customFormat="1" x14ac:dyDescent="0.25"/>
    <row r="970" s="82" customFormat="1" x14ac:dyDescent="0.25"/>
    <row r="971" s="82" customFormat="1" x14ac:dyDescent="0.25"/>
    <row r="972" s="82" customFormat="1" x14ac:dyDescent="0.25"/>
    <row r="973" s="82" customFormat="1" x14ac:dyDescent="0.25"/>
    <row r="974" s="82" customFormat="1" x14ac:dyDescent="0.25"/>
    <row r="975" s="82" customFormat="1" x14ac:dyDescent="0.25"/>
    <row r="976" s="82" customFormat="1" x14ac:dyDescent="0.25"/>
    <row r="977" s="82" customFormat="1" x14ac:dyDescent="0.25"/>
    <row r="978" s="82" customFormat="1" x14ac:dyDescent="0.25"/>
    <row r="979" s="82" customFormat="1" x14ac:dyDescent="0.25"/>
    <row r="980" s="82" customFormat="1" x14ac:dyDescent="0.25"/>
    <row r="981" s="82" customFormat="1" x14ac:dyDescent="0.25"/>
    <row r="982" s="82" customFormat="1" x14ac:dyDescent="0.25"/>
    <row r="983" s="82" customFormat="1" x14ac:dyDescent="0.25"/>
    <row r="984" s="82" customFormat="1" x14ac:dyDescent="0.25"/>
    <row r="985" s="82" customFormat="1" x14ac:dyDescent="0.25"/>
    <row r="986" s="82" customFormat="1" x14ac:dyDescent="0.25"/>
    <row r="987" s="82" customFormat="1" x14ac:dyDescent="0.25"/>
    <row r="988" s="82" customFormat="1" x14ac:dyDescent="0.25"/>
    <row r="989" s="82" customFormat="1" x14ac:dyDescent="0.25"/>
    <row r="990" s="82" customFormat="1" x14ac:dyDescent="0.25"/>
    <row r="991" s="82" customFormat="1" x14ac:dyDescent="0.25"/>
    <row r="992" s="82" customFormat="1" x14ac:dyDescent="0.25"/>
    <row r="993" s="82" customFormat="1" x14ac:dyDescent="0.25"/>
    <row r="994" s="82" customFormat="1" x14ac:dyDescent="0.25"/>
    <row r="995" s="82" customFormat="1" x14ac:dyDescent="0.25"/>
    <row r="996" s="82" customFormat="1" x14ac:dyDescent="0.25"/>
    <row r="997" s="82" customFormat="1" x14ac:dyDescent="0.25"/>
    <row r="998" s="82" customFormat="1" x14ac:dyDescent="0.25"/>
    <row r="999" s="82" customFormat="1" x14ac:dyDescent="0.25"/>
    <row r="1000" s="82" customFormat="1" x14ac:dyDescent="0.25"/>
    <row r="1001" s="82" customFormat="1" x14ac:dyDescent="0.25"/>
    <row r="1002" s="82" customFormat="1" x14ac:dyDescent="0.25"/>
    <row r="1003" s="82" customFormat="1" x14ac:dyDescent="0.25"/>
    <row r="1004" s="82" customFormat="1" x14ac:dyDescent="0.25"/>
    <row r="1005" s="82" customFormat="1" x14ac:dyDescent="0.25"/>
    <row r="1006" s="82" customFormat="1" x14ac:dyDescent="0.25"/>
    <row r="1007" s="82" customFormat="1" x14ac:dyDescent="0.25"/>
    <row r="1008" s="82" customFormat="1" x14ac:dyDescent="0.25"/>
    <row r="1009" s="82" customFormat="1" x14ac:dyDescent="0.25"/>
    <row r="1010" s="82" customFormat="1" x14ac:dyDescent="0.25"/>
    <row r="1011" s="82" customFormat="1" x14ac:dyDescent="0.25"/>
    <row r="1012" s="82" customFormat="1" x14ac:dyDescent="0.25"/>
    <row r="1013" s="82" customFormat="1" x14ac:dyDescent="0.25"/>
    <row r="1014" s="82" customFormat="1" x14ac:dyDescent="0.25"/>
    <row r="1015" s="82" customFormat="1" x14ac:dyDescent="0.25"/>
    <row r="1016" s="82" customFormat="1" x14ac:dyDescent="0.25"/>
    <row r="1017" s="82" customFormat="1" x14ac:dyDescent="0.25"/>
    <row r="1018" s="82" customFormat="1" x14ac:dyDescent="0.25"/>
    <row r="1019" s="82" customFormat="1" x14ac:dyDescent="0.25"/>
    <row r="1020" s="82" customFormat="1" x14ac:dyDescent="0.25"/>
    <row r="1021" s="82" customFormat="1" x14ac:dyDescent="0.25"/>
    <row r="1022" s="82" customFormat="1" x14ac:dyDescent="0.25"/>
    <row r="1023" s="82" customFormat="1" x14ac:dyDescent="0.25"/>
    <row r="1024" s="82" customFormat="1" x14ac:dyDescent="0.25"/>
    <row r="1025" s="82" customFormat="1" x14ac:dyDescent="0.25"/>
    <row r="1026" s="82" customFormat="1" x14ac:dyDescent="0.25"/>
    <row r="1027" s="82" customFormat="1" x14ac:dyDescent="0.25"/>
    <row r="1028" s="82" customFormat="1" x14ac:dyDescent="0.25"/>
    <row r="1029" s="82" customFormat="1" x14ac:dyDescent="0.25"/>
    <row r="1030" s="82" customFormat="1" x14ac:dyDescent="0.25"/>
    <row r="1031" s="82" customFormat="1" x14ac:dyDescent="0.25"/>
    <row r="1032" s="82" customFormat="1" x14ac:dyDescent="0.25"/>
    <row r="1033" s="82" customFormat="1" x14ac:dyDescent="0.25"/>
    <row r="1034" s="82" customFormat="1" x14ac:dyDescent="0.25"/>
    <row r="1035" s="82" customFormat="1" x14ac:dyDescent="0.25"/>
    <row r="1036" s="82" customFormat="1" x14ac:dyDescent="0.25"/>
    <row r="1037" s="82" customFormat="1" x14ac:dyDescent="0.25"/>
    <row r="1038" s="82" customFormat="1" x14ac:dyDescent="0.25"/>
    <row r="1039" s="82" customFormat="1" x14ac:dyDescent="0.25"/>
    <row r="1040" s="82" customFormat="1" x14ac:dyDescent="0.25"/>
    <row r="1041" s="82" customFormat="1" x14ac:dyDescent="0.25"/>
    <row r="1042" s="82" customFormat="1" x14ac:dyDescent="0.25"/>
    <row r="1043" s="82" customFormat="1" x14ac:dyDescent="0.25"/>
    <row r="1044" s="82" customFormat="1" x14ac:dyDescent="0.25"/>
    <row r="1045" s="82" customFormat="1" x14ac:dyDescent="0.25"/>
    <row r="1046" s="82" customFormat="1" x14ac:dyDescent="0.25"/>
    <row r="1047" s="82" customFormat="1" x14ac:dyDescent="0.25"/>
    <row r="1048" s="82" customFormat="1" x14ac:dyDescent="0.25"/>
    <row r="1049" s="82" customFormat="1" x14ac:dyDescent="0.25"/>
    <row r="1050" s="82" customFormat="1" x14ac:dyDescent="0.25"/>
    <row r="1051" s="82" customFormat="1" x14ac:dyDescent="0.25"/>
    <row r="1052" s="82" customFormat="1" x14ac:dyDescent="0.25"/>
    <row r="1053" s="82" customFormat="1" x14ac:dyDescent="0.25"/>
    <row r="1054" s="82" customFormat="1" x14ac:dyDescent="0.25"/>
    <row r="1055" s="82" customFormat="1" x14ac:dyDescent="0.25"/>
    <row r="1056" s="82" customFormat="1" x14ac:dyDescent="0.25"/>
    <row r="1057" s="82" customFormat="1" x14ac:dyDescent="0.25"/>
    <row r="1058" s="82" customFormat="1" x14ac:dyDescent="0.25"/>
    <row r="1059" s="82" customFormat="1" x14ac:dyDescent="0.25"/>
    <row r="1060" s="82" customFormat="1" x14ac:dyDescent="0.25"/>
    <row r="1061" s="82" customFormat="1" x14ac:dyDescent="0.25"/>
    <row r="1062" s="82" customFormat="1" x14ac:dyDescent="0.25"/>
    <row r="1063" s="82" customFormat="1" x14ac:dyDescent="0.25"/>
    <row r="1064" s="82" customFormat="1" x14ac:dyDescent="0.25"/>
  </sheetData>
  <sheetProtection algorithmName="SHA-512" hashValue="oJDLPcfgns1mo3Ot+UXnbN0rTwYT31fyFirnWoAbQDVUjtKCTmQ2LAjkjO5xEHOTg05XujDYlzwe10VYHBbAoQ==" saltValue="VaAx+9IruATU0OD03UKA5w==" spinCount="100000" sheet="1" selectLockedCells="1"/>
  <mergeCells count="3">
    <mergeCell ref="B2:N2"/>
    <mergeCell ref="B3:C3"/>
    <mergeCell ref="D3:I4"/>
  </mergeCells>
  <dataValidations count="2">
    <dataValidation type="list" allowBlank="1" showInputMessage="1" showErrorMessage="1" sqref="H8:H15" xr:uid="{A6A3A240-39A4-40D6-ABD8-3505AFD950A8}">
      <formula1>$G$19:$G$20</formula1>
    </dataValidation>
    <dataValidation type="list" allowBlank="1" showInputMessage="1" showErrorMessage="1" sqref="D8:D15" xr:uid="{E7F5401C-A702-4098-B34C-63229962A867}">
      <formula1>$I$22:$I$23</formula1>
    </dataValidation>
  </dataValidations>
  <hyperlinks>
    <hyperlink ref="B3" location="'Calculator Index'!A1" display="Return to Index" xr:uid="{90A7FCF3-78BA-485C-841F-FF709294C3D5}"/>
    <hyperlink ref="B3:C3" location="'Project Summary'!A1" display="Return to Project Summary" xr:uid="{498071C6-ED65-4D32-A7F4-0BB12FD43A2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005a5e-b873-4d56-90cc-bf1faaca0594" xsi:nil="true"/>
    <lcf76f155ced4ddcb4097134ff3c332f xmlns="f10523b9-4ad1-4ffe-b1f7-9fba4c9e70d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F912FBBFC2614E93178D43E62ED17B" ma:contentTypeVersion="" ma:contentTypeDescription="Create a new document." ma:contentTypeScope="" ma:versionID="10f22629883bab63e7425ab3cc37c3e0">
  <xsd:schema xmlns:xsd="http://www.w3.org/2001/XMLSchema" xmlns:xs="http://www.w3.org/2001/XMLSchema" xmlns:p="http://schemas.microsoft.com/office/2006/metadata/properties" xmlns:ns2="f10523b9-4ad1-4ffe-b1f7-9fba4c9e70d2" xmlns:ns3="2f67128d-2aca-45c2-84bc-d83c659981e2" xmlns:ns4="92005a5e-b873-4d56-90cc-bf1faaca0594" targetNamespace="http://schemas.microsoft.com/office/2006/metadata/properties" ma:root="true" ma:fieldsID="9e7ddd711ef7352ba7bce87c647fe64a" ns2:_="" ns3:_="" ns4:_="">
    <xsd:import namespace="f10523b9-4ad1-4ffe-b1f7-9fba4c9e70d2"/>
    <xsd:import namespace="2f67128d-2aca-45c2-84bc-d83c659981e2"/>
    <xsd:import namespace="92005a5e-b873-4d56-90cc-bf1faaca05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523b9-4ad1-4ffe-b1f7-9fba4c9e7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7128d-2aca-45c2-84bc-d83c65998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05a5e-b873-4d56-90cc-bf1faaca05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D4FB1C-21CE-4BAC-A5F2-874CEEC89BA5}" ma:internalName="TaxCatchAll" ma:showField="CatchAllData" ma:web="{3dad34dd-4303-413c-a67b-6b465affe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CBCAE7-E8C9-4712-B541-9CE87E57FB3F}">
  <ds:schemaRefs>
    <ds:schemaRef ds:uri="http://schemas.microsoft.com/office/2006/metadata/properties"/>
    <ds:schemaRef ds:uri="http://schemas.microsoft.com/office/infopath/2007/PartnerControls"/>
    <ds:schemaRef ds:uri="92005a5e-b873-4d56-90cc-bf1faaca0594"/>
    <ds:schemaRef ds:uri="f10523b9-4ad1-4ffe-b1f7-9fba4c9e70d2"/>
  </ds:schemaRefs>
</ds:datastoreItem>
</file>

<file path=customXml/itemProps2.xml><?xml version="1.0" encoding="utf-8"?>
<ds:datastoreItem xmlns:ds="http://schemas.openxmlformats.org/officeDocument/2006/customXml" ds:itemID="{149B61E3-47B6-406B-82DD-1CCF0B0B6B27}">
  <ds:schemaRefs>
    <ds:schemaRef ds:uri="http://schemas.microsoft.com/sharepoint/v3/contenttype/forms"/>
  </ds:schemaRefs>
</ds:datastoreItem>
</file>

<file path=customXml/itemProps3.xml><?xml version="1.0" encoding="utf-8"?>
<ds:datastoreItem xmlns:ds="http://schemas.openxmlformats.org/officeDocument/2006/customXml" ds:itemID="{20208698-E230-4E3C-AF2D-BFD5756728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523b9-4ad1-4ffe-b1f7-9fba4c9e70d2"/>
    <ds:schemaRef ds:uri="2f67128d-2aca-45c2-84bc-d83c659981e2"/>
    <ds:schemaRef ds:uri="92005a5e-b873-4d56-90cc-bf1faaca0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Engineering Log</vt:lpstr>
      <vt:lpstr>Instructions</vt:lpstr>
      <vt:lpstr>Project Summary</vt:lpstr>
      <vt:lpstr>Commercial Refrigerators</vt:lpstr>
      <vt:lpstr>Commercial Freezers</vt:lpstr>
      <vt:lpstr>Ice Machines</vt:lpstr>
      <vt:lpstr>Combination Ovens</vt:lpstr>
      <vt:lpstr>Convection Ovens</vt:lpstr>
      <vt:lpstr>Steam Cookers</vt:lpstr>
      <vt:lpstr>Fryers</vt:lpstr>
      <vt:lpstr>Griddles</vt:lpstr>
      <vt:lpstr>Hot Food Holding Cabinets</vt:lpstr>
      <vt:lpstr>Commerical Dishwasher</vt:lpstr>
      <vt:lpstr>Pre Rinse Sprayers</vt:lpstr>
      <vt:lpstr>Vending Controls</vt:lpstr>
      <vt:lpstr>Night Covers</vt:lpstr>
      <vt:lpstr>Strip Curtains</vt:lpstr>
      <vt:lpstr>Anti-Sweat Heaters</vt:lpstr>
      <vt:lpstr>Vending Machines</vt:lpstr>
      <vt:lpstr>ECM Evap Fan Motor</vt:lpstr>
      <vt:lpstr>Evap Motor Control</vt:lpstr>
      <vt:lpstr>Adding Doors</vt:lpstr>
      <vt:lpstr>Auto Door Closers</vt:lpstr>
      <vt:lpstr>Door Gaskets</vt:lpstr>
      <vt:lpstr>Evap Defrost Control</vt:lpstr>
    </vt:vector>
  </TitlesOfParts>
  <Manager/>
  <Company>Roth Bros. Inc. a Sodexo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Jacob Steele</cp:lastModifiedBy>
  <cp:revision/>
  <dcterms:created xsi:type="dcterms:W3CDTF">2016-02-04T20:46:02Z</dcterms:created>
  <dcterms:modified xsi:type="dcterms:W3CDTF">2025-08-26T18:32:17Z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0x010100FAF912FBBFC2614E93178D43E62ED17B</vt:lpwstr>
  </property>
  <property fmtid="{D5CDD505-2E9C-101B-9397-08002B2CF9AE}" pid="3" name="MediaServiceImageTags">
    <vt:lpwstr/>
  </property>
</Properties>
</file>