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franklinenergy-my.sharepoint.com/personal/jsteele_franklinenergy_com/Documents/Reference Material/71525_calc_updates/Final - Locked/"/>
    </mc:Choice>
  </mc:AlternateContent>
  <xr:revisionPtr revIDLastSave="225" documentId="8_{5EAECA5C-8970-4310-B56F-01052FB91E89}" xr6:coauthVersionLast="47" xr6:coauthVersionMax="47" xr10:uidLastSave="{C43A6DD3-DBA7-45A5-8A23-7608EAD520A3}"/>
  <bookViews>
    <workbookView xWindow="28680" yWindow="-120" windowWidth="29040" windowHeight="15720" firstSheet="2" activeTab="2" xr2:uid="{55AB2860-669C-445E-9717-08BCE457576B}"/>
  </bookViews>
  <sheets>
    <sheet name="Manual" sheetId="6" state="hidden" r:id="rId1"/>
    <sheet name="Changelog" sheetId="7" state="hidden" r:id="rId2"/>
    <sheet name="Summary" sheetId="8" r:id="rId3"/>
    <sheet name="3.3.2 VFD Improvements" sheetId="4" r:id="rId4"/>
    <sheet name="3.3.1 Premium Efficiency Motors" sheetId="1" state="hidden" r:id="rId5"/>
    <sheet name="VFD Custom Load Profile" sheetId="5" r:id="rId6"/>
    <sheet name="Lookups" sheetId="2" state="hidden" r:id="rId7"/>
  </sheets>
  <definedNames>
    <definedName name="Changelog">Changelog!$A$1</definedName>
    <definedName name="Coincidence">Lookups!$AM$7:$AQ$152</definedName>
    <definedName name="Manual">Manual!$A$1</definedName>
    <definedName name="Manual_1">Manual!$A$12</definedName>
    <definedName name="Manual_2">Manual!$A$18</definedName>
    <definedName name="Manual_3">Manual!$A$71</definedName>
    <definedName name="Manual_4">Manual!$A$96</definedName>
    <definedName name="Motor_HOU">Lookups!$AB$7:$AF$152</definedName>
    <definedName name="NEMA_Design_A_or_B">Lookups!$H$10:$O$37</definedName>
    <definedName name="NEMA_Design_C">Lookups!$R$10:$W$31</definedName>
    <definedName name="VFD_Load_Profiles">Lookups!$AU$7:$BE$18</definedName>
    <definedName name="VFD_Power_Profiles">Lookups!$AU$27:$BE$36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2" i="8" l="1"/>
  <c r="F13" i="2" s="1"/>
  <c r="F12" i="2" l="1"/>
  <c r="F7" i="2"/>
  <c r="F8" i="2"/>
  <c r="F9" i="2"/>
  <c r="F10" i="2"/>
  <c r="F11" i="2"/>
  <c r="BI11" i="4" l="1"/>
  <c r="BI12" i="4"/>
  <c r="BI13" i="4"/>
  <c r="BI14" i="4"/>
  <c r="BI15" i="4"/>
  <c r="BI16" i="4"/>
  <c r="BI17" i="4"/>
  <c r="BI18" i="4"/>
  <c r="BI19" i="4"/>
  <c r="BH11" i="4"/>
  <c r="BH12" i="4"/>
  <c r="BH13" i="4"/>
  <c r="BH14" i="4"/>
  <c r="BH15" i="4"/>
  <c r="BH16" i="4"/>
  <c r="BH17" i="4"/>
  <c r="BH18" i="4"/>
  <c r="BH19" i="4"/>
  <c r="BG11" i="4"/>
  <c r="BG12" i="4"/>
  <c r="BG13" i="4"/>
  <c r="BG14" i="4"/>
  <c r="BG15" i="4"/>
  <c r="BG16" i="4"/>
  <c r="BG17" i="4"/>
  <c r="BG18" i="4"/>
  <c r="BG19" i="4"/>
  <c r="K11" i="4" l="1"/>
  <c r="K12" i="4"/>
  <c r="K13" i="4"/>
  <c r="K14" i="4"/>
  <c r="K15" i="4"/>
  <c r="K16" i="4"/>
  <c r="K17" i="4"/>
  <c r="K18" i="4"/>
  <c r="K19" i="4"/>
  <c r="K10" i="4"/>
  <c r="M11" i="4"/>
  <c r="M12" i="4"/>
  <c r="M13" i="4"/>
  <c r="M14" i="4"/>
  <c r="M15" i="4"/>
  <c r="M16" i="4"/>
  <c r="M17" i="4"/>
  <c r="M18" i="4"/>
  <c r="M19" i="4"/>
  <c r="M10" i="4"/>
  <c r="BJ11" i="4"/>
  <c r="BJ12" i="4"/>
  <c r="BJ13" i="4"/>
  <c r="BJ14" i="4"/>
  <c r="BJ15" i="4"/>
  <c r="BJ16" i="4"/>
  <c r="BJ17" i="4"/>
  <c r="BJ18" i="4"/>
  <c r="BJ19" i="4"/>
  <c r="BJ10" i="4"/>
  <c r="R10" i="4"/>
  <c r="R11" i="4"/>
  <c r="R12" i="4"/>
  <c r="R13" i="4"/>
  <c r="R14" i="4"/>
  <c r="R15" i="4"/>
  <c r="R16" i="4"/>
  <c r="R17" i="4"/>
  <c r="R18" i="4"/>
  <c r="R19" i="4"/>
  <c r="J11" i="4"/>
  <c r="J12" i="4"/>
  <c r="J13" i="4"/>
  <c r="J14" i="4"/>
  <c r="J15" i="4"/>
  <c r="J16" i="4"/>
  <c r="J17" i="4"/>
  <c r="J18" i="4"/>
  <c r="J19" i="4"/>
  <c r="J10" i="4" l="1"/>
  <c r="C15" i="8" l="1"/>
  <c r="AM8" i="2" l="1"/>
  <c r="AN8" i="2"/>
  <c r="AO8" i="2"/>
  <c r="AP8" i="2"/>
  <c r="AQ8" i="2"/>
  <c r="AM9" i="2"/>
  <c r="AN9" i="2"/>
  <c r="AO9" i="2"/>
  <c r="AP9" i="2"/>
  <c r="AQ9" i="2"/>
  <c r="AM10" i="2"/>
  <c r="AN10" i="2"/>
  <c r="AO10" i="2"/>
  <c r="AP10" i="2"/>
  <c r="AQ10" i="2"/>
  <c r="AM11" i="2"/>
  <c r="AN11" i="2"/>
  <c r="AO11" i="2"/>
  <c r="AP11" i="2"/>
  <c r="AQ11" i="2"/>
  <c r="AM12" i="2"/>
  <c r="AN12" i="2"/>
  <c r="AO12" i="2"/>
  <c r="AP12" i="2"/>
  <c r="AQ12" i="2"/>
  <c r="AM13" i="2"/>
  <c r="AN13" i="2"/>
  <c r="AO13" i="2"/>
  <c r="AP13" i="2"/>
  <c r="AQ13" i="2"/>
  <c r="AM14" i="2"/>
  <c r="AN14" i="2"/>
  <c r="AO14" i="2"/>
  <c r="AP14" i="2"/>
  <c r="AQ14" i="2"/>
  <c r="AM15" i="2"/>
  <c r="AN15" i="2"/>
  <c r="AO15" i="2"/>
  <c r="AP15" i="2"/>
  <c r="AQ15" i="2"/>
  <c r="AM16" i="2"/>
  <c r="AN16" i="2"/>
  <c r="AO16" i="2"/>
  <c r="AP16" i="2"/>
  <c r="AQ16" i="2"/>
  <c r="AM17" i="2"/>
  <c r="AN17" i="2"/>
  <c r="AO17" i="2"/>
  <c r="AP17" i="2"/>
  <c r="AQ17" i="2"/>
  <c r="AM18" i="2"/>
  <c r="AN18" i="2"/>
  <c r="AO18" i="2"/>
  <c r="AP18" i="2"/>
  <c r="AQ18" i="2"/>
  <c r="AM19" i="2"/>
  <c r="AN19" i="2"/>
  <c r="AO19" i="2"/>
  <c r="AP19" i="2"/>
  <c r="AQ19" i="2"/>
  <c r="AM20" i="2"/>
  <c r="AN20" i="2"/>
  <c r="AO20" i="2"/>
  <c r="AP20" i="2"/>
  <c r="AQ20" i="2"/>
  <c r="AM21" i="2"/>
  <c r="AN21" i="2"/>
  <c r="AO21" i="2"/>
  <c r="AP21" i="2"/>
  <c r="AQ21" i="2"/>
  <c r="AM22" i="2"/>
  <c r="AN22" i="2"/>
  <c r="AO22" i="2"/>
  <c r="AP22" i="2"/>
  <c r="AQ22" i="2"/>
  <c r="AM23" i="2"/>
  <c r="AN23" i="2"/>
  <c r="AO23" i="2"/>
  <c r="AP23" i="2"/>
  <c r="AQ23" i="2"/>
  <c r="AM24" i="2"/>
  <c r="AN24" i="2"/>
  <c r="AO24" i="2"/>
  <c r="AP24" i="2"/>
  <c r="AQ24" i="2"/>
  <c r="AM25" i="2"/>
  <c r="AN25" i="2"/>
  <c r="AO25" i="2"/>
  <c r="AP25" i="2"/>
  <c r="AQ25" i="2"/>
  <c r="AM26" i="2"/>
  <c r="AN26" i="2"/>
  <c r="AO26" i="2"/>
  <c r="AP26" i="2"/>
  <c r="AQ26" i="2"/>
  <c r="AM27" i="2"/>
  <c r="AN27" i="2"/>
  <c r="AO27" i="2"/>
  <c r="AP27" i="2"/>
  <c r="AQ27" i="2"/>
  <c r="AM28" i="2"/>
  <c r="AN28" i="2"/>
  <c r="AO28" i="2"/>
  <c r="AP28" i="2"/>
  <c r="AQ28" i="2"/>
  <c r="AM29" i="2"/>
  <c r="AN29" i="2"/>
  <c r="AO29" i="2"/>
  <c r="AP29" i="2"/>
  <c r="AQ29" i="2"/>
  <c r="AM30" i="2"/>
  <c r="AN30" i="2"/>
  <c r="AO30" i="2"/>
  <c r="AP30" i="2"/>
  <c r="AQ30" i="2"/>
  <c r="AM31" i="2"/>
  <c r="AN31" i="2"/>
  <c r="AO31" i="2"/>
  <c r="AP31" i="2"/>
  <c r="AQ31" i="2"/>
  <c r="AM32" i="2"/>
  <c r="AN32" i="2"/>
  <c r="AO32" i="2"/>
  <c r="AP32" i="2"/>
  <c r="AQ32" i="2"/>
  <c r="AM33" i="2"/>
  <c r="AN33" i="2"/>
  <c r="AO33" i="2"/>
  <c r="AP33" i="2"/>
  <c r="AQ33" i="2"/>
  <c r="AM34" i="2"/>
  <c r="AN34" i="2"/>
  <c r="AO34" i="2"/>
  <c r="AP34" i="2"/>
  <c r="AQ34" i="2"/>
  <c r="AM35" i="2"/>
  <c r="AN35" i="2"/>
  <c r="AO35" i="2"/>
  <c r="AP35" i="2"/>
  <c r="AQ35" i="2"/>
  <c r="AM36" i="2"/>
  <c r="AN36" i="2"/>
  <c r="AO36" i="2"/>
  <c r="AP36" i="2"/>
  <c r="AQ36" i="2"/>
  <c r="AM37" i="2"/>
  <c r="AN37" i="2"/>
  <c r="AO37" i="2"/>
  <c r="AP37" i="2"/>
  <c r="AQ37" i="2"/>
  <c r="AM38" i="2"/>
  <c r="AN38" i="2"/>
  <c r="AO38" i="2"/>
  <c r="AP38" i="2"/>
  <c r="AQ38" i="2"/>
  <c r="AM39" i="2"/>
  <c r="AN39" i="2"/>
  <c r="AO39" i="2"/>
  <c r="AP39" i="2"/>
  <c r="AQ39" i="2"/>
  <c r="AM40" i="2"/>
  <c r="AN40" i="2"/>
  <c r="AO40" i="2"/>
  <c r="AP40" i="2"/>
  <c r="AQ40" i="2"/>
  <c r="AM41" i="2"/>
  <c r="AN41" i="2"/>
  <c r="AO41" i="2"/>
  <c r="AP41" i="2"/>
  <c r="AQ41" i="2"/>
  <c r="AM42" i="2"/>
  <c r="AN42" i="2"/>
  <c r="AO42" i="2"/>
  <c r="AP42" i="2"/>
  <c r="AQ42" i="2"/>
  <c r="AM43" i="2"/>
  <c r="AN43" i="2"/>
  <c r="AO43" i="2"/>
  <c r="AP43" i="2"/>
  <c r="AQ43" i="2"/>
  <c r="AM44" i="2"/>
  <c r="AN44" i="2"/>
  <c r="AO44" i="2"/>
  <c r="AP44" i="2"/>
  <c r="AQ44" i="2"/>
  <c r="AM45" i="2"/>
  <c r="AN45" i="2"/>
  <c r="AO45" i="2"/>
  <c r="AP45" i="2"/>
  <c r="AQ45" i="2"/>
  <c r="AM46" i="2"/>
  <c r="AN46" i="2"/>
  <c r="AO46" i="2"/>
  <c r="AP46" i="2"/>
  <c r="AQ46" i="2"/>
  <c r="AM47" i="2"/>
  <c r="AN47" i="2"/>
  <c r="AO47" i="2"/>
  <c r="AP47" i="2"/>
  <c r="AQ47" i="2"/>
  <c r="AM48" i="2"/>
  <c r="AN48" i="2"/>
  <c r="AO48" i="2"/>
  <c r="AP48" i="2"/>
  <c r="AQ48" i="2"/>
  <c r="AM49" i="2"/>
  <c r="AN49" i="2"/>
  <c r="AO49" i="2"/>
  <c r="AP49" i="2"/>
  <c r="AQ49" i="2"/>
  <c r="AM50" i="2"/>
  <c r="AN50" i="2"/>
  <c r="AO50" i="2"/>
  <c r="AP50" i="2"/>
  <c r="AQ50" i="2"/>
  <c r="AM51" i="2"/>
  <c r="AN51" i="2"/>
  <c r="AO51" i="2"/>
  <c r="AP51" i="2"/>
  <c r="AQ51" i="2"/>
  <c r="AM52" i="2"/>
  <c r="AN52" i="2"/>
  <c r="AO52" i="2"/>
  <c r="AP52" i="2"/>
  <c r="AQ52" i="2"/>
  <c r="AM53" i="2"/>
  <c r="AN53" i="2"/>
  <c r="AO53" i="2"/>
  <c r="AP53" i="2"/>
  <c r="AQ53" i="2"/>
  <c r="AM54" i="2"/>
  <c r="AN54" i="2"/>
  <c r="AO54" i="2"/>
  <c r="AP54" i="2"/>
  <c r="AQ54" i="2"/>
  <c r="AM55" i="2"/>
  <c r="AN55" i="2"/>
  <c r="AO55" i="2"/>
  <c r="AP55" i="2"/>
  <c r="AQ55" i="2"/>
  <c r="AM56" i="2"/>
  <c r="AN56" i="2"/>
  <c r="AO56" i="2"/>
  <c r="AP56" i="2"/>
  <c r="AQ56" i="2"/>
  <c r="AM57" i="2"/>
  <c r="AN57" i="2"/>
  <c r="AO57" i="2"/>
  <c r="AP57" i="2"/>
  <c r="AQ57" i="2"/>
  <c r="AM58" i="2"/>
  <c r="AN58" i="2"/>
  <c r="AO58" i="2"/>
  <c r="AP58" i="2"/>
  <c r="AQ58" i="2"/>
  <c r="AM59" i="2"/>
  <c r="AN59" i="2"/>
  <c r="AO59" i="2"/>
  <c r="AP59" i="2"/>
  <c r="AQ59" i="2"/>
  <c r="AM60" i="2"/>
  <c r="AN60" i="2"/>
  <c r="AO60" i="2"/>
  <c r="AP60" i="2"/>
  <c r="AQ60" i="2"/>
  <c r="AM61" i="2"/>
  <c r="AN61" i="2"/>
  <c r="AO61" i="2"/>
  <c r="AP61" i="2"/>
  <c r="AQ61" i="2"/>
  <c r="AM62" i="2"/>
  <c r="AN62" i="2"/>
  <c r="AO62" i="2"/>
  <c r="AP62" i="2"/>
  <c r="AQ62" i="2"/>
  <c r="AM63" i="2"/>
  <c r="AN63" i="2"/>
  <c r="AO63" i="2"/>
  <c r="AP63" i="2"/>
  <c r="AQ63" i="2"/>
  <c r="AM64" i="2"/>
  <c r="AN64" i="2"/>
  <c r="AO64" i="2"/>
  <c r="AP64" i="2"/>
  <c r="AQ64" i="2"/>
  <c r="AM65" i="2"/>
  <c r="AN65" i="2"/>
  <c r="AO65" i="2"/>
  <c r="AP65" i="2"/>
  <c r="AQ65" i="2"/>
  <c r="AM66" i="2"/>
  <c r="AN66" i="2"/>
  <c r="AO66" i="2"/>
  <c r="AP66" i="2"/>
  <c r="AQ66" i="2"/>
  <c r="AM67" i="2"/>
  <c r="AN67" i="2"/>
  <c r="AO67" i="2"/>
  <c r="AP67" i="2"/>
  <c r="AQ67" i="2"/>
  <c r="AM68" i="2"/>
  <c r="AN68" i="2"/>
  <c r="AO68" i="2"/>
  <c r="AP68" i="2"/>
  <c r="AQ68" i="2"/>
  <c r="AM69" i="2"/>
  <c r="AN69" i="2"/>
  <c r="AO69" i="2"/>
  <c r="AP69" i="2"/>
  <c r="AQ69" i="2"/>
  <c r="AM70" i="2"/>
  <c r="AN70" i="2"/>
  <c r="AO70" i="2"/>
  <c r="AP70" i="2"/>
  <c r="AQ70" i="2"/>
  <c r="AM71" i="2"/>
  <c r="AN71" i="2"/>
  <c r="AO71" i="2"/>
  <c r="AP71" i="2"/>
  <c r="AQ71" i="2"/>
  <c r="AM72" i="2"/>
  <c r="AN72" i="2"/>
  <c r="AO72" i="2"/>
  <c r="AP72" i="2"/>
  <c r="AQ72" i="2"/>
  <c r="AM73" i="2"/>
  <c r="AN73" i="2"/>
  <c r="AO73" i="2"/>
  <c r="AP73" i="2"/>
  <c r="AQ73" i="2"/>
  <c r="AM74" i="2"/>
  <c r="AN74" i="2"/>
  <c r="AO74" i="2"/>
  <c r="AP74" i="2"/>
  <c r="AQ74" i="2"/>
  <c r="AM75" i="2"/>
  <c r="AN75" i="2"/>
  <c r="AO75" i="2"/>
  <c r="AP75" i="2"/>
  <c r="AQ75" i="2"/>
  <c r="AM76" i="2"/>
  <c r="AN76" i="2"/>
  <c r="AO76" i="2"/>
  <c r="AP76" i="2"/>
  <c r="AQ76" i="2"/>
  <c r="AM77" i="2"/>
  <c r="AN77" i="2"/>
  <c r="AO77" i="2"/>
  <c r="AP77" i="2"/>
  <c r="AQ77" i="2"/>
  <c r="AM78" i="2"/>
  <c r="AN78" i="2"/>
  <c r="AO78" i="2"/>
  <c r="AP78" i="2"/>
  <c r="AQ78" i="2"/>
  <c r="AM79" i="2"/>
  <c r="AN79" i="2"/>
  <c r="AO79" i="2"/>
  <c r="AP79" i="2"/>
  <c r="AQ79" i="2"/>
  <c r="AM80" i="2"/>
  <c r="AN80" i="2"/>
  <c r="AO80" i="2"/>
  <c r="AP80" i="2"/>
  <c r="AQ80" i="2"/>
  <c r="AM81" i="2"/>
  <c r="AN81" i="2"/>
  <c r="AO81" i="2"/>
  <c r="AP81" i="2"/>
  <c r="AQ81" i="2"/>
  <c r="AM82" i="2"/>
  <c r="AN82" i="2"/>
  <c r="AO82" i="2"/>
  <c r="AP82" i="2"/>
  <c r="AQ82" i="2"/>
  <c r="AM83" i="2"/>
  <c r="AN83" i="2"/>
  <c r="AO83" i="2"/>
  <c r="AP83" i="2"/>
  <c r="AQ83" i="2"/>
  <c r="AM84" i="2"/>
  <c r="AN84" i="2"/>
  <c r="AO84" i="2"/>
  <c r="AP84" i="2"/>
  <c r="AQ84" i="2"/>
  <c r="AM85" i="2"/>
  <c r="AN85" i="2"/>
  <c r="AO85" i="2"/>
  <c r="AP85" i="2"/>
  <c r="AQ85" i="2"/>
  <c r="AM86" i="2"/>
  <c r="AN86" i="2"/>
  <c r="AO86" i="2"/>
  <c r="AP86" i="2"/>
  <c r="AQ86" i="2"/>
  <c r="AM87" i="2"/>
  <c r="AN87" i="2"/>
  <c r="AO87" i="2"/>
  <c r="AP87" i="2"/>
  <c r="AQ87" i="2"/>
  <c r="AM88" i="2"/>
  <c r="AN88" i="2"/>
  <c r="AO88" i="2"/>
  <c r="AP88" i="2"/>
  <c r="AQ88" i="2"/>
  <c r="AM89" i="2"/>
  <c r="AN89" i="2"/>
  <c r="AO89" i="2"/>
  <c r="AP89" i="2"/>
  <c r="AQ89" i="2"/>
  <c r="AM90" i="2"/>
  <c r="AN90" i="2"/>
  <c r="AO90" i="2"/>
  <c r="AP90" i="2"/>
  <c r="AQ90" i="2"/>
  <c r="AM91" i="2"/>
  <c r="AN91" i="2"/>
  <c r="AO91" i="2"/>
  <c r="AP91" i="2"/>
  <c r="AQ91" i="2"/>
  <c r="AM92" i="2"/>
  <c r="AN92" i="2"/>
  <c r="AO92" i="2"/>
  <c r="AP92" i="2"/>
  <c r="AQ92" i="2"/>
  <c r="AM93" i="2"/>
  <c r="AN93" i="2"/>
  <c r="AO93" i="2"/>
  <c r="AP93" i="2"/>
  <c r="AQ93" i="2"/>
  <c r="AM94" i="2"/>
  <c r="AN94" i="2"/>
  <c r="AO94" i="2"/>
  <c r="AP94" i="2"/>
  <c r="AQ94" i="2"/>
  <c r="AM95" i="2"/>
  <c r="AN95" i="2"/>
  <c r="AO95" i="2"/>
  <c r="AP95" i="2"/>
  <c r="AQ95" i="2"/>
  <c r="AM96" i="2"/>
  <c r="AN96" i="2"/>
  <c r="AO96" i="2"/>
  <c r="AP96" i="2"/>
  <c r="AQ96" i="2"/>
  <c r="AM97" i="2"/>
  <c r="AN97" i="2"/>
  <c r="AO97" i="2"/>
  <c r="AP97" i="2"/>
  <c r="AQ97" i="2"/>
  <c r="AM98" i="2"/>
  <c r="AN98" i="2"/>
  <c r="AO98" i="2"/>
  <c r="AP98" i="2"/>
  <c r="AQ98" i="2"/>
  <c r="AM99" i="2"/>
  <c r="AN99" i="2"/>
  <c r="AO99" i="2"/>
  <c r="AP99" i="2"/>
  <c r="AQ99" i="2"/>
  <c r="AM100" i="2"/>
  <c r="AN100" i="2"/>
  <c r="AO100" i="2"/>
  <c r="AP100" i="2"/>
  <c r="AQ100" i="2"/>
  <c r="AM101" i="2"/>
  <c r="AN101" i="2"/>
  <c r="AO101" i="2"/>
  <c r="AP101" i="2"/>
  <c r="AQ101" i="2"/>
  <c r="AM102" i="2"/>
  <c r="AN102" i="2"/>
  <c r="AO102" i="2"/>
  <c r="AP102" i="2"/>
  <c r="AQ102" i="2"/>
  <c r="AM103" i="2"/>
  <c r="AN103" i="2"/>
  <c r="AO103" i="2"/>
  <c r="AP103" i="2"/>
  <c r="AQ103" i="2"/>
  <c r="AM104" i="2"/>
  <c r="AN104" i="2"/>
  <c r="AO104" i="2"/>
  <c r="AP104" i="2"/>
  <c r="AQ104" i="2"/>
  <c r="AM105" i="2"/>
  <c r="AN105" i="2"/>
  <c r="AO105" i="2"/>
  <c r="AP105" i="2"/>
  <c r="AQ105" i="2"/>
  <c r="AM106" i="2"/>
  <c r="AN106" i="2"/>
  <c r="AO106" i="2"/>
  <c r="AP106" i="2"/>
  <c r="AQ106" i="2"/>
  <c r="AM107" i="2"/>
  <c r="AN107" i="2"/>
  <c r="AO107" i="2"/>
  <c r="AP107" i="2"/>
  <c r="AQ107" i="2"/>
  <c r="AM108" i="2"/>
  <c r="AN108" i="2"/>
  <c r="AO108" i="2"/>
  <c r="AP108" i="2"/>
  <c r="AQ108" i="2"/>
  <c r="AM109" i="2"/>
  <c r="AN109" i="2"/>
  <c r="AO109" i="2"/>
  <c r="AP109" i="2"/>
  <c r="AQ109" i="2"/>
  <c r="AM110" i="2"/>
  <c r="AN110" i="2"/>
  <c r="AO110" i="2"/>
  <c r="AP110" i="2"/>
  <c r="AQ110" i="2"/>
  <c r="AM111" i="2"/>
  <c r="AN111" i="2"/>
  <c r="AO111" i="2"/>
  <c r="AP111" i="2"/>
  <c r="AQ111" i="2"/>
  <c r="AM112" i="2"/>
  <c r="AN112" i="2"/>
  <c r="AO112" i="2"/>
  <c r="AP112" i="2"/>
  <c r="AQ112" i="2"/>
  <c r="AM113" i="2"/>
  <c r="AN113" i="2"/>
  <c r="AO113" i="2"/>
  <c r="AP113" i="2"/>
  <c r="AQ113" i="2"/>
  <c r="AM114" i="2"/>
  <c r="AN114" i="2"/>
  <c r="AO114" i="2"/>
  <c r="AP114" i="2"/>
  <c r="AQ114" i="2"/>
  <c r="AM115" i="2"/>
  <c r="AN115" i="2"/>
  <c r="AO115" i="2"/>
  <c r="AP115" i="2"/>
  <c r="AQ115" i="2"/>
  <c r="AM116" i="2"/>
  <c r="AN116" i="2"/>
  <c r="AO116" i="2"/>
  <c r="AP116" i="2"/>
  <c r="AQ116" i="2"/>
  <c r="AM117" i="2"/>
  <c r="AN117" i="2"/>
  <c r="AO117" i="2"/>
  <c r="AP117" i="2"/>
  <c r="AQ117" i="2"/>
  <c r="AM118" i="2"/>
  <c r="AN118" i="2"/>
  <c r="AO118" i="2"/>
  <c r="AP118" i="2"/>
  <c r="AQ118" i="2"/>
  <c r="AM119" i="2"/>
  <c r="AN119" i="2"/>
  <c r="AO119" i="2"/>
  <c r="AP119" i="2"/>
  <c r="AQ119" i="2"/>
  <c r="AM120" i="2"/>
  <c r="AN120" i="2"/>
  <c r="AO120" i="2"/>
  <c r="AP120" i="2"/>
  <c r="AQ120" i="2"/>
  <c r="AM121" i="2"/>
  <c r="AN121" i="2"/>
  <c r="AO121" i="2"/>
  <c r="AP121" i="2"/>
  <c r="AQ121" i="2"/>
  <c r="AM122" i="2"/>
  <c r="AN122" i="2"/>
  <c r="AO122" i="2"/>
  <c r="AP122" i="2"/>
  <c r="AQ122" i="2"/>
  <c r="AM123" i="2"/>
  <c r="AN123" i="2"/>
  <c r="AO123" i="2"/>
  <c r="AP123" i="2"/>
  <c r="AQ123" i="2"/>
  <c r="AM124" i="2"/>
  <c r="AN124" i="2"/>
  <c r="AO124" i="2"/>
  <c r="AP124" i="2"/>
  <c r="AQ124" i="2"/>
  <c r="AM125" i="2"/>
  <c r="AN125" i="2"/>
  <c r="AO125" i="2"/>
  <c r="AP125" i="2"/>
  <c r="AQ125" i="2"/>
  <c r="AM126" i="2"/>
  <c r="AN126" i="2"/>
  <c r="AO126" i="2"/>
  <c r="AP126" i="2"/>
  <c r="AQ126" i="2"/>
  <c r="AM127" i="2"/>
  <c r="AN127" i="2"/>
  <c r="AO127" i="2"/>
  <c r="AP127" i="2"/>
  <c r="AQ127" i="2"/>
  <c r="AM128" i="2"/>
  <c r="AN128" i="2"/>
  <c r="AO128" i="2"/>
  <c r="AP128" i="2"/>
  <c r="AQ128" i="2"/>
  <c r="AM129" i="2"/>
  <c r="AN129" i="2"/>
  <c r="AO129" i="2"/>
  <c r="AP129" i="2"/>
  <c r="AQ129" i="2"/>
  <c r="AM130" i="2"/>
  <c r="AN130" i="2"/>
  <c r="AO130" i="2"/>
  <c r="AP130" i="2"/>
  <c r="AQ130" i="2"/>
  <c r="AM131" i="2"/>
  <c r="AN131" i="2"/>
  <c r="AO131" i="2"/>
  <c r="AP131" i="2"/>
  <c r="AQ131" i="2"/>
  <c r="AM132" i="2"/>
  <c r="AN132" i="2"/>
  <c r="AO132" i="2"/>
  <c r="AP132" i="2"/>
  <c r="AQ132" i="2"/>
  <c r="AM133" i="2"/>
  <c r="AN133" i="2"/>
  <c r="AO133" i="2"/>
  <c r="AP133" i="2"/>
  <c r="AQ133" i="2"/>
  <c r="AM134" i="2"/>
  <c r="AN134" i="2"/>
  <c r="AO134" i="2"/>
  <c r="AP134" i="2"/>
  <c r="AQ134" i="2"/>
  <c r="AM135" i="2"/>
  <c r="AN135" i="2"/>
  <c r="AO135" i="2"/>
  <c r="AP135" i="2"/>
  <c r="AQ135" i="2"/>
  <c r="AM136" i="2"/>
  <c r="AN136" i="2"/>
  <c r="AO136" i="2"/>
  <c r="AP136" i="2"/>
  <c r="AQ136" i="2"/>
  <c r="AQ7" i="2"/>
  <c r="AP7" i="2"/>
  <c r="AO7" i="2"/>
  <c r="AN7" i="2"/>
  <c r="AM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7" i="2"/>
  <c r="AB8" i="2"/>
  <c r="AD8" i="2"/>
  <c r="AE8" i="2"/>
  <c r="AF8" i="2"/>
  <c r="AB9" i="2"/>
  <c r="AD9" i="2"/>
  <c r="AE9" i="2"/>
  <c r="AF9" i="2"/>
  <c r="AB10" i="2"/>
  <c r="AD10" i="2"/>
  <c r="AE10" i="2"/>
  <c r="AF10" i="2"/>
  <c r="AB11" i="2"/>
  <c r="AD11" i="2"/>
  <c r="AE11" i="2"/>
  <c r="AF11" i="2"/>
  <c r="AB12" i="2"/>
  <c r="AD12" i="2"/>
  <c r="AE12" i="2"/>
  <c r="AF12" i="2"/>
  <c r="AB13" i="2"/>
  <c r="AD13" i="2"/>
  <c r="AE13" i="2"/>
  <c r="AF13" i="2"/>
  <c r="AB14" i="2"/>
  <c r="AD14" i="2"/>
  <c r="AE14" i="2"/>
  <c r="AF14" i="2"/>
  <c r="AB15" i="2"/>
  <c r="AD15" i="2"/>
  <c r="AE15" i="2"/>
  <c r="AF15" i="2"/>
  <c r="AB16" i="2"/>
  <c r="AD16" i="2"/>
  <c r="AE16" i="2"/>
  <c r="AF16" i="2"/>
  <c r="AB17" i="2"/>
  <c r="AD17" i="2"/>
  <c r="AE17" i="2"/>
  <c r="AF17" i="2"/>
  <c r="AB18" i="2"/>
  <c r="AD18" i="2"/>
  <c r="AE18" i="2"/>
  <c r="AF18" i="2"/>
  <c r="AB19" i="2"/>
  <c r="AD19" i="2"/>
  <c r="AE19" i="2"/>
  <c r="AF19" i="2"/>
  <c r="AB20" i="2"/>
  <c r="AD20" i="2"/>
  <c r="AE20" i="2"/>
  <c r="AF20" i="2"/>
  <c r="AB21" i="2"/>
  <c r="AD21" i="2"/>
  <c r="AE21" i="2"/>
  <c r="AF21" i="2"/>
  <c r="AB22" i="2"/>
  <c r="AD22" i="2"/>
  <c r="AE22" i="2"/>
  <c r="AF22" i="2"/>
  <c r="AB23" i="2"/>
  <c r="AD23" i="2"/>
  <c r="AE23" i="2"/>
  <c r="AF23" i="2"/>
  <c r="AB24" i="2"/>
  <c r="AD24" i="2"/>
  <c r="AE24" i="2"/>
  <c r="AF24" i="2"/>
  <c r="AB25" i="2"/>
  <c r="AD25" i="2"/>
  <c r="AE25" i="2"/>
  <c r="AF25" i="2"/>
  <c r="AB26" i="2"/>
  <c r="AD26" i="2"/>
  <c r="AE26" i="2"/>
  <c r="AF26" i="2"/>
  <c r="AB27" i="2"/>
  <c r="AD27" i="2"/>
  <c r="AE27" i="2"/>
  <c r="AF27" i="2"/>
  <c r="AB28" i="2"/>
  <c r="AD28" i="2"/>
  <c r="AE28" i="2"/>
  <c r="AF28" i="2"/>
  <c r="AB29" i="2"/>
  <c r="AD29" i="2"/>
  <c r="AE29" i="2"/>
  <c r="AF29" i="2"/>
  <c r="AB30" i="2"/>
  <c r="AD30" i="2"/>
  <c r="AE30" i="2"/>
  <c r="AF30" i="2"/>
  <c r="AB31" i="2"/>
  <c r="AD31" i="2"/>
  <c r="AE31" i="2"/>
  <c r="AF31" i="2"/>
  <c r="AB32" i="2"/>
  <c r="AD32" i="2"/>
  <c r="AE32" i="2"/>
  <c r="AF32" i="2"/>
  <c r="AB33" i="2"/>
  <c r="AD33" i="2"/>
  <c r="AE33" i="2"/>
  <c r="AF33" i="2"/>
  <c r="AB34" i="2"/>
  <c r="AD34" i="2"/>
  <c r="AE34" i="2"/>
  <c r="AF34" i="2"/>
  <c r="AB35" i="2"/>
  <c r="AD35" i="2"/>
  <c r="AE35" i="2"/>
  <c r="AF35" i="2"/>
  <c r="AB36" i="2"/>
  <c r="AD36" i="2"/>
  <c r="AE36" i="2"/>
  <c r="AF36" i="2"/>
  <c r="AB37" i="2"/>
  <c r="AD37" i="2"/>
  <c r="AE37" i="2"/>
  <c r="AF37" i="2"/>
  <c r="AB38" i="2"/>
  <c r="AD38" i="2"/>
  <c r="AE38" i="2"/>
  <c r="AF38" i="2"/>
  <c r="AB39" i="2"/>
  <c r="AD39" i="2"/>
  <c r="AE39" i="2"/>
  <c r="AF39" i="2"/>
  <c r="AB40" i="2"/>
  <c r="AD40" i="2"/>
  <c r="AE40" i="2"/>
  <c r="AF40" i="2"/>
  <c r="AB41" i="2"/>
  <c r="AD41" i="2"/>
  <c r="AE41" i="2"/>
  <c r="AF41" i="2"/>
  <c r="AB42" i="2"/>
  <c r="AD42" i="2"/>
  <c r="AE42" i="2"/>
  <c r="AF42" i="2"/>
  <c r="AB43" i="2"/>
  <c r="AD43" i="2"/>
  <c r="AE43" i="2"/>
  <c r="AF43" i="2"/>
  <c r="AB44" i="2"/>
  <c r="AD44" i="2"/>
  <c r="AE44" i="2"/>
  <c r="AF44" i="2"/>
  <c r="AB45" i="2"/>
  <c r="AD45" i="2"/>
  <c r="AE45" i="2"/>
  <c r="AF45" i="2"/>
  <c r="AB46" i="2"/>
  <c r="AD46" i="2"/>
  <c r="AE46" i="2"/>
  <c r="AF46" i="2"/>
  <c r="AB47" i="2"/>
  <c r="AD47" i="2"/>
  <c r="AE47" i="2"/>
  <c r="AF47" i="2"/>
  <c r="AB48" i="2"/>
  <c r="AD48" i="2"/>
  <c r="AE48" i="2"/>
  <c r="AF48" i="2"/>
  <c r="AB49" i="2"/>
  <c r="AD49" i="2"/>
  <c r="AE49" i="2"/>
  <c r="AF49" i="2"/>
  <c r="AB50" i="2"/>
  <c r="AD50" i="2"/>
  <c r="AE50" i="2"/>
  <c r="AF50" i="2"/>
  <c r="AB51" i="2"/>
  <c r="AD51" i="2"/>
  <c r="AE51" i="2"/>
  <c r="AF51" i="2"/>
  <c r="AB52" i="2"/>
  <c r="AD52" i="2"/>
  <c r="AE52" i="2"/>
  <c r="AF52" i="2"/>
  <c r="AB53" i="2"/>
  <c r="AD53" i="2"/>
  <c r="AE53" i="2"/>
  <c r="AF53" i="2"/>
  <c r="AB54" i="2"/>
  <c r="AD54" i="2"/>
  <c r="AE54" i="2"/>
  <c r="AF54" i="2"/>
  <c r="AB55" i="2"/>
  <c r="AD55" i="2"/>
  <c r="AE55" i="2"/>
  <c r="AF55" i="2"/>
  <c r="AB56" i="2"/>
  <c r="AD56" i="2"/>
  <c r="AE56" i="2"/>
  <c r="AF56" i="2"/>
  <c r="AB57" i="2"/>
  <c r="AD57" i="2"/>
  <c r="AE57" i="2"/>
  <c r="AF57" i="2"/>
  <c r="AB58" i="2"/>
  <c r="AD58" i="2"/>
  <c r="AE58" i="2"/>
  <c r="AF58" i="2"/>
  <c r="AB59" i="2"/>
  <c r="AD59" i="2"/>
  <c r="AE59" i="2"/>
  <c r="AF59" i="2"/>
  <c r="AB60" i="2"/>
  <c r="AD60" i="2"/>
  <c r="AE60" i="2"/>
  <c r="AF60" i="2"/>
  <c r="AB61" i="2"/>
  <c r="AD61" i="2"/>
  <c r="AE61" i="2"/>
  <c r="AF61" i="2"/>
  <c r="AB62" i="2"/>
  <c r="AD62" i="2"/>
  <c r="AE62" i="2"/>
  <c r="AF62" i="2"/>
  <c r="AB63" i="2"/>
  <c r="AD63" i="2"/>
  <c r="AE63" i="2"/>
  <c r="AF63" i="2"/>
  <c r="AB64" i="2"/>
  <c r="AD64" i="2"/>
  <c r="AE64" i="2"/>
  <c r="AF64" i="2"/>
  <c r="AB65" i="2"/>
  <c r="AD65" i="2"/>
  <c r="AE65" i="2"/>
  <c r="AF65" i="2"/>
  <c r="AB66" i="2"/>
  <c r="AD66" i="2"/>
  <c r="AE66" i="2"/>
  <c r="AF66" i="2"/>
  <c r="AB67" i="2"/>
  <c r="AD67" i="2"/>
  <c r="AE67" i="2"/>
  <c r="AF67" i="2"/>
  <c r="AB68" i="2"/>
  <c r="AD68" i="2"/>
  <c r="AE68" i="2"/>
  <c r="AF68" i="2"/>
  <c r="AB69" i="2"/>
  <c r="AD69" i="2"/>
  <c r="AE69" i="2"/>
  <c r="AF69" i="2"/>
  <c r="AB70" i="2"/>
  <c r="AD70" i="2"/>
  <c r="AE70" i="2"/>
  <c r="AF70" i="2"/>
  <c r="AB71" i="2"/>
  <c r="AD71" i="2"/>
  <c r="AE71" i="2"/>
  <c r="AF71" i="2"/>
  <c r="AB72" i="2"/>
  <c r="AD72" i="2"/>
  <c r="AE72" i="2"/>
  <c r="AF72" i="2"/>
  <c r="AB73" i="2"/>
  <c r="AD73" i="2"/>
  <c r="AE73" i="2"/>
  <c r="AF73" i="2"/>
  <c r="AB74" i="2"/>
  <c r="AD74" i="2"/>
  <c r="AE74" i="2"/>
  <c r="AF74" i="2"/>
  <c r="AB75" i="2"/>
  <c r="AD75" i="2"/>
  <c r="AE75" i="2"/>
  <c r="AF75" i="2"/>
  <c r="AB76" i="2"/>
  <c r="AD76" i="2"/>
  <c r="AE76" i="2"/>
  <c r="AF76" i="2"/>
  <c r="AB77" i="2"/>
  <c r="AD77" i="2"/>
  <c r="AE77" i="2"/>
  <c r="AF77" i="2"/>
  <c r="AB78" i="2"/>
  <c r="AD78" i="2"/>
  <c r="AE78" i="2"/>
  <c r="AF78" i="2"/>
  <c r="AB79" i="2"/>
  <c r="AD79" i="2"/>
  <c r="AE79" i="2"/>
  <c r="AF79" i="2"/>
  <c r="AB80" i="2"/>
  <c r="AD80" i="2"/>
  <c r="AE80" i="2"/>
  <c r="AF80" i="2"/>
  <c r="AB81" i="2"/>
  <c r="AD81" i="2"/>
  <c r="AE81" i="2"/>
  <c r="AF81" i="2"/>
  <c r="AB82" i="2"/>
  <c r="AD82" i="2"/>
  <c r="AE82" i="2"/>
  <c r="AF82" i="2"/>
  <c r="AB83" i="2"/>
  <c r="AD83" i="2"/>
  <c r="AE83" i="2"/>
  <c r="AF83" i="2"/>
  <c r="AB84" i="2"/>
  <c r="AD84" i="2"/>
  <c r="AE84" i="2"/>
  <c r="AF84" i="2"/>
  <c r="AB85" i="2"/>
  <c r="AD85" i="2"/>
  <c r="AE85" i="2"/>
  <c r="AF85" i="2"/>
  <c r="AB86" i="2"/>
  <c r="AD86" i="2"/>
  <c r="AE86" i="2"/>
  <c r="AF86" i="2"/>
  <c r="AB87" i="2"/>
  <c r="AD87" i="2"/>
  <c r="AE87" i="2"/>
  <c r="AF87" i="2"/>
  <c r="AB88" i="2"/>
  <c r="AD88" i="2"/>
  <c r="AE88" i="2"/>
  <c r="AF88" i="2"/>
  <c r="AB89" i="2"/>
  <c r="AD89" i="2"/>
  <c r="AE89" i="2"/>
  <c r="AF89" i="2"/>
  <c r="AB90" i="2"/>
  <c r="AD90" i="2"/>
  <c r="AE90" i="2"/>
  <c r="AF90" i="2"/>
  <c r="AB91" i="2"/>
  <c r="AD91" i="2"/>
  <c r="AE91" i="2"/>
  <c r="AF91" i="2"/>
  <c r="AB92" i="2"/>
  <c r="AD92" i="2"/>
  <c r="AE92" i="2"/>
  <c r="AF92" i="2"/>
  <c r="AB93" i="2"/>
  <c r="AD93" i="2"/>
  <c r="AE93" i="2"/>
  <c r="AF93" i="2"/>
  <c r="AB94" i="2"/>
  <c r="AD94" i="2"/>
  <c r="AE94" i="2"/>
  <c r="AF94" i="2"/>
  <c r="AB95" i="2"/>
  <c r="AD95" i="2"/>
  <c r="AE95" i="2"/>
  <c r="AF95" i="2"/>
  <c r="AB96" i="2"/>
  <c r="AD96" i="2"/>
  <c r="AE96" i="2"/>
  <c r="AF96" i="2"/>
  <c r="AB97" i="2"/>
  <c r="AD97" i="2"/>
  <c r="AE97" i="2"/>
  <c r="AF97" i="2"/>
  <c r="AB98" i="2"/>
  <c r="AD98" i="2"/>
  <c r="AE98" i="2"/>
  <c r="AF98" i="2"/>
  <c r="AB99" i="2"/>
  <c r="AD99" i="2"/>
  <c r="AE99" i="2"/>
  <c r="AF99" i="2"/>
  <c r="AB100" i="2"/>
  <c r="AD100" i="2"/>
  <c r="AE100" i="2"/>
  <c r="AF100" i="2"/>
  <c r="AB101" i="2"/>
  <c r="AD101" i="2"/>
  <c r="AE101" i="2"/>
  <c r="AF101" i="2"/>
  <c r="AB102" i="2"/>
  <c r="AD102" i="2"/>
  <c r="AE102" i="2"/>
  <c r="AF102" i="2"/>
  <c r="AB103" i="2"/>
  <c r="AD103" i="2"/>
  <c r="AE103" i="2"/>
  <c r="AF103" i="2"/>
  <c r="AB104" i="2"/>
  <c r="AD104" i="2"/>
  <c r="AE104" i="2"/>
  <c r="AF104" i="2"/>
  <c r="AB105" i="2"/>
  <c r="AD105" i="2"/>
  <c r="AE105" i="2"/>
  <c r="AF105" i="2"/>
  <c r="AB106" i="2"/>
  <c r="AD106" i="2"/>
  <c r="AE106" i="2"/>
  <c r="AF106" i="2"/>
  <c r="AB107" i="2"/>
  <c r="AD107" i="2"/>
  <c r="AE107" i="2"/>
  <c r="AF107" i="2"/>
  <c r="AB108" i="2"/>
  <c r="AD108" i="2"/>
  <c r="AE108" i="2"/>
  <c r="AF108" i="2"/>
  <c r="AB109" i="2"/>
  <c r="AD109" i="2"/>
  <c r="AE109" i="2"/>
  <c r="AF109" i="2"/>
  <c r="AB110" i="2"/>
  <c r="AD110" i="2"/>
  <c r="AE110" i="2"/>
  <c r="AF110" i="2"/>
  <c r="AB111" i="2"/>
  <c r="AD111" i="2"/>
  <c r="AE111" i="2"/>
  <c r="AF111" i="2"/>
  <c r="AB112" i="2"/>
  <c r="AD112" i="2"/>
  <c r="AE112" i="2"/>
  <c r="AF112" i="2"/>
  <c r="AB113" i="2"/>
  <c r="AD113" i="2"/>
  <c r="AE113" i="2"/>
  <c r="AF113" i="2"/>
  <c r="AB114" i="2"/>
  <c r="AD114" i="2"/>
  <c r="AE114" i="2"/>
  <c r="AF114" i="2"/>
  <c r="AB115" i="2"/>
  <c r="AD115" i="2"/>
  <c r="AE115" i="2"/>
  <c r="AF115" i="2"/>
  <c r="AB116" i="2"/>
  <c r="AD116" i="2"/>
  <c r="AE116" i="2"/>
  <c r="AF116" i="2"/>
  <c r="AB117" i="2"/>
  <c r="AD117" i="2"/>
  <c r="AE117" i="2"/>
  <c r="AF117" i="2"/>
  <c r="AB118" i="2"/>
  <c r="AD118" i="2"/>
  <c r="AE118" i="2"/>
  <c r="AF118" i="2"/>
  <c r="AB119" i="2"/>
  <c r="AD119" i="2"/>
  <c r="AE119" i="2"/>
  <c r="AF119" i="2"/>
  <c r="AB120" i="2"/>
  <c r="AD120" i="2"/>
  <c r="AE120" i="2"/>
  <c r="AF120" i="2"/>
  <c r="AB121" i="2"/>
  <c r="AD121" i="2"/>
  <c r="AE121" i="2"/>
  <c r="AF121" i="2"/>
  <c r="AB122" i="2"/>
  <c r="AD122" i="2"/>
  <c r="AE122" i="2"/>
  <c r="AF122" i="2"/>
  <c r="AB123" i="2"/>
  <c r="AD123" i="2"/>
  <c r="AE123" i="2"/>
  <c r="AF123" i="2"/>
  <c r="AB124" i="2"/>
  <c r="AD124" i="2"/>
  <c r="AE124" i="2"/>
  <c r="AF124" i="2"/>
  <c r="AB125" i="2"/>
  <c r="AD125" i="2"/>
  <c r="AE125" i="2"/>
  <c r="AF125" i="2"/>
  <c r="AB126" i="2"/>
  <c r="AD126" i="2"/>
  <c r="AE126" i="2"/>
  <c r="AF126" i="2"/>
  <c r="AB127" i="2"/>
  <c r="AD127" i="2"/>
  <c r="AE127" i="2"/>
  <c r="AF127" i="2"/>
  <c r="AB128" i="2"/>
  <c r="AD128" i="2"/>
  <c r="AE128" i="2"/>
  <c r="AF128" i="2"/>
  <c r="AB129" i="2"/>
  <c r="AD129" i="2"/>
  <c r="AE129" i="2"/>
  <c r="AF129" i="2"/>
  <c r="AB130" i="2"/>
  <c r="AD130" i="2"/>
  <c r="AE130" i="2"/>
  <c r="AF130" i="2"/>
  <c r="AB131" i="2"/>
  <c r="AD131" i="2"/>
  <c r="AE131" i="2"/>
  <c r="AF131" i="2"/>
  <c r="AB132" i="2"/>
  <c r="AD132" i="2"/>
  <c r="AE132" i="2"/>
  <c r="AF132" i="2"/>
  <c r="AB133" i="2"/>
  <c r="AD133" i="2"/>
  <c r="AE133" i="2"/>
  <c r="AF133" i="2"/>
  <c r="AB134" i="2"/>
  <c r="AD134" i="2"/>
  <c r="AE134" i="2"/>
  <c r="AF134" i="2"/>
  <c r="AB135" i="2"/>
  <c r="AD135" i="2"/>
  <c r="AE135" i="2"/>
  <c r="AF135" i="2"/>
  <c r="AB136" i="2"/>
  <c r="AD136" i="2"/>
  <c r="AE136" i="2"/>
  <c r="AF136" i="2"/>
  <c r="AF7" i="2"/>
  <c r="AE7" i="2"/>
  <c r="AD7" i="2"/>
  <c r="AB7" i="2"/>
  <c r="AA20" i="2"/>
  <c r="AA65" i="2"/>
  <c r="AL65" i="2"/>
  <c r="AA66" i="2"/>
  <c r="AL66" i="2"/>
  <c r="AA67" i="2"/>
  <c r="AL67" i="2"/>
  <c r="AC9" i="4"/>
  <c r="AB9" i="4"/>
  <c r="AA9" i="4"/>
  <c r="Z9" i="4"/>
  <c r="Y9" i="4"/>
  <c r="X9" i="4"/>
  <c r="W9" i="4"/>
  <c r="V9" i="4"/>
  <c r="U9" i="4"/>
  <c r="T9" i="4"/>
  <c r="S9" i="4"/>
  <c r="S21" i="1"/>
  <c r="S20" i="1"/>
  <c r="S19" i="1"/>
  <c r="S18" i="1"/>
  <c r="S17" i="1"/>
  <c r="S16" i="1"/>
  <c r="S15" i="1"/>
  <c r="S14" i="1"/>
  <c r="S13" i="1"/>
  <c r="S12" i="1"/>
  <c r="S11" i="1"/>
  <c r="BA19" i="4"/>
  <c r="BB19" i="4" s="1"/>
  <c r="BA18" i="4"/>
  <c r="BB18" i="4" s="1"/>
  <c r="BA17" i="4"/>
  <c r="BB17" i="4" s="1"/>
  <c r="BA16" i="4"/>
  <c r="BB16" i="4" s="1"/>
  <c r="BA15" i="4"/>
  <c r="BB15" i="4" s="1"/>
  <c r="BA14" i="4"/>
  <c r="BB14" i="4" s="1"/>
  <c r="BA13" i="4"/>
  <c r="BB13" i="4" s="1"/>
  <c r="BA12" i="4"/>
  <c r="BB12" i="4" s="1"/>
  <c r="BA11" i="4"/>
  <c r="BB11" i="4" s="1"/>
  <c r="BA10" i="4"/>
  <c r="BB10" i="4" s="1"/>
  <c r="K9" i="4"/>
  <c r="BA9" i="4" s="1"/>
  <c r="BB9" i="4" s="1"/>
  <c r="M21" i="1"/>
  <c r="U21" i="1" s="1"/>
  <c r="M20" i="1"/>
  <c r="U20" i="1" s="1"/>
  <c r="M19" i="1"/>
  <c r="U19" i="1" s="1"/>
  <c r="M18" i="1"/>
  <c r="U18" i="1" s="1"/>
  <c r="M17" i="1"/>
  <c r="U17" i="1" s="1"/>
  <c r="M16" i="1"/>
  <c r="U16" i="1" s="1"/>
  <c r="M15" i="1"/>
  <c r="U15" i="1" s="1"/>
  <c r="M14" i="1"/>
  <c r="U14" i="1" s="1"/>
  <c r="M13" i="1"/>
  <c r="U13" i="1" s="1"/>
  <c r="M11" i="1"/>
  <c r="U11" i="1" s="1"/>
  <c r="M12" i="1"/>
  <c r="U12" i="1" s="1"/>
  <c r="BE18" i="2"/>
  <c r="BD18" i="2"/>
  <c r="BC18" i="2"/>
  <c r="BB18" i="2"/>
  <c r="BA18" i="2"/>
  <c r="BF18" i="2" s="1"/>
  <c r="AZ18" i="2"/>
  <c r="AY18" i="2"/>
  <c r="AX18" i="2"/>
  <c r="AW18" i="2"/>
  <c r="AV18" i="2"/>
  <c r="AU18" i="2"/>
  <c r="AT18" i="2"/>
  <c r="BE17" i="2"/>
  <c r="BD17" i="2"/>
  <c r="BC17" i="2"/>
  <c r="BB17" i="2"/>
  <c r="BA17" i="2"/>
  <c r="AZ17" i="2"/>
  <c r="AY17" i="2"/>
  <c r="AX17" i="2"/>
  <c r="AW17" i="2"/>
  <c r="BF17" i="2" s="1"/>
  <c r="AV17" i="2"/>
  <c r="AU17" i="2"/>
  <c r="AT17" i="2"/>
  <c r="BE16" i="2"/>
  <c r="BD16" i="2"/>
  <c r="BC16" i="2"/>
  <c r="BB16" i="2"/>
  <c r="BA16" i="2"/>
  <c r="AZ16" i="2"/>
  <c r="AY16" i="2"/>
  <c r="AX16" i="2"/>
  <c r="AW16" i="2"/>
  <c r="AV16" i="2"/>
  <c r="AU16" i="2"/>
  <c r="AT16" i="2"/>
  <c r="BE15" i="2"/>
  <c r="BD15" i="2"/>
  <c r="BC15" i="2"/>
  <c r="BB15" i="2"/>
  <c r="BA15" i="2"/>
  <c r="AZ15" i="2"/>
  <c r="AY15" i="2"/>
  <c r="AX15" i="2"/>
  <c r="AW15" i="2"/>
  <c r="AV15" i="2"/>
  <c r="AU15" i="2"/>
  <c r="AT15" i="2"/>
  <c r="BE14" i="2"/>
  <c r="BD14" i="2"/>
  <c r="BC14" i="2"/>
  <c r="BB14" i="2"/>
  <c r="BA14" i="2"/>
  <c r="BF14" i="2" s="1"/>
  <c r="AZ14" i="2"/>
  <c r="AY14" i="2"/>
  <c r="AX14" i="2"/>
  <c r="AW14" i="2"/>
  <c r="AV14" i="2"/>
  <c r="AU14" i="2"/>
  <c r="AT14" i="2"/>
  <c r="BE13" i="2"/>
  <c r="BD13" i="2"/>
  <c r="BC13" i="2"/>
  <c r="BB13" i="2"/>
  <c r="BA13" i="2"/>
  <c r="AZ13" i="2"/>
  <c r="AY13" i="2"/>
  <c r="AX13" i="2"/>
  <c r="AW13" i="2"/>
  <c r="BF13" i="2" s="1"/>
  <c r="AV13" i="2"/>
  <c r="AU13" i="2"/>
  <c r="AT13" i="2"/>
  <c r="BE12" i="2"/>
  <c r="BD12" i="2"/>
  <c r="BC12" i="2"/>
  <c r="BB12" i="2"/>
  <c r="BA12" i="2"/>
  <c r="BF12" i="2" s="1"/>
  <c r="AZ12" i="2"/>
  <c r="AY12" i="2"/>
  <c r="AX12" i="2"/>
  <c r="AW12" i="2"/>
  <c r="AV12" i="2"/>
  <c r="AU12" i="2"/>
  <c r="AT12" i="2"/>
  <c r="BE11" i="2"/>
  <c r="BD11" i="2"/>
  <c r="BC11" i="2"/>
  <c r="BB11" i="2"/>
  <c r="BA11" i="2"/>
  <c r="AZ11" i="2"/>
  <c r="AY11" i="2"/>
  <c r="AX11" i="2"/>
  <c r="AW11" i="2"/>
  <c r="BF11" i="2" s="1"/>
  <c r="AV11" i="2"/>
  <c r="AU11" i="2"/>
  <c r="AT11" i="2"/>
  <c r="BE9" i="2"/>
  <c r="BD9" i="2"/>
  <c r="BC9" i="2"/>
  <c r="BB9" i="2"/>
  <c r="BA9" i="2"/>
  <c r="AZ9" i="2"/>
  <c r="AY9" i="2"/>
  <c r="AX9" i="2"/>
  <c r="AW9" i="2"/>
  <c r="AV9" i="2"/>
  <c r="AU9" i="2"/>
  <c r="AT9" i="2"/>
  <c r="H17" i="5"/>
  <c r="I17" i="5"/>
  <c r="J17" i="5"/>
  <c r="K17" i="5"/>
  <c r="L17" i="5"/>
  <c r="M17" i="5"/>
  <c r="N17" i="5"/>
  <c r="BF15" i="2"/>
  <c r="BF16" i="2"/>
  <c r="BE10" i="2"/>
  <c r="BD10" i="2"/>
  <c r="BC10" i="2"/>
  <c r="BB10" i="2"/>
  <c r="BA10" i="2"/>
  <c r="AZ10" i="2"/>
  <c r="AY10" i="2"/>
  <c r="AX10" i="2"/>
  <c r="AW10" i="2"/>
  <c r="AV10" i="2"/>
  <c r="AU10" i="2"/>
  <c r="AT10" i="2"/>
  <c r="T18" i="4" s="1"/>
  <c r="G17" i="5"/>
  <c r="F17" i="5"/>
  <c r="AA15" i="4"/>
  <c r="V11" i="4"/>
  <c r="Y11" i="4"/>
  <c r="AS19" i="4"/>
  <c r="AW18" i="4"/>
  <c r="AT17" i="4"/>
  <c r="AQ16" i="4"/>
  <c r="AU15" i="4"/>
  <c r="AP14" i="4"/>
  <c r="AW13" i="4"/>
  <c r="AT12" i="4"/>
  <c r="AO11" i="4"/>
  <c r="AX10" i="4"/>
  <c r="R9" i="4"/>
  <c r="AY9" i="4" s="1"/>
  <c r="C17" i="5"/>
  <c r="D17" i="5"/>
  <c r="E17" i="5"/>
  <c r="AD11" i="4"/>
  <c r="AN19" i="4"/>
  <c r="AM19" i="4"/>
  <c r="AL19" i="4"/>
  <c r="AK19" i="4"/>
  <c r="AJ19" i="4"/>
  <c r="AI19" i="4"/>
  <c r="AH19" i="4"/>
  <c r="AG19" i="4"/>
  <c r="AF19" i="4"/>
  <c r="AE19" i="4"/>
  <c r="AD19" i="4"/>
  <c r="AN18" i="4"/>
  <c r="AM18" i="4"/>
  <c r="AL18" i="4"/>
  <c r="AK18" i="4"/>
  <c r="AJ18" i="4"/>
  <c r="AI18" i="4"/>
  <c r="AH18" i="4"/>
  <c r="AG18" i="4"/>
  <c r="AF18" i="4"/>
  <c r="AE18" i="4"/>
  <c r="AD18" i="4"/>
  <c r="AN17" i="4"/>
  <c r="AM17" i="4"/>
  <c r="AL17" i="4"/>
  <c r="AK17" i="4"/>
  <c r="AJ17" i="4"/>
  <c r="AI17" i="4"/>
  <c r="AH17" i="4"/>
  <c r="AG17" i="4"/>
  <c r="AF17" i="4"/>
  <c r="AE17" i="4"/>
  <c r="AD17" i="4"/>
  <c r="AN16" i="4"/>
  <c r="AM16" i="4"/>
  <c r="AL16" i="4"/>
  <c r="AK16" i="4"/>
  <c r="AJ16" i="4"/>
  <c r="AI16" i="4"/>
  <c r="AH16" i="4"/>
  <c r="AG16" i="4"/>
  <c r="AF16" i="4"/>
  <c r="AE16" i="4"/>
  <c r="AD16" i="4"/>
  <c r="AN15" i="4"/>
  <c r="AM15" i="4"/>
  <c r="AL15" i="4"/>
  <c r="AK15" i="4"/>
  <c r="AJ15" i="4"/>
  <c r="AI15" i="4"/>
  <c r="AH15" i="4"/>
  <c r="AG15" i="4"/>
  <c r="AF15" i="4"/>
  <c r="AE15" i="4"/>
  <c r="AD15" i="4"/>
  <c r="AN14" i="4"/>
  <c r="AM14" i="4"/>
  <c r="AL14" i="4"/>
  <c r="AK14" i="4"/>
  <c r="AJ14" i="4"/>
  <c r="AI14" i="4"/>
  <c r="AH14" i="4"/>
  <c r="AG14" i="4"/>
  <c r="AF14" i="4"/>
  <c r="AE14" i="4"/>
  <c r="AD14" i="4"/>
  <c r="AN13" i="4"/>
  <c r="AM13" i="4"/>
  <c r="AL13" i="4"/>
  <c r="AK13" i="4"/>
  <c r="AJ13" i="4"/>
  <c r="AI13" i="4"/>
  <c r="AH13" i="4"/>
  <c r="AG13" i="4"/>
  <c r="AF13" i="4"/>
  <c r="AE13" i="4"/>
  <c r="AD13" i="4"/>
  <c r="AN12" i="4"/>
  <c r="AM12" i="4"/>
  <c r="AL12" i="4"/>
  <c r="AK12" i="4"/>
  <c r="AJ12" i="4"/>
  <c r="AI12" i="4"/>
  <c r="AH12" i="4"/>
  <c r="AG12" i="4"/>
  <c r="AF12" i="4"/>
  <c r="AE12" i="4"/>
  <c r="AD12" i="4"/>
  <c r="AN11" i="4"/>
  <c r="AM11" i="4"/>
  <c r="AL11" i="4"/>
  <c r="AK11" i="4"/>
  <c r="AJ11" i="4"/>
  <c r="AI11" i="4"/>
  <c r="AH11" i="4"/>
  <c r="AG11" i="4"/>
  <c r="AF11" i="4"/>
  <c r="AE11" i="4"/>
  <c r="AN10" i="4"/>
  <c r="AM10" i="4"/>
  <c r="AL10" i="4"/>
  <c r="AK10" i="4"/>
  <c r="AJ10" i="4"/>
  <c r="AI10" i="4"/>
  <c r="AH10" i="4"/>
  <c r="AG10" i="4"/>
  <c r="AF10" i="4"/>
  <c r="AE10" i="4"/>
  <c r="AD10" i="4"/>
  <c r="AN9" i="4"/>
  <c r="AM9" i="4"/>
  <c r="AL9" i="4"/>
  <c r="AK9" i="4"/>
  <c r="AJ9" i="4"/>
  <c r="AI9" i="4"/>
  <c r="AH9" i="4"/>
  <c r="AG9" i="4"/>
  <c r="AF9" i="4"/>
  <c r="AE9" i="4"/>
  <c r="AD9" i="4"/>
  <c r="AX15" i="4"/>
  <c r="AV15" i="4"/>
  <c r="AS15" i="4"/>
  <c r="AL152" i="2"/>
  <c r="AL151" i="2"/>
  <c r="AL150" i="2"/>
  <c r="AL149" i="2"/>
  <c r="AL148" i="2"/>
  <c r="AL147" i="2"/>
  <c r="AL146" i="2"/>
  <c r="AL145" i="2"/>
  <c r="AL144" i="2"/>
  <c r="AL143" i="2"/>
  <c r="AL142" i="2"/>
  <c r="AL141" i="2"/>
  <c r="AL140" i="2"/>
  <c r="AL139" i="2"/>
  <c r="AL138" i="2"/>
  <c r="AL137" i="2"/>
  <c r="AL136" i="2"/>
  <c r="AA136" i="2"/>
  <c r="AL135" i="2"/>
  <c r="AA135" i="2"/>
  <c r="AL134" i="2"/>
  <c r="AA134" i="2"/>
  <c r="AL133" i="2"/>
  <c r="AA133" i="2"/>
  <c r="AL132" i="2"/>
  <c r="AA132" i="2"/>
  <c r="AL131" i="2"/>
  <c r="AA131" i="2"/>
  <c r="AL130" i="2"/>
  <c r="AA130" i="2"/>
  <c r="AL129" i="2"/>
  <c r="AA129" i="2"/>
  <c r="AL128" i="2"/>
  <c r="AA128" i="2"/>
  <c r="AL127" i="2"/>
  <c r="AA127" i="2"/>
  <c r="AL126" i="2"/>
  <c r="AA126" i="2"/>
  <c r="AL125" i="2"/>
  <c r="AA125" i="2"/>
  <c r="AL124" i="2"/>
  <c r="AA124" i="2"/>
  <c r="AL123" i="2"/>
  <c r="AA123" i="2"/>
  <c r="AL122" i="2"/>
  <c r="AA122" i="2"/>
  <c r="AL121" i="2"/>
  <c r="AA121" i="2"/>
  <c r="AL120" i="2"/>
  <c r="AA120" i="2"/>
  <c r="AL119" i="2"/>
  <c r="AA119" i="2"/>
  <c r="AL118" i="2"/>
  <c r="AA118" i="2"/>
  <c r="AL117" i="2"/>
  <c r="AA117" i="2"/>
  <c r="AL116" i="2"/>
  <c r="AA116" i="2"/>
  <c r="AL115" i="2"/>
  <c r="AA115" i="2"/>
  <c r="AL114" i="2"/>
  <c r="AA114" i="2"/>
  <c r="AL113" i="2"/>
  <c r="AA113" i="2"/>
  <c r="AL112" i="2"/>
  <c r="AA112" i="2"/>
  <c r="AL111" i="2"/>
  <c r="AA111" i="2"/>
  <c r="AL110" i="2"/>
  <c r="AA110" i="2"/>
  <c r="AL109" i="2"/>
  <c r="AA109" i="2"/>
  <c r="AL108" i="2"/>
  <c r="AA108" i="2"/>
  <c r="AL107" i="2"/>
  <c r="AA107" i="2"/>
  <c r="AL106" i="2"/>
  <c r="AA106" i="2"/>
  <c r="AL105" i="2"/>
  <c r="AA105" i="2"/>
  <c r="AL104" i="2"/>
  <c r="AA104" i="2"/>
  <c r="AL103" i="2"/>
  <c r="AA103" i="2"/>
  <c r="AL102" i="2"/>
  <c r="AA102" i="2"/>
  <c r="AL101" i="2"/>
  <c r="AA101" i="2"/>
  <c r="AL100" i="2"/>
  <c r="AA100" i="2"/>
  <c r="AL99" i="2"/>
  <c r="AA99" i="2"/>
  <c r="AL98" i="2"/>
  <c r="AA98" i="2"/>
  <c r="AL97" i="2"/>
  <c r="AA97" i="2"/>
  <c r="AL96" i="2"/>
  <c r="AA96" i="2"/>
  <c r="AL95" i="2"/>
  <c r="AA95" i="2"/>
  <c r="AL94" i="2"/>
  <c r="AA94" i="2"/>
  <c r="AL93" i="2"/>
  <c r="AA93" i="2"/>
  <c r="AL92" i="2"/>
  <c r="AA92" i="2"/>
  <c r="AL91" i="2"/>
  <c r="AA91" i="2"/>
  <c r="AL90" i="2"/>
  <c r="AA90" i="2"/>
  <c r="AL89" i="2"/>
  <c r="AA89" i="2"/>
  <c r="AL88" i="2"/>
  <c r="AA88" i="2"/>
  <c r="AL87" i="2"/>
  <c r="AA87" i="2"/>
  <c r="AL86" i="2"/>
  <c r="AA86" i="2"/>
  <c r="AL85" i="2"/>
  <c r="AA85" i="2"/>
  <c r="AL84" i="2"/>
  <c r="AA84" i="2"/>
  <c r="AL83" i="2"/>
  <c r="AA83" i="2"/>
  <c r="AL82" i="2"/>
  <c r="AA82" i="2"/>
  <c r="AL81" i="2"/>
  <c r="AA81" i="2"/>
  <c r="AL80" i="2"/>
  <c r="AA80" i="2"/>
  <c r="AL79" i="2"/>
  <c r="AA79" i="2"/>
  <c r="AL78" i="2"/>
  <c r="AA78" i="2"/>
  <c r="AL77" i="2"/>
  <c r="AA77" i="2"/>
  <c r="AL76" i="2"/>
  <c r="AA76" i="2"/>
  <c r="AL75" i="2"/>
  <c r="AA75" i="2"/>
  <c r="AL74" i="2"/>
  <c r="AA74" i="2"/>
  <c r="AL73" i="2"/>
  <c r="AA73" i="2"/>
  <c r="AL72" i="2"/>
  <c r="AA72" i="2"/>
  <c r="AL71" i="2"/>
  <c r="AA71" i="2"/>
  <c r="AL70" i="2"/>
  <c r="AA70" i="2"/>
  <c r="AL69" i="2"/>
  <c r="AA69" i="2"/>
  <c r="AL68" i="2"/>
  <c r="AA68" i="2"/>
  <c r="AL64" i="2"/>
  <c r="AA64" i="2"/>
  <c r="AL63" i="2"/>
  <c r="AA63" i="2"/>
  <c r="AL62" i="2"/>
  <c r="AA62" i="2"/>
  <c r="AL61" i="2"/>
  <c r="AA61" i="2"/>
  <c r="AL60" i="2"/>
  <c r="AA60" i="2"/>
  <c r="AL59" i="2"/>
  <c r="AA59" i="2"/>
  <c r="AL58" i="2"/>
  <c r="AA58" i="2"/>
  <c r="AL57" i="2"/>
  <c r="AA57" i="2"/>
  <c r="AL56" i="2"/>
  <c r="AA56" i="2"/>
  <c r="AL55" i="2"/>
  <c r="AA55" i="2"/>
  <c r="AL54" i="2"/>
  <c r="AA54" i="2"/>
  <c r="AL53" i="2"/>
  <c r="AA53" i="2"/>
  <c r="AL52" i="2"/>
  <c r="AA52" i="2"/>
  <c r="AL51" i="2"/>
  <c r="AA51" i="2"/>
  <c r="AL50" i="2"/>
  <c r="AA50" i="2"/>
  <c r="AL49" i="2"/>
  <c r="AA49" i="2"/>
  <c r="AL48" i="2"/>
  <c r="AA48" i="2"/>
  <c r="AL47" i="2"/>
  <c r="AA47" i="2"/>
  <c r="AL46" i="2"/>
  <c r="AA46" i="2"/>
  <c r="AL45" i="2"/>
  <c r="AA45" i="2"/>
  <c r="AL44" i="2"/>
  <c r="AA44" i="2"/>
  <c r="AL43" i="2"/>
  <c r="AA43" i="2"/>
  <c r="AL42" i="2"/>
  <c r="AA42" i="2"/>
  <c r="AL41" i="2"/>
  <c r="AA41" i="2"/>
  <c r="AL40" i="2"/>
  <c r="AA40" i="2"/>
  <c r="AL39" i="2"/>
  <c r="AA39" i="2"/>
  <c r="AL38" i="2"/>
  <c r="AA38" i="2"/>
  <c r="AL37" i="2"/>
  <c r="AA37" i="2"/>
  <c r="AL36" i="2"/>
  <c r="AA36" i="2"/>
  <c r="AL35" i="2"/>
  <c r="AA35" i="2"/>
  <c r="AL34" i="2"/>
  <c r="AA34" i="2"/>
  <c r="AL33" i="2"/>
  <c r="AA33" i="2"/>
  <c r="AL32" i="2"/>
  <c r="AA32" i="2"/>
  <c r="AL31" i="2"/>
  <c r="AA31" i="2"/>
  <c r="AL30" i="2"/>
  <c r="AA30" i="2"/>
  <c r="AL29" i="2"/>
  <c r="AA29" i="2"/>
  <c r="AL28" i="2"/>
  <c r="AA28" i="2"/>
  <c r="AL27" i="2"/>
  <c r="AA27" i="2"/>
  <c r="AL26" i="2"/>
  <c r="AA26" i="2"/>
  <c r="AL25" i="2"/>
  <c r="AA25" i="2"/>
  <c r="AL24" i="2"/>
  <c r="AA24" i="2"/>
  <c r="AL23" i="2"/>
  <c r="AA23" i="2"/>
  <c r="AL22" i="2"/>
  <c r="AA22" i="2"/>
  <c r="AL21" i="2"/>
  <c r="AA21" i="2"/>
  <c r="AL20" i="2"/>
  <c r="Q12" i="1" s="1"/>
  <c r="V12" i="1" s="1"/>
  <c r="AL19" i="2"/>
  <c r="AA19" i="2"/>
  <c r="AL18" i="2"/>
  <c r="AA18" i="2"/>
  <c r="AL17" i="2"/>
  <c r="AA17" i="2"/>
  <c r="AL16" i="2"/>
  <c r="AA16" i="2"/>
  <c r="AL15" i="2"/>
  <c r="AA15" i="2"/>
  <c r="AL14" i="2"/>
  <c r="AA14" i="2"/>
  <c r="AL13" i="2"/>
  <c r="AA13" i="2"/>
  <c r="AL12" i="2"/>
  <c r="AA12" i="2"/>
  <c r="AL11" i="2"/>
  <c r="AA11" i="2"/>
  <c r="AL10" i="2"/>
  <c r="AA10" i="2"/>
  <c r="AL9" i="2"/>
  <c r="Q19" i="1" s="1"/>
  <c r="V19" i="1" s="1"/>
  <c r="AA9" i="2"/>
  <c r="O16" i="1" s="1"/>
  <c r="T16" i="1" s="1"/>
  <c r="BF8" i="2"/>
  <c r="AL8" i="2"/>
  <c r="Q21" i="1" s="1"/>
  <c r="V21" i="1" s="1"/>
  <c r="AA8" i="2"/>
  <c r="BF7" i="2"/>
  <c r="AL7" i="2"/>
  <c r="AA7" i="2"/>
  <c r="Q17" i="1"/>
  <c r="V17" i="1" s="1"/>
  <c r="O17" i="1"/>
  <c r="T17" i="1" s="1"/>
  <c r="BF9" i="2" l="1"/>
  <c r="AX18" i="4"/>
  <c r="AX12" i="4"/>
  <c r="AV19" i="4"/>
  <c r="Z17" i="1"/>
  <c r="AB17" i="1" s="1"/>
  <c r="W17" i="1"/>
  <c r="X17" i="1" s="1"/>
  <c r="Z11" i="1"/>
  <c r="W11" i="1"/>
  <c r="W20" i="1"/>
  <c r="Z20" i="1"/>
  <c r="Z13" i="1"/>
  <c r="W13" i="1"/>
  <c r="AO15" i="4"/>
  <c r="AY15" i="4"/>
  <c r="AP15" i="4"/>
  <c r="AQ15" i="4"/>
  <c r="AR15" i="4"/>
  <c r="AW15" i="4"/>
  <c r="AX19" i="4"/>
  <c r="BE19" i="4" s="1"/>
  <c r="AU17" i="4"/>
  <c r="AW19" i="4"/>
  <c r="AY19" i="4"/>
  <c r="AP19" i="4"/>
  <c r="AO19" i="4"/>
  <c r="AR19" i="4"/>
  <c r="AU9" i="4"/>
  <c r="AT9" i="4"/>
  <c r="AT19" i="4"/>
  <c r="AU19" i="4"/>
  <c r="AZ11" i="4"/>
  <c r="AZ19" i="4"/>
  <c r="AZ12" i="4"/>
  <c r="AZ13" i="4"/>
  <c r="AZ14" i="4"/>
  <c r="AZ15" i="4"/>
  <c r="AZ16" i="4"/>
  <c r="AZ17" i="4"/>
  <c r="AZ18" i="4"/>
  <c r="AT15" i="4"/>
  <c r="AU12" i="4"/>
  <c r="AW12" i="4"/>
  <c r="BF10" i="2"/>
  <c r="AP13" i="4"/>
  <c r="AR13" i="4"/>
  <c r="AS13" i="4"/>
  <c r="AX13" i="4"/>
  <c r="BE13" i="4" s="1"/>
  <c r="AU13" i="4"/>
  <c r="AO12" i="4"/>
  <c r="AP12" i="4"/>
  <c r="AQ13" i="4"/>
  <c r="AY13" i="4"/>
  <c r="AX16" i="4"/>
  <c r="BE16" i="4" s="1"/>
  <c r="AT13" i="4"/>
  <c r="AU14" i="4"/>
  <c r="AS14" i="4"/>
  <c r="AT14" i="4"/>
  <c r="AY14" i="4"/>
  <c r="AV13" i="4"/>
  <c r="AO13" i="4"/>
  <c r="AV12" i="4"/>
  <c r="AV17" i="4"/>
  <c r="AQ12" i="4"/>
  <c r="AY12" i="4"/>
  <c r="AR12" i="4"/>
  <c r="AS12" i="4"/>
  <c r="X19" i="4"/>
  <c r="AB10" i="4"/>
  <c r="AC16" i="4"/>
  <c r="Z18" i="4"/>
  <c r="AB11" i="4"/>
  <c r="U17" i="4"/>
  <c r="T17" i="4"/>
  <c r="AC13" i="4"/>
  <c r="AB16" i="4"/>
  <c r="V13" i="4"/>
  <c r="W11" i="4"/>
  <c r="S13" i="4"/>
  <c r="W17" i="4"/>
  <c r="V19" i="4"/>
  <c r="X16" i="4"/>
  <c r="W13" i="4"/>
  <c r="Z11" i="4"/>
  <c r="T19" i="4"/>
  <c r="Y18" i="4"/>
  <c r="W14" i="4"/>
  <c r="Y15" i="4"/>
  <c r="V17" i="4"/>
  <c r="U15" i="4"/>
  <c r="Y17" i="4"/>
  <c r="T16" i="4"/>
  <c r="AO10" i="4"/>
  <c r="AP11" i="4"/>
  <c r="AR11" i="4"/>
  <c r="AW11" i="4"/>
  <c r="AP10" i="4"/>
  <c r="AY10" i="4"/>
  <c r="AT10" i="4"/>
  <c r="AQ11" i="4"/>
  <c r="AY18" i="4"/>
  <c r="AS11" i="4"/>
  <c r="AO18" i="4"/>
  <c r="AT11" i="4"/>
  <c r="AP18" i="4"/>
  <c r="AQ19" i="4"/>
  <c r="AQ18" i="4"/>
  <c r="AU11" i="4"/>
  <c r="AV11" i="4"/>
  <c r="AR18" i="4"/>
  <c r="AX11" i="4"/>
  <c r="BE11" i="4" s="1"/>
  <c r="AT18" i="4"/>
  <c r="AY11" i="4"/>
  <c r="AU18" i="4"/>
  <c r="AS18" i="4"/>
  <c r="AV18" i="4"/>
  <c r="AR16" i="4"/>
  <c r="AQ14" i="4"/>
  <c r="AR14" i="4"/>
  <c r="AQ10" i="4"/>
  <c r="AV14" i="4"/>
  <c r="AW14" i="4"/>
  <c r="AR10" i="4"/>
  <c r="AS10" i="4"/>
  <c r="AX14" i="4"/>
  <c r="BE14" i="4" s="1"/>
  <c r="AU10" i="4"/>
  <c r="AW10" i="4"/>
  <c r="AO14" i="4"/>
  <c r="AV10" i="4"/>
  <c r="BC10" i="4"/>
  <c r="BE10" i="4"/>
  <c r="BG10" i="4" s="1"/>
  <c r="BG4" i="4" s="1"/>
  <c r="D15" i="8" s="1"/>
  <c r="Z16" i="1"/>
  <c r="W16" i="1"/>
  <c r="AA17" i="1"/>
  <c r="W18" i="1"/>
  <c r="Z18" i="1"/>
  <c r="BC11" i="4"/>
  <c r="BC16" i="4"/>
  <c r="W21" i="1"/>
  <c r="Z21" i="1"/>
  <c r="Z19" i="1"/>
  <c r="W19" i="1"/>
  <c r="BC12" i="4"/>
  <c r="BE12" i="4"/>
  <c r="BC17" i="4"/>
  <c r="W12" i="1"/>
  <c r="Z12" i="1"/>
  <c r="BC18" i="4"/>
  <c r="BE18" i="4"/>
  <c r="BC9" i="4"/>
  <c r="W14" i="1"/>
  <c r="Z14" i="1"/>
  <c r="BC13" i="4"/>
  <c r="BC19" i="4"/>
  <c r="W15" i="1"/>
  <c r="Z15" i="1"/>
  <c r="BC14" i="4"/>
  <c r="AY16" i="4"/>
  <c r="Q14" i="1"/>
  <c r="V14" i="1" s="1"/>
  <c r="AV9" i="4"/>
  <c r="BE15" i="4"/>
  <c r="AT16" i="4"/>
  <c r="AO17" i="4"/>
  <c r="AW17" i="4"/>
  <c r="BC15" i="4"/>
  <c r="U12" i="4"/>
  <c r="Y19" i="4"/>
  <c r="AC12" i="4"/>
  <c r="W10" i="4"/>
  <c r="V10" i="4"/>
  <c r="V15" i="4"/>
  <c r="U19" i="4"/>
  <c r="AA12" i="4"/>
  <c r="Z17" i="4"/>
  <c r="Y13" i="4"/>
  <c r="AA19" i="4"/>
  <c r="X13" i="4"/>
  <c r="X17" i="4"/>
  <c r="O19" i="1"/>
  <c r="T19" i="1" s="1"/>
  <c r="O21" i="1"/>
  <c r="T21" i="1" s="1"/>
  <c r="Q11" i="1"/>
  <c r="V11" i="1" s="1"/>
  <c r="AA11" i="1" s="1"/>
  <c r="Q20" i="1"/>
  <c r="V20" i="1" s="1"/>
  <c r="AA20" i="1" s="1"/>
  <c r="AO9" i="4"/>
  <c r="AW9" i="4"/>
  <c r="AU16" i="4"/>
  <c r="AP17" i="4"/>
  <c r="S18" i="4"/>
  <c r="X15" i="4"/>
  <c r="AA18" i="4"/>
  <c r="U16" i="4"/>
  <c r="AA14" i="4"/>
  <c r="U14" i="4"/>
  <c r="W12" i="4"/>
  <c r="U10" i="4"/>
  <c r="T14" i="4"/>
  <c r="W19" i="4"/>
  <c r="AC15" i="4"/>
  <c r="AC18" i="4"/>
  <c r="T10" i="4"/>
  <c r="M9" i="4"/>
  <c r="AZ9" i="4" s="1"/>
  <c r="BD9" i="4" s="1"/>
  <c r="O12" i="1"/>
  <c r="T12" i="1" s="1"/>
  <c r="O11" i="1"/>
  <c r="T11" i="1" s="1"/>
  <c r="Q15" i="1"/>
  <c r="V15" i="1" s="1"/>
  <c r="AP9" i="4"/>
  <c r="AV16" i="4"/>
  <c r="AQ17" i="4"/>
  <c r="AA10" i="4"/>
  <c r="AB18" i="4"/>
  <c r="AC11" i="4"/>
  <c r="AB17" i="4"/>
  <c r="Z12" i="4"/>
  <c r="Z10" i="4"/>
  <c r="X12" i="4"/>
  <c r="AB19" i="4"/>
  <c r="S16" i="4"/>
  <c r="AC19" i="4"/>
  <c r="T15" i="4"/>
  <c r="Y12" i="4"/>
  <c r="U11" i="4"/>
  <c r="Z14" i="4"/>
  <c r="O13" i="1"/>
  <c r="T13" i="1" s="1"/>
  <c r="Y13" i="1" s="1"/>
  <c r="AZ10" i="4"/>
  <c r="O14" i="1"/>
  <c r="T14" i="1" s="1"/>
  <c r="Q18" i="1"/>
  <c r="V18" i="1" s="1"/>
  <c r="AQ9" i="4"/>
  <c r="AO16" i="4"/>
  <c r="AW16" i="4"/>
  <c r="AR17" i="4"/>
  <c r="AX17" i="4"/>
  <c r="BE17" i="4" s="1"/>
  <c r="W15" i="4"/>
  <c r="AB13" i="4"/>
  <c r="AA17" i="4"/>
  <c r="Y14" i="4"/>
  <c r="X18" i="4"/>
  <c r="T12" i="4"/>
  <c r="V18" i="4"/>
  <c r="X14" i="4"/>
  <c r="W16" i="4"/>
  <c r="V12" i="4"/>
  <c r="Z15" i="4"/>
  <c r="W18" i="4"/>
  <c r="V14" i="4"/>
  <c r="X10" i="4"/>
  <c r="O18" i="1"/>
  <c r="T18" i="1" s="1"/>
  <c r="AS16" i="4"/>
  <c r="O20" i="1"/>
  <c r="T20" i="1" s="1"/>
  <c r="Q16" i="1"/>
  <c r="V16" i="1" s="1"/>
  <c r="Q13" i="1"/>
  <c r="V13" i="1" s="1"/>
  <c r="AR9" i="4"/>
  <c r="AX9" i="4"/>
  <c r="BE9" i="4" s="1"/>
  <c r="AP16" i="4"/>
  <c r="AS17" i="4"/>
  <c r="AY17" i="4"/>
  <c r="T13" i="4"/>
  <c r="Z19" i="4"/>
  <c r="Y16" i="4"/>
  <c r="S12" i="4"/>
  <c r="Y10" i="4"/>
  <c r="AC17" i="4"/>
  <c r="AA13" i="4"/>
  <c r="AC14" i="4"/>
  <c r="U13" i="4"/>
  <c r="V16" i="4"/>
  <c r="AC10" i="4"/>
  <c r="AB14" i="4"/>
  <c r="S10" i="4"/>
  <c r="Z16" i="4"/>
  <c r="Y17" i="1"/>
  <c r="O15" i="1"/>
  <c r="T15" i="1" s="1"/>
  <c r="AS9" i="4"/>
  <c r="S17" i="4"/>
  <c r="S11" i="4"/>
  <c r="S14" i="4"/>
  <c r="AA11" i="4"/>
  <c r="U18" i="4"/>
  <c r="Z13" i="4"/>
  <c r="T11" i="4"/>
  <c r="AB12" i="4"/>
  <c r="S19" i="4"/>
  <c r="X11" i="4"/>
  <c r="AA16" i="4"/>
  <c r="S15" i="4"/>
  <c r="AB15" i="4"/>
  <c r="BH10" i="4" l="1"/>
  <c r="BH4" i="4" s="1"/>
  <c r="Y20" i="1"/>
  <c r="X13" i="1"/>
  <c r="AB11" i="1"/>
  <c r="AD17" i="1"/>
  <c r="AB20" i="1"/>
  <c r="X11" i="1"/>
  <c r="BF13" i="4"/>
  <c r="BD14" i="4"/>
  <c r="BD11" i="4"/>
  <c r="AA14" i="1"/>
  <c r="AB14" i="1"/>
  <c r="BD12" i="4"/>
  <c r="BF12" i="4"/>
  <c r="BD18" i="4"/>
  <c r="BF18" i="4"/>
  <c r="BF11" i="4"/>
  <c r="BH9" i="4"/>
  <c r="AA12" i="1"/>
  <c r="AB12" i="1"/>
  <c r="AB13" i="1"/>
  <c r="AD13" i="1" s="1"/>
  <c r="AB16" i="1"/>
  <c r="AA16" i="1"/>
  <c r="Y15" i="1"/>
  <c r="X15" i="1"/>
  <c r="BD17" i="4"/>
  <c r="BF17" i="4"/>
  <c r="BF9" i="4"/>
  <c r="BI9" i="4" s="1"/>
  <c r="X12" i="1"/>
  <c r="Y12" i="1"/>
  <c r="AA13" i="1"/>
  <c r="AC13" i="1" s="1"/>
  <c r="AA18" i="1"/>
  <c r="AB18" i="1"/>
  <c r="BD15" i="4"/>
  <c r="AA21" i="1"/>
  <c r="AB21" i="1"/>
  <c r="Y18" i="1"/>
  <c r="X18" i="1"/>
  <c r="BF10" i="4"/>
  <c r="BD10" i="4"/>
  <c r="AC11" i="1"/>
  <c r="Y16" i="1"/>
  <c r="X16" i="1"/>
  <c r="BD16" i="4"/>
  <c r="BF16" i="4"/>
  <c r="BD13" i="4"/>
  <c r="X21" i="1"/>
  <c r="Y21" i="1"/>
  <c r="AC17" i="1"/>
  <c r="X14" i="1"/>
  <c r="AC14" i="1" s="1"/>
  <c r="Y14" i="1"/>
  <c r="Y11" i="1"/>
  <c r="AD11" i="1" s="1"/>
  <c r="X19" i="1"/>
  <c r="Y19" i="1"/>
  <c r="BD19" i="4"/>
  <c r="BF19" i="4"/>
  <c r="AB19" i="1"/>
  <c r="AA19" i="1"/>
  <c r="BF14" i="4"/>
  <c r="AB15" i="1"/>
  <c r="AA15" i="1"/>
  <c r="X20" i="1"/>
  <c r="AC20" i="1" s="1"/>
  <c r="BF15" i="4"/>
  <c r="BI10" i="4" l="1"/>
  <c r="BI4" i="4" s="1"/>
  <c r="AC21" i="1"/>
  <c r="AD20" i="1"/>
  <c r="AD14" i="1"/>
  <c r="E15" i="8"/>
  <c r="D11" i="8" s="1"/>
  <c r="AD16" i="1"/>
  <c r="BK13" i="4"/>
  <c r="BK14" i="4"/>
  <c r="AD18" i="1"/>
  <c r="AD12" i="1"/>
  <c r="AC12" i="1"/>
  <c r="AC18" i="1"/>
  <c r="BK11" i="4"/>
  <c r="BK12" i="4"/>
  <c r="BK18" i="4"/>
  <c r="BK16" i="4"/>
  <c r="AC16" i="1"/>
  <c r="AD19" i="1"/>
  <c r="AD21" i="1"/>
  <c r="AC19" i="1"/>
  <c r="BK10" i="4"/>
  <c r="BK15" i="4"/>
  <c r="BK17" i="4"/>
  <c r="AC15" i="1"/>
  <c r="AD15" i="1"/>
  <c r="BK19" i="4" l="1"/>
  <c r="G15" i="8" s="1"/>
  <c r="D12" i="8" s="1"/>
  <c r="F15" i="8"/>
  <c r="D10" i="8" s="1"/>
  <c r="AD6" i="1"/>
  <c r="AC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James C. Hall</author>
  </authors>
  <commentList>
    <comment ref="B7" authorId="0" shapeId="0" xr:uid="{CC010752-F020-4EB1-9764-5C7089E68E69}">
      <text>
        <r>
          <rPr>
            <sz val="9"/>
            <color indexed="81"/>
            <rFont val="Tahoma"/>
            <family val="2"/>
          </rPr>
          <t>For internal use.
The applicant may leave this field blank.</t>
        </r>
      </text>
    </comment>
    <comment ref="B8" authorId="0" shapeId="0" xr:uid="{1FCD20F3-6EBD-4480-BC55-B852A66B28F5}">
      <text>
        <r>
          <rPr>
            <sz val="9"/>
            <color indexed="81"/>
            <rFont val="Tahoma"/>
            <family val="2"/>
          </rPr>
          <t>For internal use.
The applicant may leave this field blank.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Mary-Hall</author>
  </authors>
  <commentList>
    <comment ref="K8" authorId="0" shapeId="0" xr:uid="{E5180363-BBF5-4CCE-BF83-7001A63E7BBA}">
      <text>
        <r>
          <rPr>
            <b/>
            <sz val="9"/>
            <color indexed="81"/>
            <rFont val="Tahoma"/>
            <family val="2"/>
          </rPr>
          <t>Mary-Hall:</t>
        </r>
        <r>
          <rPr>
            <sz val="9"/>
            <color indexed="81"/>
            <rFont val="Tahoma"/>
            <family val="2"/>
          </rPr>
          <t xml:space="preserve">
default value is 0.78 for pumps and 0.76 for fans</t>
        </r>
      </text>
    </comment>
    <comment ref="L8" authorId="0" shapeId="0" xr:uid="{C4DAE849-B9E8-4A01-8E7E-B6C292D94ACD}">
      <text>
        <r>
          <rPr>
            <b/>
            <sz val="9"/>
            <color indexed="81"/>
            <rFont val="Tahoma"/>
            <family val="2"/>
          </rPr>
          <t>Mary-Hall:</t>
        </r>
        <r>
          <rPr>
            <sz val="9"/>
            <color indexed="81"/>
            <rFont val="Tahoma"/>
            <family val="2"/>
          </rPr>
          <t xml:space="preserve">
Use this column to overwrite the default.</t>
        </r>
      </text>
    </comment>
    <comment ref="N8" authorId="0" shapeId="0" xr:uid="{DBE8618E-5A27-4B98-9164-397D14BF3DE0}">
      <text>
        <r>
          <rPr>
            <b/>
            <sz val="9"/>
            <color indexed="81"/>
            <rFont val="Tahoma"/>
            <family val="2"/>
          </rPr>
          <t>Mary-Hall:</t>
        </r>
        <r>
          <rPr>
            <sz val="9"/>
            <color indexed="81"/>
            <rFont val="Tahoma"/>
            <family val="2"/>
          </rPr>
          <t xml:space="preserve">
Enter custom operating hours to override the default
</t>
        </r>
      </text>
    </comment>
    <comment ref="P8" authorId="0" shapeId="0" xr:uid="{ABD36012-4BD8-447F-801C-EF3501F39655}">
      <text>
        <r>
          <rPr>
            <b/>
            <sz val="9"/>
            <color indexed="81"/>
            <rFont val="Tahoma"/>
            <family val="2"/>
          </rPr>
          <t>Mary-Hall:</t>
        </r>
        <r>
          <rPr>
            <sz val="9"/>
            <color indexed="81"/>
            <rFont val="Tahoma"/>
            <family val="2"/>
          </rPr>
          <t xml:space="preserve">
Default is 90%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Mary-Hall</author>
  </authors>
  <commentList>
    <comment ref="I10" authorId="0" shapeId="0" xr:uid="{9841B243-6F1C-4A5C-BD67-4F779E83B0DA}">
      <text>
        <r>
          <rPr>
            <b/>
            <sz val="9"/>
            <color indexed="81"/>
            <rFont val="Tahoma"/>
            <family val="2"/>
          </rPr>
          <t>Mary-Hall:</t>
        </r>
        <r>
          <rPr>
            <sz val="9"/>
            <color indexed="81"/>
            <rFont val="Tahoma"/>
            <family val="2"/>
          </rPr>
          <t xml:space="preserve">
3600 RPM   2 Pole
1800 RPM   4 Pole
1200 RPM   6 Pole
900 RPM     8 Pole</t>
        </r>
      </text>
    </comment>
    <comment ref="M10" authorId="0" shapeId="0" xr:uid="{37CB04B2-7C94-4817-A24A-F7B4555EB6DA}">
      <text>
        <r>
          <rPr>
            <b/>
            <sz val="9"/>
            <color indexed="81"/>
            <rFont val="Tahoma"/>
            <family val="2"/>
          </rPr>
          <t>Mary-Hall:</t>
        </r>
        <r>
          <rPr>
            <sz val="9"/>
            <color indexed="81"/>
            <rFont val="Tahoma"/>
            <family val="2"/>
          </rPr>
          <t xml:space="preserve">
default value is 0.78 for pumps and 0.76 for fans</t>
        </r>
      </text>
    </comment>
    <comment ref="N10" authorId="0" shapeId="0" xr:uid="{967C2E55-58A4-4E42-8E04-68F8A4BE53A9}">
      <text>
        <r>
          <rPr>
            <b/>
            <sz val="9"/>
            <color indexed="81"/>
            <rFont val="Tahoma"/>
            <family val="2"/>
          </rPr>
          <t>Mary-Hall:</t>
        </r>
        <r>
          <rPr>
            <sz val="9"/>
            <color indexed="81"/>
            <rFont val="Tahoma"/>
            <family val="2"/>
          </rPr>
          <t xml:space="preserve">
Use this column to overwrite the default.</t>
        </r>
      </text>
    </comment>
    <comment ref="P10" authorId="0" shapeId="0" xr:uid="{3CA6CF0F-A421-4C1C-8A75-FDB73A3E5865}">
      <text>
        <r>
          <rPr>
            <b/>
            <sz val="9"/>
            <color indexed="81"/>
            <rFont val="Tahoma"/>
            <family val="2"/>
          </rPr>
          <t>Mary-Hall:</t>
        </r>
        <r>
          <rPr>
            <sz val="9"/>
            <color indexed="81"/>
            <rFont val="Tahoma"/>
            <family val="2"/>
          </rPr>
          <t xml:space="preserve">
Enter custom operating hours to override the default
</t>
        </r>
      </text>
    </comment>
    <comment ref="R10" authorId="0" shapeId="0" xr:uid="{CB26FBE8-1EB6-4056-9613-3F628DE32D68}">
      <text>
        <r>
          <rPr>
            <b/>
            <sz val="9"/>
            <color indexed="81"/>
            <rFont val="Tahoma"/>
            <family val="2"/>
          </rPr>
          <t>Mary-Hall:</t>
        </r>
        <r>
          <rPr>
            <sz val="9"/>
            <color indexed="81"/>
            <rFont val="Tahoma"/>
            <family val="2"/>
          </rPr>
          <t xml:space="preserve">
Enter custom operating hours to override the default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Mary-Hall</author>
  </authors>
  <commentList>
    <comment ref="E5" authorId="0" shapeId="0" xr:uid="{35C642DE-44A0-4A8E-8273-0E5A755DAAC1}">
      <text>
        <r>
          <rPr>
            <b/>
            <sz val="9"/>
            <color indexed="81"/>
            <rFont val="Tahoma"/>
            <family val="2"/>
          </rPr>
          <t>Mary-Hall:</t>
        </r>
        <r>
          <rPr>
            <sz val="9"/>
            <color indexed="81"/>
            <rFont val="Tahoma"/>
            <family val="2"/>
          </rPr>
          <t xml:space="preserve">
Load Profile can be renamed</t>
        </r>
      </text>
    </comment>
    <comment ref="F5" authorId="0" shapeId="0" xr:uid="{AB02BCBB-056F-4AE6-ADB7-629A8962A977}">
      <text>
        <r>
          <rPr>
            <b/>
            <sz val="9"/>
            <color indexed="81"/>
            <rFont val="Tahoma"/>
            <family val="2"/>
          </rPr>
          <t>Mary-Hall:</t>
        </r>
        <r>
          <rPr>
            <sz val="9"/>
            <color indexed="81"/>
            <rFont val="Tahoma"/>
            <family val="2"/>
          </rPr>
          <t xml:space="preserve">
Load profile can be renamed</t>
        </r>
      </text>
    </comment>
    <comment ref="G5" authorId="0" shapeId="0" xr:uid="{B0151CC3-053A-43AF-8E75-1EFD960C3403}">
      <text>
        <r>
          <rPr>
            <b/>
            <sz val="9"/>
            <color indexed="81"/>
            <rFont val="Tahoma"/>
            <family val="2"/>
          </rPr>
          <t>Mary-Hall:</t>
        </r>
        <r>
          <rPr>
            <sz val="9"/>
            <color indexed="81"/>
            <rFont val="Tahoma"/>
            <family val="2"/>
          </rPr>
          <t xml:space="preserve">
Load profile can be renamed</t>
        </r>
      </text>
    </comment>
    <comment ref="H5" authorId="0" shapeId="0" xr:uid="{726A77C8-BA31-451C-B960-04D0D270EA7B}">
      <text>
        <r>
          <rPr>
            <b/>
            <sz val="9"/>
            <color indexed="81"/>
            <rFont val="Tahoma"/>
            <family val="2"/>
          </rPr>
          <t>Mary-Hall:</t>
        </r>
        <r>
          <rPr>
            <sz val="9"/>
            <color indexed="81"/>
            <rFont val="Tahoma"/>
            <family val="2"/>
          </rPr>
          <t xml:space="preserve">
Load Profile can be renamed</t>
        </r>
      </text>
    </comment>
    <comment ref="I5" authorId="0" shapeId="0" xr:uid="{1C83A072-829A-4C8D-B20C-ED2466A84944}">
      <text>
        <r>
          <rPr>
            <b/>
            <sz val="9"/>
            <color indexed="81"/>
            <rFont val="Tahoma"/>
            <family val="2"/>
          </rPr>
          <t>Mary-Hall:</t>
        </r>
        <r>
          <rPr>
            <sz val="9"/>
            <color indexed="81"/>
            <rFont val="Tahoma"/>
            <family val="2"/>
          </rPr>
          <t xml:space="preserve">
Load Profile can be renamed</t>
        </r>
      </text>
    </comment>
    <comment ref="J5" authorId="0" shapeId="0" xr:uid="{EBC32BF0-796F-4B68-BD08-97D03BA75C27}">
      <text>
        <r>
          <rPr>
            <b/>
            <sz val="9"/>
            <color indexed="81"/>
            <rFont val="Tahoma"/>
            <family val="2"/>
          </rPr>
          <t>Mary-Hall:</t>
        </r>
        <r>
          <rPr>
            <sz val="9"/>
            <color indexed="81"/>
            <rFont val="Tahoma"/>
            <family val="2"/>
          </rPr>
          <t xml:space="preserve">
Load Profile can be renamed</t>
        </r>
      </text>
    </comment>
    <comment ref="K5" authorId="0" shapeId="0" xr:uid="{DB470012-547B-4AE9-B5E9-7916D685863E}">
      <text>
        <r>
          <rPr>
            <b/>
            <sz val="9"/>
            <color indexed="81"/>
            <rFont val="Tahoma"/>
            <family val="2"/>
          </rPr>
          <t>Mary-Hall:</t>
        </r>
        <r>
          <rPr>
            <sz val="9"/>
            <color indexed="81"/>
            <rFont val="Tahoma"/>
            <family val="2"/>
          </rPr>
          <t xml:space="preserve">
Load Profile can be renamed</t>
        </r>
      </text>
    </comment>
    <comment ref="L5" authorId="0" shapeId="0" xr:uid="{8CCA56F0-EC9C-4498-B12B-41FDE5C22C78}">
      <text>
        <r>
          <rPr>
            <b/>
            <sz val="9"/>
            <color indexed="81"/>
            <rFont val="Tahoma"/>
            <family val="2"/>
          </rPr>
          <t>Mary-Hall:</t>
        </r>
        <r>
          <rPr>
            <sz val="9"/>
            <color indexed="81"/>
            <rFont val="Tahoma"/>
            <family val="2"/>
          </rPr>
          <t xml:space="preserve">
Load Profile can be renamed</t>
        </r>
      </text>
    </comment>
    <comment ref="M5" authorId="0" shapeId="0" xr:uid="{BA2DA37E-A9E4-49F8-B973-FECE6FDDDE5A}">
      <text>
        <r>
          <rPr>
            <b/>
            <sz val="9"/>
            <color indexed="81"/>
            <rFont val="Tahoma"/>
            <family val="2"/>
          </rPr>
          <t>Mary-Hall:</t>
        </r>
        <r>
          <rPr>
            <sz val="9"/>
            <color indexed="81"/>
            <rFont val="Tahoma"/>
            <family val="2"/>
          </rPr>
          <t xml:space="preserve">
Load Profile can be renamed</t>
        </r>
      </text>
    </comment>
    <comment ref="N5" authorId="0" shapeId="0" xr:uid="{E189B8CB-3F42-4E5F-AC58-BA1815D41B2F}">
      <text>
        <r>
          <rPr>
            <b/>
            <sz val="9"/>
            <color indexed="81"/>
            <rFont val="Tahoma"/>
            <family val="2"/>
          </rPr>
          <t>Mary-Hall:</t>
        </r>
        <r>
          <rPr>
            <sz val="9"/>
            <color indexed="81"/>
            <rFont val="Tahoma"/>
            <family val="2"/>
          </rPr>
          <t xml:space="preserve">
Load Profile can be renamed</t>
        </r>
      </text>
    </comment>
    <comment ref="E17" authorId="0" shapeId="0" xr:uid="{B4DDF4FA-6038-4EE7-A9E0-3AC2A6A744F1}">
      <text>
        <r>
          <rPr>
            <b/>
            <sz val="9"/>
            <color indexed="81"/>
            <rFont val="Tahoma"/>
            <family val="2"/>
          </rPr>
          <t>Mary-Hall:</t>
        </r>
        <r>
          <rPr>
            <sz val="9"/>
            <color indexed="81"/>
            <rFont val="Tahoma"/>
            <family val="2"/>
          </rPr>
          <t xml:space="preserve">
Total should equal 100%.</t>
        </r>
      </text>
    </comment>
    <comment ref="F17" authorId="0" shapeId="0" xr:uid="{94C9425E-2098-48C7-90DC-D34E79D29782}">
      <text>
        <r>
          <rPr>
            <b/>
            <sz val="9"/>
            <color indexed="81"/>
            <rFont val="Tahoma"/>
            <family val="2"/>
          </rPr>
          <t>Mary-Hall:</t>
        </r>
        <r>
          <rPr>
            <sz val="9"/>
            <color indexed="81"/>
            <rFont val="Tahoma"/>
            <family val="2"/>
          </rPr>
          <t xml:space="preserve">
Total should equal 100%.</t>
        </r>
      </text>
    </comment>
    <comment ref="G17" authorId="0" shapeId="0" xr:uid="{21652EED-7909-4591-B53D-230F5F66BE45}">
      <text>
        <r>
          <rPr>
            <b/>
            <sz val="9"/>
            <color indexed="81"/>
            <rFont val="Tahoma"/>
            <family val="2"/>
          </rPr>
          <t>Mary-Hall:</t>
        </r>
        <r>
          <rPr>
            <sz val="9"/>
            <color indexed="81"/>
            <rFont val="Tahoma"/>
            <family val="2"/>
          </rPr>
          <t xml:space="preserve">
Total should equal 100%.</t>
        </r>
      </text>
    </comment>
  </commentList>
</comments>
</file>

<file path=xl/sharedStrings.xml><?xml version="1.0" encoding="utf-8"?>
<sst xmlns="http://schemas.openxmlformats.org/spreadsheetml/2006/main" count="1219" uniqueCount="326">
  <si>
    <t>Pennsylvania Act 129 Motor &amp; VFD Audit and Design Tool</t>
  </si>
  <si>
    <t>MANUAL</t>
  </si>
  <si>
    <t>Table of Contents:</t>
  </si>
  <si>
    <t>I.  Purpose</t>
  </si>
  <si>
    <t>II.  Organization</t>
  </si>
  <si>
    <t>III.  User Guide</t>
  </si>
  <si>
    <t>IV.  Disclaimer</t>
  </si>
  <si>
    <t>I. Purpose</t>
  </si>
  <si>
    <t>The purpose of the Motor &amp; VFD Audit and Design Tool is two-fold:</t>
  </si>
  <si>
    <t>1. To document the pre- and post-installation cases.</t>
  </si>
  <si>
    <t xml:space="preserve">2. To facilitate the calculation of energy savings and demand reduction for motor and VFD installations. </t>
  </si>
  <si>
    <t>II. Organization</t>
  </si>
  <si>
    <t>The Motor &amp; VFD Audit and Design Tool is organized into 6 sheets.</t>
  </si>
  <si>
    <t>(1) Manual</t>
  </si>
  <si>
    <t>The "Manual" sheet contains the instruction manual for using the Motor &amp; VFD Audit and Design Tool.</t>
  </si>
  <si>
    <t>(2) Changelog</t>
  </si>
  <si>
    <t xml:space="preserve">The "Changelog" sheet provides a brief description of major changes from the previous version. </t>
  </si>
  <si>
    <t>(3) General Information</t>
  </si>
  <si>
    <t>The "General Information" sheet should be populated with basic information about the project, like project and facility name. Fields for Utility, Facility Type, and Weather Location are necessary to properly pull in default values from the TRM.</t>
  </si>
  <si>
    <t>(4) 3.3.1 Premium Efficiency Motors</t>
  </si>
  <si>
    <t xml:space="preserve">The "3.3.1 Premium Efficiency Motors" sheet collects all relevant information to calculate energy savings and peak demand reduction for motor replacements. This form follows the conventions and equations described in the PA TRM and facilitates the calculation of gross energy savings for evaluation purposes. Note that the requirements of Section 3.3.1  (Premium Efficiency Motors) in the 2021 TRM restrict the protocol to only motor replacements without VFDs. This form must be used to calculate savings for motor replacement measures only (i.e. replacement of old motors with new energy efficient motors of the same rated horsepower).  </t>
  </si>
  <si>
    <t xml:space="preserve">The energy efficiency motor and configuration details should be entered in the "Post-Retrofit Details" section (columns E-N). Baseline motor efficiency will be automatically populated using tables as defined in the 2021 TRM. The energy and peak demand savings resulting from the motor replacement alone will be automatically calculated in cells AD6 and AC6 respectively. To calculate savings resulting from VFD measures, refer to the notes described below.   </t>
  </si>
  <si>
    <t>(5) 3.3.2 VFD Improvements</t>
  </si>
  <si>
    <t xml:space="preserve">The "3.3.2 VFD Improvements" sheet collects all relevant information to calculate energy savings and peak demand reduction for VFDs. This form follows the conventions and equations described in the PA TRM and facilitates the calculation of gross energy savings for evaluation purposes. This form must be used to calculate savings for VFD measures only, not the combination of new motors and VFDs. </t>
  </si>
  <si>
    <t>The motor and configuration details should be entered in the "Post-Retrofit Details" section (Columns E-N) for a motor with VFD. A custom motor load profile can be selected if the appropriate fields are populated on the 'VFD Custom Load Profile' tab. Select the baseline control configuration from the pull down menu in Column O. The energy and peak demand savings resulting from installation of a VFD will be automatically calculated in cells BF6 and BE6 respectively. Note that custom protocols must be followed if the existing motor already has a VFD installed or if the VFD Baseline is not listed in the options.</t>
  </si>
  <si>
    <t>(6) VFD Custom Load Profile</t>
  </si>
  <si>
    <t>The "VFD Custom Load Profile" sheet should be used to define custom fan or pump load profiles for a VFD project. Up to 10 custom profiles can be entered.</t>
  </si>
  <si>
    <t>(7) Lookups</t>
  </si>
  <si>
    <t>This tab houses lookup tables used in both the motor and VFD calculation worksheets. Tables taken from the TRM include default hours of use and motor baseline efficiency.</t>
  </si>
  <si>
    <t>III. User Guide</t>
  </si>
  <si>
    <t>The tool contains all information regarding motors and VFDs required for the calculation of savings pursuant to the PA TRM. The use of this tool is encouraged but not required.
Users of the Motor and VFD Audit and Design Tool must complete the "Motor Inventory" and/or "VFD Inventory" depending on the measures installed for the project. For VFD measures in conjunction with a motor replacement measure, the savings must be calculated separately using the "Motor Form" and "VFD Form". To find out how to calculate savings resulting from motor replacement and VFD measures separately, refer to the notes described above.   
The designer must select the appropriate facility type, utility, and weather file from the drop down menu. Use one line for each unique motor, i.e. motors with different operating conditions or different motor specifications. Complete all green fields to calculate the peak demand reduction and annual energy savings. Gray fields are computed automatically. Roll mouse over the field heading for additional help.
Projects with facility types or motor functions not included on the drop down menu must follow custom protocols to determine appropriate run hours and coincidence factor values. Motor replacements with the following conditions should also follow custom protocols:</t>
  </si>
  <si>
    <t>* Variable frequency drive (VFD) control on the existing (baseline) motor</t>
  </si>
  <si>
    <t>* Two-speed motor (existing and/or new)</t>
  </si>
  <si>
    <t>* Single speed motor with variable loading (not standard)</t>
  </si>
  <si>
    <t>* Industrial process applications</t>
  </si>
  <si>
    <t xml:space="preserve"> </t>
  </si>
  <si>
    <t xml:space="preserve">* Applications where the building type or motor usage group is not listed in Table 3-67 through 3-71 of the 2021 TRM </t>
  </si>
  <si>
    <t>* New motor has a different rated horsepower than the existing motor</t>
  </si>
  <si>
    <t>* Change in annual operating hours is anticipated</t>
  </si>
  <si>
    <t>IV. Disclaimer</t>
  </si>
  <si>
    <t>This document does not modify any requirements of the PA TRM and is provided for convenience only. If any discrepancy between the TRM and this document exist, the TRM should be followed.</t>
  </si>
  <si>
    <t xml:space="preserve"> CHANGELOG</t>
  </si>
  <si>
    <t>Version 7 (Effective June 3, 2010)</t>
  </si>
  <si>
    <t>1)</t>
  </si>
  <si>
    <t>Released with TRM Order in June 2010</t>
  </si>
  <si>
    <t>Version 8 (Submitted October 27, 2011. Effective June 1, 2011)</t>
  </si>
  <si>
    <t>Created Changelog</t>
  </si>
  <si>
    <t>2)</t>
  </si>
  <si>
    <t>Revised "Manual" and "Glossary" to improve user guide and increase usability</t>
  </si>
  <si>
    <t>3)</t>
  </si>
  <si>
    <t>Revised "Manual" and "Glossary" to reflect new changes to the TRM</t>
  </si>
  <si>
    <t>Version 9 (Submitted September 13, 2011 for 2012 TRM Tentative Order)</t>
  </si>
  <si>
    <t>In "Motor and VFD Form", revised formulas in Columns O, P, and S to correct referencing errors</t>
  </si>
  <si>
    <t>In "Motor and VFD Form", added Column Q (Full Load kW) to correct a calculation error incorrectly applying DSF</t>
  </si>
  <si>
    <t>In "Motor and VFD Form", revised Column G (Coincidence Factor) to reflect TRM values (0.74 for single, 0.37 for duplex)</t>
  </si>
  <si>
    <t>4)</t>
  </si>
  <si>
    <t>In "Glossary", revised definition of coincidence factor to reflect above change.</t>
  </si>
  <si>
    <t>5)</t>
  </si>
  <si>
    <t>In "Glossary", added definition for "Full Load kW"</t>
  </si>
  <si>
    <t>6)</t>
  </si>
  <si>
    <t>In "Glossary", revised definition of "Nominal Efficiency" to reflect ability to custom input efficiency values for the new motor efficiency and baseline motor efficiency if the new motor is for new construction or replace on burnout.</t>
  </si>
  <si>
    <t>7)</t>
  </si>
  <si>
    <t>In "Manual", updated TRM reference from Table 6-12 to Table 3-15</t>
  </si>
  <si>
    <t>Version 10 (Submitted December 5, 2011 for 2012 TRM Final Order)</t>
  </si>
  <si>
    <t>In "Motor and VFD Form", updated operating hours lookup table to reflect TRM table.</t>
  </si>
  <si>
    <t>In "Motor and VFD Form", corrected formulas for efficiency lookups, post-installation peak kW calculation, and total kWh calculation for post-installation line item #7.</t>
  </si>
  <si>
    <t>In "Motor and VFD Form", updated form to include new ESF and DSF values.</t>
  </si>
  <si>
    <t>In "Glossary", updated entries to reflect new column O and definition of "baseline".</t>
  </si>
  <si>
    <t>Version 11 (Submitted August 31, 2012 for 2013 TRM Tentative Order)</t>
  </si>
  <si>
    <t>Created "Motor Form" and "VFD Form" to calculate savings for motors and VFD measures separately to be consistent with TRM protocols.</t>
  </si>
  <si>
    <t>In "Motor Form" and "VFD Form", updated operating hours lookup table to reflect TRM table.</t>
  </si>
  <si>
    <t>In "VFD Form", updated ESF and DSF values lookup table to reflect TRM table.</t>
  </si>
  <si>
    <t>Revised "Manual" and "Glossary" to reflect new changes to the TRM and Appendix D</t>
  </si>
  <si>
    <t>Version 12 (Submitted December 07, 2012 for 2013 TRM Final Order)</t>
  </si>
  <si>
    <t>Changed the definition of "Load Factor" in Glossary to be consistent with TRM protocols.</t>
  </si>
  <si>
    <t xml:space="preserve">Version 13 (Submitted August 29, 2013 for 2014 TRM Tentative Order) </t>
  </si>
  <si>
    <t xml:space="preserve">Revised the algorithms in Column R of the "VFD Form" tab used to calculate energy and peak demand savings to be consistent with TRM protocols. Removed a conversion factor of 0.746 to convert from HP to kW.  </t>
  </si>
  <si>
    <t xml:space="preserve">Version 13 (Submitted December 05, 2013 for 2014 TRM Final Order) </t>
  </si>
  <si>
    <t>Updated motor efficiency tables to reflect new changes to the TRM.</t>
  </si>
  <si>
    <t>Removed motor efficiency tables from "VFD Form".</t>
  </si>
  <si>
    <t>Revised "Motor Form" and added "Motor Custom Input" to allow for addition of custom motor applications.</t>
  </si>
  <si>
    <t>Revised "Manual" and "Glossary" to reflect new changes to the TRM and Appendix D.</t>
  </si>
  <si>
    <t>Version 14 (Submitted August 05, 2014)</t>
  </si>
  <si>
    <t>Updated "Coincidence Factor" , "Operating Hours"  and "Facility Type" lookup tables to reflect new changes to the TRM.</t>
  </si>
  <si>
    <t>Formulas for Coincidence Factor and Operating hours are updated to reflect changes to the TRM.</t>
  </si>
  <si>
    <t>Consolidated all lookup tables under single tab "Lookup Tables"; updated references to lookup tables.</t>
  </si>
  <si>
    <t>Added "City" to the general information section for "Motor Form" , "VFD Form" , "Motor Custom Input" and "Summary"</t>
  </si>
  <si>
    <t>Linked general information cells of "Motor Form" , "VFD Form" and "Motor Custom Input" to cells in "Summary". Locked the cells to protect their links.</t>
  </si>
  <si>
    <t>Motor Configuration column is deleted from  "Motor Form" and "VFD Form"</t>
  </si>
  <si>
    <t>8)</t>
  </si>
  <si>
    <t>Installation date cell is modified to allow entry of a date between 6/1/2015 and 5/31/2016 only. For all other dates , an error message is displayed.</t>
  </si>
  <si>
    <t>9)</t>
  </si>
  <si>
    <t>Program Year is limited to Program Year 7.</t>
  </si>
  <si>
    <t>10)</t>
  </si>
  <si>
    <t>"VFD on Motor" column is deleted from "VFD Form". The formulas for ESF, DSF and Full Load kW are updated to exclude the deleted column.</t>
  </si>
  <si>
    <t>11)</t>
  </si>
  <si>
    <t>"Full Load kW" on "VFD Form" revised - previously displayed a horsepower value. "Peak kW" and "Annual kWh" adjusted to account for change made to "Full Load kW."</t>
  </si>
  <si>
    <t>12)</t>
  </si>
  <si>
    <t>Introduced a macro button on "Motor Form" and "VFD Form" that increases number of motor line items for user's convenience.</t>
  </si>
  <si>
    <t>13)</t>
  </si>
  <si>
    <t>Added 900 RPM option to "Synchronous Speed" for "Motor Form", "VFD Form" and "Motor Custom Form."</t>
  </si>
  <si>
    <t>14)</t>
  </si>
  <si>
    <t>15)</t>
  </si>
  <si>
    <t xml:space="preserve">References to "Hot Water Pump" changed to "Heating Hot Water Pump" to be consistent with TRM.  References to "HWP" changed to "HHWP." </t>
  </si>
  <si>
    <t>Version 15 (Submitted February 20, 2015)</t>
  </si>
  <si>
    <t>Removed "Nema Design Type", "Synchronous Speed" and "Enclosure Type" fields from post-installation data in "Motor Form"</t>
  </si>
  <si>
    <t>Version 16 (Submitted June 1, 2015)</t>
  </si>
  <si>
    <t>1) Relocated "Summary" form before the other input forms</t>
  </si>
  <si>
    <t>2) Updated selectable program years to reflect Phase III program years</t>
  </si>
  <si>
    <t>3) Updated TRM table references in "Lookup Tables"</t>
  </si>
  <si>
    <t>1) Major revisions to the 'VFD Form' tab:</t>
  </si>
  <si>
    <t>1.1) Renamed to '3.3.2 VFD Improvements'</t>
  </si>
  <si>
    <t>1.2) Algorithms changed to reflect 2021 TRM. Instead of defined ESF/DSFs, new algorithm uses load profiles, and baseline and VFD part load factors.</t>
  </si>
  <si>
    <t>1.3) Capability to define custom load profiles added. (See 'VFD Custom Load Profile' tab.) Default 'HVAC Fan' and 'HVAC Pump' profiles included.</t>
  </si>
  <si>
    <t>2) Reformatted 'Motor Form' to align with new 'VFD Inventory' format, including name change to '3.3.1 Premium Efficiency Motors'</t>
  </si>
  <si>
    <t>3) 'General Information' tab created to house basic project information.</t>
  </si>
  <si>
    <t>2020 TRM Appendix D: Motor &amp; VFD Audit and Design Tool</t>
  </si>
  <si>
    <t>3.3.1 Premium Efficiency Motors</t>
  </si>
  <si>
    <t>MOTORS Total</t>
  </si>
  <si>
    <t>SAVINGS</t>
  </si>
  <si>
    <t>POST-RETROFIT DETAILS</t>
  </si>
  <si>
    <t>BASELINE DETAILS</t>
  </si>
  <si>
    <t>Analysis</t>
  </si>
  <si>
    <t>MOTORS</t>
  </si>
  <si>
    <t>Line Item</t>
  </si>
  <si>
    <t>Unique Motor I.D.(s)</t>
  </si>
  <si>
    <t>Motor Function</t>
  </si>
  <si>
    <t>Manufacturer</t>
  </si>
  <si>
    <t>Model Number</t>
  </si>
  <si>
    <t>Motor Horsepower</t>
  </si>
  <si>
    <t>NEMA Design Type</t>
  </si>
  <si>
    <t>Number of Poles</t>
  </si>
  <si>
    <t>Enclosure Type</t>
  </si>
  <si>
    <t>Motor Efficiency</t>
  </si>
  <si>
    <t>Number of Identical Units</t>
  </si>
  <si>
    <t>Default Load Factor (LF)</t>
  </si>
  <si>
    <t>Custom Load Factor (LF)</t>
  </si>
  <si>
    <t>Default Annual Run Hours</t>
  </si>
  <si>
    <t>Custom Annual Run Hours</t>
  </si>
  <si>
    <t>Default Coincidence Factor</t>
  </si>
  <si>
    <t>Custom Coincidence Factor</t>
  </si>
  <si>
    <t>Baseline Nominal Efficiency</t>
  </si>
  <si>
    <t>Analysis Hours</t>
  </si>
  <si>
    <t>Analysis LF</t>
  </si>
  <si>
    <t>Analysis CF</t>
  </si>
  <si>
    <t>Base Full Load kW</t>
  </si>
  <si>
    <t>Base Peak kW</t>
  </si>
  <si>
    <t>Base Annual kWh</t>
  </si>
  <si>
    <t>Energy Efficient Full Load kW</t>
  </si>
  <si>
    <t>Energy Efficient Peak kW</t>
  </si>
  <si>
    <t>Energy Efficient Annual kWh</t>
  </si>
  <si>
    <t>Peak Demand
(kW)</t>
  </si>
  <si>
    <t>Energy
(kWh)</t>
  </si>
  <si>
    <t>Lamps Removed Counter</t>
  </si>
  <si>
    <t>Lamps Installed Counter</t>
  </si>
  <si>
    <t>Ex.</t>
  </si>
  <si>
    <t>CHWP-1</t>
  </si>
  <si>
    <t>SF</t>
  </si>
  <si>
    <t>Baldor</t>
  </si>
  <si>
    <t>A12345</t>
  </si>
  <si>
    <t>NEMA Design A</t>
  </si>
  <si>
    <t>ODP</t>
  </si>
  <si>
    <t>2021 TRM Appendix D: Motor &amp; VFD Audit and Design Tool</t>
  </si>
  <si>
    <t>Total VFDs</t>
  </si>
  <si>
    <t>Load Profile</t>
  </si>
  <si>
    <t>Baseline Power Part Load Ratios</t>
  </si>
  <si>
    <t>VFD Power Part Load Ratios</t>
  </si>
  <si>
    <t>Avg Flow Fraction During Peak</t>
  </si>
  <si>
    <t>Baseline Control Type</t>
  </si>
  <si>
    <t>VFD Control Type</t>
  </si>
  <si>
    <t>Full Load kW</t>
  </si>
  <si>
    <t>SF-1</t>
  </si>
  <si>
    <t>HVAC fan</t>
  </si>
  <si>
    <t>Fan: Constant Volume</t>
  </si>
  <si>
    <t>VFD Custom Load Profile Input</t>
  </si>
  <si>
    <t>% Capacity</t>
  </si>
  <si>
    <t>Default HVAC Fan</t>
  </si>
  <si>
    <t>Default HVAC Pump</t>
  </si>
  <si>
    <t>Custom Load Profile 3</t>
  </si>
  <si>
    <t>Custom Load Profile 4</t>
  </si>
  <si>
    <t>Custom Load Profile 5</t>
  </si>
  <si>
    <t>Custom Load Profile 6</t>
  </si>
  <si>
    <t>Custom Load Profile 7</t>
  </si>
  <si>
    <t>Custom Load Profile 8</t>
  </si>
  <si>
    <t>Custom Load Profile 9</t>
  </si>
  <si>
    <t>Custom Load Profile 10</t>
  </si>
  <si>
    <t>Total</t>
  </si>
  <si>
    <t>LOOKUPS</t>
  </si>
  <si>
    <t>Tables 3-67 through 3-71 (Annual Run Hours)</t>
  </si>
  <si>
    <t>Tables 3-67 through 3-71 (CF)</t>
  </si>
  <si>
    <t>Table 3-73: Defaul Load Profiles for HVAC Fans and Pumps</t>
  </si>
  <si>
    <t>Table 3‑65: Baseline Efficiencies for NEMA Design A and NEMA Design B Motors</t>
  </si>
  <si>
    <t>Table 3‑66: Baseline Motor Nominal Full-Load Efficiencies for NEMA Design C Motors</t>
  </si>
  <si>
    <t>CHWP</t>
  </si>
  <si>
    <t>CTF</t>
  </si>
  <si>
    <t>CW Pump</t>
  </si>
  <si>
    <t>HHWP</t>
  </si>
  <si>
    <t>Flow Fraction (%)</t>
  </si>
  <si>
    <t>Default Load Profile</t>
  </si>
  <si>
    <t>Default LF</t>
  </si>
  <si>
    <t>HP</t>
  </si>
  <si>
    <t>2 Pole (3600 RPM)</t>
  </si>
  <si>
    <t>4 Pole (1800 RPM)</t>
  </si>
  <si>
    <t>6 Pole (1200 RPM)</t>
  </si>
  <si>
    <t>8 Pole (900 RPM)</t>
  </si>
  <si>
    <t>Allentown</t>
  </si>
  <si>
    <t>Education - College/University</t>
  </si>
  <si>
    <t>HVAC Pump</t>
  </si>
  <si>
    <t>VFD Pump</t>
  </si>
  <si>
    <t>Enclosed</t>
  </si>
  <si>
    <t>Open</t>
  </si>
  <si>
    <t>Education - Other</t>
  </si>
  <si>
    <t>HVAC Fan</t>
  </si>
  <si>
    <t>VFD Fan</t>
  </si>
  <si>
    <t>TEFC2</t>
  </si>
  <si>
    <t>ODP2</t>
  </si>
  <si>
    <t>TEFC4</t>
  </si>
  <si>
    <t>ODP4</t>
  </si>
  <si>
    <t>TEFC6</t>
  </si>
  <si>
    <t>ODP6</t>
  </si>
  <si>
    <t>TEFC8</t>
  </si>
  <si>
    <t>ODP8</t>
  </si>
  <si>
    <t>Grocery</t>
  </si>
  <si>
    <t>Health - Hospital</t>
  </si>
  <si>
    <t>Health - Other</t>
  </si>
  <si>
    <t>Industrial Manufacturing</t>
  </si>
  <si>
    <t>Institutional/Public Service</t>
  </si>
  <si>
    <t>Utility</t>
  </si>
  <si>
    <t>Lodging</t>
  </si>
  <si>
    <t>Duquesne Light</t>
  </si>
  <si>
    <t>Office</t>
  </si>
  <si>
    <t>Met-Ed (FirstEnergy)</t>
  </si>
  <si>
    <t>Restaurant</t>
  </si>
  <si>
    <t>Penn Power (FirstEnergy)</t>
  </si>
  <si>
    <t>Retail</t>
  </si>
  <si>
    <t>Penelec (FirstEnergy)</t>
  </si>
  <si>
    <t>Warehouse - Other</t>
  </si>
  <si>
    <t>West Penn Power (FirstEnergy)</t>
  </si>
  <si>
    <t>Warehouse - Refrigerated</t>
  </si>
  <si>
    <t>PECO</t>
  </si>
  <si>
    <t>Binghamton</t>
  </si>
  <si>
    <t>PPL</t>
  </si>
  <si>
    <t>Facility Types</t>
  </si>
  <si>
    <t>Tables 3-74 and 3-75: Power Part Load Ratios</t>
  </si>
  <si>
    <t>Custom 1</t>
  </si>
  <si>
    <t>Edit</t>
  </si>
  <si>
    <t>Fan: Forward Curved with Inlet Guide Vanes</t>
  </si>
  <si>
    <t>N/A</t>
  </si>
  <si>
    <t>Custom 2</t>
  </si>
  <si>
    <t>Fan: Air Foil / Backward Incline with Inlet Guide Vanes</t>
  </si>
  <si>
    <t>Custom 3</t>
  </si>
  <si>
    <t>Fan: Two-Speed CT Fan</t>
  </si>
  <si>
    <t>Fan: Forward Curved</t>
  </si>
  <si>
    <t>Bradford</t>
  </si>
  <si>
    <t>Fan: Air Foil / Backward Incline</t>
  </si>
  <si>
    <t>Pump: Throttle Valve</t>
  </si>
  <si>
    <t>Pump: Constant Volume</t>
  </si>
  <si>
    <t>Baseline Control Types</t>
  </si>
  <si>
    <t>Erie</t>
  </si>
  <si>
    <t>NEMA Design Types</t>
  </si>
  <si>
    <t>NEMA Design B</t>
  </si>
  <si>
    <t>Pump: Chilled Water Pump</t>
  </si>
  <si>
    <t>NEMA Design C</t>
  </si>
  <si>
    <t>Pump: Hot Water Pump</t>
  </si>
  <si>
    <t>City</t>
  </si>
  <si>
    <t>Harrisburg</t>
  </si>
  <si>
    <t>Philadelphia</t>
  </si>
  <si>
    <t>Pittsburgh</t>
  </si>
  <si>
    <t>Scranton</t>
  </si>
  <si>
    <t>SF/RF</t>
  </si>
  <si>
    <t>CHW Pump</t>
  </si>
  <si>
    <t>Facility Type</t>
  </si>
  <si>
    <t>CT Fan</t>
  </si>
  <si>
    <t>HHW Pump</t>
  </si>
  <si>
    <t>Chiller 1 CW Pump</t>
  </si>
  <si>
    <t>Version 18 (Submitted October, 2020 for 2021 TRM Update Amendment)</t>
  </si>
  <si>
    <t>Version 17 (Submitted June 28, 2019 for 2021 Final Order)</t>
  </si>
  <si>
    <t>1) Released with TRM Order in October, 2020</t>
  </si>
  <si>
    <t xml:space="preserve">2) </t>
  </si>
  <si>
    <t>Re-released without change with 2021 TRM Update Amendment Final Order in February, 2021</t>
  </si>
  <si>
    <t xml:space="preserve"> Customer Name   </t>
  </si>
  <si>
    <t xml:space="preserve"> Building Name   </t>
  </si>
  <si>
    <t xml:space="preserve"> Building Address   </t>
  </si>
  <si>
    <t xml:space="preserve"> Project ID   </t>
  </si>
  <si>
    <t xml:space="preserve"> External ID   </t>
  </si>
  <si>
    <t xml:space="preserve"> Total Estimated Annual Energy Savings (kWh)   </t>
  </si>
  <si>
    <t xml:space="preserve"> Total Demand Reduction (kW)   </t>
  </si>
  <si>
    <t xml:space="preserve"> Total Calculated Project Incentive   </t>
  </si>
  <si>
    <t>Quantity</t>
  </si>
  <si>
    <t>Demand Savings (kW)</t>
  </si>
  <si>
    <t>Energy Savings (kWh)</t>
  </si>
  <si>
    <t>Incentive</t>
  </si>
  <si>
    <t>Franklin Energy - (844) 323-6399 - energysavePA@franklinenergy.com</t>
  </si>
  <si>
    <t>Water Cooled Chillers</t>
  </si>
  <si>
    <t>Split and Packaged Units</t>
  </si>
  <si>
    <t>Air Source HP</t>
  </si>
  <si>
    <t>Water Source HP</t>
  </si>
  <si>
    <t>Ductless Mini Split</t>
  </si>
  <si>
    <t>Room AC</t>
  </si>
  <si>
    <t>PTAC</t>
  </si>
  <si>
    <t>PTHP</t>
  </si>
  <si>
    <t>Circulation Pumps</t>
  </si>
  <si>
    <t>HVAC Maintenance</t>
  </si>
  <si>
    <t>Variable Frequency Drives (VFDs)</t>
  </si>
  <si>
    <t>Equipment Type</t>
  </si>
  <si>
    <t>Weather Location</t>
  </si>
  <si>
    <t>Process Load - Low Loading</t>
  </si>
  <si>
    <t>Process Load - High Loading</t>
  </si>
  <si>
    <t>Williamsport</t>
  </si>
  <si>
    <t>Incentive Rate</t>
  </si>
  <si>
    <t>Incentive Rate $/hp</t>
  </si>
  <si>
    <t>Process Fan</t>
  </si>
  <si>
    <t>Process Pump</t>
  </si>
  <si>
    <t>None</t>
  </si>
  <si>
    <t>VFD</t>
  </si>
  <si>
    <t>Other</t>
  </si>
  <si>
    <t>HIDE</t>
  </si>
  <si>
    <t>TotalkW</t>
  </si>
  <si>
    <t>Total (kW)</t>
  </si>
  <si>
    <t>Version 19 (Revised to align with incentive rate changes effective 7/15/2025) -Jacob Steele</t>
  </si>
  <si>
    <t xml:space="preserve">Selection </t>
  </si>
  <si>
    <t>Default</t>
  </si>
  <si>
    <t xml:space="preserve">1) Added override on summary tab, allowing engineer to unlock and switch from default to double rate if applicable </t>
  </si>
  <si>
    <t xml:space="preserve">2) Edited Lookup table cells F7:F13 to incorporate rate selection from summary tab. </t>
  </si>
  <si>
    <t>Penelec - LCI</t>
  </si>
  <si>
    <t>Utility - Customer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</si>
</sst>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0.0%"/>
    <numFmt numFmtId="165" formatCode="#,##0.0"/>
    <numFmt numFmtId="166" formatCode="&quot;$&quot;#,##0.00"/>
    <numFmt numFmtId="167" formatCode="_(&quot;$&quot;* #,##0_);_(&quot;$&quot;* \(#,##0\);_(&quot;$&quot;* &quot;-&quot;??_);_(@_)"/>
    <numFmt numFmtId="168" formatCode="0.000000"/>
    <numFmt numFmtId="169" formatCode="#,##0.0000"/>
    <numFmt numFmtId="170" formatCode="#,##0.000000"/>
    <numFmt numFmtId="171" formatCode="_(* #,##0.0000_);_(* \(#,##0.0000\);_(* &quot;-&quot;??_);_(@_)"/>
    <numFmt numFmtId="172" formatCode="_(* #,##0.000000_);_(* \(#,##0.00000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7"/>
      <color theme="1"/>
      <name val="Calibri"/>
      <family val="2"/>
      <scheme val="minor"/>
    </font>
    <font>
      <sz val="12"/>
      <color theme="0"/>
      <name val="Calibri"/>
      <family val="2"/>
      <scheme val="minor"/>
    </font>
    <font>
      <i/>
      <sz val="13"/>
      <color theme="0"/>
      <name val="Calibri"/>
      <family val="2"/>
      <scheme val="minor"/>
    </font>
    <font>
      <b/>
      <sz val="12"/>
      <color theme="0"/>
      <name val="Calibri"/>
      <family val="2"/>
      <scheme val="minor"/>
    </font>
    <font>
      <b/>
      <i/>
      <sz val="11"/>
      <color theme="1"/>
      <name val="Calibri"/>
      <family val="2"/>
      <scheme val="minor"/>
    </font>
    <font>
      <b/>
      <i/>
      <sz val="12"/>
      <color rgb="FFFF0000"/>
      <name val="Calibri"/>
      <family val="2"/>
      <scheme val="minor"/>
    </font>
    <font>
      <sz val="13"/>
      <color theme="0"/>
      <name val="Calibri"/>
      <family val="2"/>
      <scheme val="minor"/>
    </font>
    <font>
      <b/>
      <i/>
      <sz val="13"/>
      <color rgb="FFFF0000"/>
      <name val="Calibri"/>
      <family val="2"/>
      <scheme val="minor"/>
    </font>
    <font>
      <sz val="13"/>
      <color theme="1"/>
      <name val="Calibri"/>
      <family val="2"/>
      <scheme val="minor"/>
    </font>
    <font>
      <b/>
      <sz val="13"/>
      <color theme="0"/>
      <name val="Calibri"/>
      <family val="2"/>
      <scheme val="minor"/>
    </font>
    <font>
      <b/>
      <i/>
      <sz val="11"/>
      <color theme="0"/>
      <name val="Calibri"/>
      <family val="2"/>
      <scheme val="minor"/>
    </font>
    <font>
      <sz val="10"/>
      <name val="Arial"/>
      <family val="2"/>
    </font>
    <font>
      <b/>
      <sz val="14"/>
      <name val="Arial"/>
      <family val="2"/>
    </font>
    <font>
      <b/>
      <sz val="12"/>
      <name val="Arial"/>
      <family val="2"/>
    </font>
    <font>
      <sz val="10"/>
      <color theme="1"/>
      <name val="Calibri"/>
      <family val="2"/>
      <scheme val="minor"/>
    </font>
    <font>
      <sz val="10"/>
      <name val="MS Sans Serif"/>
      <family val="2"/>
    </font>
    <font>
      <sz val="10"/>
      <color theme="1"/>
      <name val="Times New Roman"/>
      <family val="1"/>
    </font>
    <font>
      <b/>
      <sz val="11"/>
      <name val="Calibri"/>
      <family val="2"/>
      <scheme val="minor"/>
    </font>
    <font>
      <sz val="11"/>
      <name val="Calibri"/>
      <family val="2"/>
      <scheme val="minor"/>
    </font>
    <font>
      <sz val="9"/>
      <color indexed="81"/>
      <name val="Tahoma"/>
      <family val="2"/>
    </font>
    <font>
      <b/>
      <sz val="9"/>
      <color indexed="81"/>
      <name val="Tahoma"/>
      <family val="2"/>
    </font>
    <font>
      <b/>
      <sz val="10"/>
      <name val="Arial"/>
      <family val="2"/>
    </font>
    <font>
      <u/>
      <sz val="10"/>
      <color indexed="12"/>
      <name val="Arial"/>
      <family val="2"/>
    </font>
    <font>
      <b/>
      <u/>
      <sz val="10"/>
      <color indexed="12"/>
      <name val="Arial"/>
      <family val="2"/>
    </font>
    <font>
      <sz val="11"/>
      <color theme="1"/>
      <name val="Arial"/>
      <family val="2"/>
    </font>
    <font>
      <b/>
      <u/>
      <sz val="10"/>
      <name val="Arial"/>
      <family val="2"/>
    </font>
    <font>
      <sz val="10"/>
      <color theme="1"/>
      <name val="Arial"/>
      <family val="2"/>
    </font>
    <font>
      <b/>
      <u/>
      <sz val="10"/>
      <color theme="1"/>
      <name val="Arial"/>
      <family val="2"/>
    </font>
    <font>
      <u/>
      <sz val="11"/>
      <color theme="10"/>
      <name val="Calibri"/>
      <family val="2"/>
      <scheme val="minor"/>
    </font>
    <font>
      <b/>
      <sz val="16"/>
      <color theme="0"/>
      <name val="Tahoma"/>
      <family val="2"/>
    </font>
    <font>
      <b/>
      <sz val="10"/>
      <color theme="1"/>
      <name val="Calibri"/>
      <family val="2"/>
      <scheme val="minor"/>
    </font>
    <font>
      <b/>
      <sz val="10"/>
      <name val="Tahoma"/>
      <family val="2"/>
    </font>
    <font>
      <sz val="11"/>
      <color theme="1"/>
      <name val="Calibri"/>
      <family val="2"/>
    </font>
    <font>
      <sz val="10"/>
      <color rgb="FF000000"/>
      <name val="Times New Roman"/>
      <family val="1"/>
    </font>
    <font>
      <sz val="11"/>
      <color rgb="FF006100"/>
      <name val="Calibri"/>
      <family val="2"/>
      <scheme val="minor"/>
    </font>
    <font>
      <sz val="11"/>
      <color rgb="FF9C6500"/>
      <name val="Calibri"/>
      <family val="2"/>
      <scheme val="minor"/>
    </font>
    <font>
      <sz val="12"/>
      <color theme="1"/>
      <name val="Calibri"/>
      <family val="2"/>
      <scheme val="minor"/>
    </font>
  </fonts>
  <fills count="20">
    <fill>
      <patternFill patternType="none"/>
    </fill>
    <fill>
      <patternFill patternType="gray125"/>
    </fill>
    <fill>
      <patternFill patternType="solid">
        <fgColor rgb="FF77BC1F"/>
        <bgColor indexed="64"/>
      </patternFill>
    </fill>
    <fill>
      <patternFill patternType="solid">
        <fgColor rgb="FF0070CD"/>
        <bgColor indexed="64"/>
      </patternFill>
    </fill>
    <fill>
      <patternFill patternType="solid">
        <fgColor theme="0"/>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249977111117893"/>
        <bgColor indexed="64"/>
      </patternFill>
    </fill>
    <fill>
      <patternFill patternType="solid">
        <fgColor rgb="FFC6EFCE"/>
      </patternFill>
    </fill>
    <fill>
      <patternFill patternType="solid">
        <fgColor rgb="FFFFEB9C"/>
      </patternFill>
    </fill>
    <fill>
      <patternFill patternType="solid">
        <fgColor theme="5" tint="-0.249977111117893"/>
        <bgColor indexed="64"/>
      </patternFill>
    </fill>
    <fill>
      <patternFill patternType="solid">
        <fgColor theme="1" tint="0.14999847407452621"/>
        <bgColor indexed="64"/>
      </patternFill>
    </fill>
    <fill>
      <patternFill patternType="solid">
        <fgColor rgb="FF0070C0"/>
        <bgColor indexed="64"/>
      </patternFill>
    </fill>
    <fill>
      <patternFill patternType="solid">
        <fgColor theme="5" tint="0.59999389629810485"/>
        <bgColor indexed="64"/>
      </patternFill>
    </fill>
  </fills>
  <borders count="71">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right style="thin">
        <color auto="1"/>
      </right>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auto="1"/>
      </top>
      <bottom style="thin">
        <color auto="1"/>
      </bottom>
      <diagonal/>
    </border>
    <border>
      <left style="medium">
        <color indexed="64"/>
      </left>
      <right/>
      <top style="medium">
        <color indexed="64"/>
      </top>
      <bottom style="thin">
        <color indexed="64"/>
      </bottom>
      <diagonal/>
    </border>
    <border>
      <left/>
      <right/>
      <top/>
      <bottom style="double">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auto="1"/>
      </bottom>
      <diagonal/>
    </border>
    <border>
      <left style="medium">
        <color indexed="64"/>
      </left>
      <right style="thin">
        <color indexed="64"/>
      </right>
      <top style="medium">
        <color indexed="64"/>
      </top>
      <bottom style="medium">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right/>
      <top style="thin">
        <color theme="0" tint="-0.34998626667073579"/>
      </top>
      <bottom/>
      <diagonal/>
    </border>
    <border>
      <left/>
      <right style="medium">
        <color indexed="64"/>
      </right>
      <top style="thin">
        <color theme="0" tint="-0.34998626667073579"/>
      </top>
      <bottom/>
      <diagonal/>
    </border>
    <border>
      <left style="thin">
        <color auto="1"/>
      </left>
      <right style="medium">
        <color indexed="64"/>
      </right>
      <top style="thin">
        <color auto="1"/>
      </top>
      <bottom/>
      <diagonal/>
    </border>
    <border>
      <left/>
      <right style="thin">
        <color auto="1"/>
      </right>
      <top style="thin">
        <color auto="1"/>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s>
  <cellStyleXfs count="16">
    <xf numFmtId="0" fontId="0" fillId="0" borderId="0"/>
    <xf numFmtId="9" fontId="1" fillId="0" borderId="0" applyFont="0" applyFill="0" applyBorder="0" applyAlignment="0" applyProtection="0"/>
    <xf numFmtId="0" fontId="16" fillId="0" borderId="0"/>
    <xf numFmtId="0" fontId="20" fillId="0" borderId="0"/>
    <xf numFmtId="0" fontId="16" fillId="0" borderId="0"/>
    <xf numFmtId="0" fontId="20" fillId="0" borderId="0"/>
    <xf numFmtId="0" fontId="27" fillId="0" borderId="0" applyNumberFormat="0" applyFill="0" applyBorder="0" applyAlignment="0" applyProtection="0">
      <alignment vertical="top"/>
      <protection locked="0"/>
    </xf>
    <xf numFmtId="0" fontId="33"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38" fillId="0" borderId="0"/>
    <xf numFmtId="0" fontId="16" fillId="0" borderId="0"/>
    <xf numFmtId="0" fontId="39" fillId="14" borderId="0" applyNumberFormat="0" applyBorder="0" applyAlignment="0" applyProtection="0"/>
    <xf numFmtId="0" fontId="40" fillId="15" borderId="0" applyNumberFormat="0" applyBorder="0" applyAlignment="0" applyProtection="0"/>
    <xf numFmtId="0" fontId="41" fillId="0" borderId="0"/>
  </cellStyleXfs>
  <cellXfs count="355">
    <xf numFmtId="0" fontId="0" fillId="0" borderId="0" xfId="0"/>
    <xf numFmtId="0" fontId="0" fillId="0" borderId="0" xfId="0" applyAlignment="1">
      <alignment horizontal="center"/>
    </xf>
    <xf numFmtId="0" fontId="4" fillId="2" borderId="0" xfId="0" applyFont="1" applyFill="1"/>
    <xf numFmtId="0" fontId="5" fillId="2" borderId="0" xfId="0" applyFont="1" applyFill="1" applyAlignment="1">
      <alignment horizontal="left" vertical="center"/>
    </xf>
    <xf numFmtId="0" fontId="5" fillId="2" borderId="0" xfId="0" applyFont="1" applyFill="1"/>
    <xf numFmtId="0" fontId="4" fillId="2" borderId="0" xfId="0" applyFont="1" applyFill="1" applyAlignment="1">
      <alignment horizontal="center"/>
    </xf>
    <xf numFmtId="0" fontId="0" fillId="2" borderId="0" xfId="0" applyFill="1"/>
    <xf numFmtId="0" fontId="6" fillId="3" borderId="0" xfId="0" applyFont="1" applyFill="1"/>
    <xf numFmtId="0" fontId="7" fillId="3" borderId="0" xfId="0" applyFont="1" applyFill="1" applyAlignment="1">
      <alignment horizontal="left" vertical="center"/>
    </xf>
    <xf numFmtId="0" fontId="8" fillId="3" borderId="0" xfId="0" applyFont="1" applyFill="1"/>
    <xf numFmtId="0" fontId="6" fillId="3" borderId="0" xfId="0" applyFont="1" applyFill="1" applyAlignment="1">
      <alignment horizontal="center"/>
    </xf>
    <xf numFmtId="0" fontId="4" fillId="4" borderId="0" xfId="0" applyFont="1" applyFill="1"/>
    <xf numFmtId="0" fontId="0" fillId="4" borderId="0" xfId="0" applyFill="1"/>
    <xf numFmtId="0" fontId="0" fillId="4" borderId="0" xfId="0" applyFill="1" applyAlignment="1">
      <alignment horizontal="center"/>
    </xf>
    <xf numFmtId="0" fontId="4" fillId="4" borderId="0" xfId="0" applyFont="1" applyFill="1" applyAlignment="1">
      <alignment horizontal="center"/>
    </xf>
    <xf numFmtId="4" fontId="3" fillId="2" borderId="9" xfId="0" applyNumberFormat="1" applyFont="1" applyFill="1" applyBorder="1" applyAlignment="1">
      <alignment horizontal="center"/>
    </xf>
    <xf numFmtId="3" fontId="3" fillId="2" borderId="10" xfId="0" applyNumberFormat="1" applyFont="1" applyFill="1" applyBorder="1" applyAlignment="1">
      <alignment horizontal="center"/>
    </xf>
    <xf numFmtId="0" fontId="0" fillId="6" borderId="17" xfId="0" applyFill="1" applyBorder="1" applyAlignment="1" applyProtection="1">
      <alignment horizontal="center"/>
      <protection locked="0"/>
    </xf>
    <xf numFmtId="0" fontId="0" fillId="6" borderId="18" xfId="0" applyFill="1" applyBorder="1" applyAlignment="1" applyProtection="1">
      <alignment horizontal="center"/>
      <protection locked="0"/>
    </xf>
    <xf numFmtId="0" fontId="0" fillId="6" borderId="19" xfId="0" applyFill="1" applyBorder="1" applyAlignment="1" applyProtection="1">
      <alignment horizontal="center"/>
      <protection locked="0"/>
    </xf>
    <xf numFmtId="0" fontId="4" fillId="3" borderId="0" xfId="0" applyFont="1" applyFill="1"/>
    <xf numFmtId="0" fontId="18" fillId="4" borderId="0" xfId="2" applyFont="1" applyFill="1" applyAlignment="1">
      <alignment horizontal="center"/>
    </xf>
    <xf numFmtId="0" fontId="16" fillId="4" borderId="0" xfId="3" applyFont="1" applyFill="1"/>
    <xf numFmtId="10" fontId="16" fillId="4" borderId="0" xfId="1" applyNumberFormat="1" applyFont="1" applyFill="1" applyProtection="1"/>
    <xf numFmtId="0" fontId="21" fillId="0" borderId="0" xfId="0" applyFont="1" applyAlignment="1">
      <alignment vertical="center" wrapText="1"/>
    </xf>
    <xf numFmtId="0" fontId="19" fillId="9" borderId="25" xfId="0" applyFont="1" applyFill="1" applyBorder="1" applyAlignment="1">
      <alignment horizontal="left" indent="1"/>
    </xf>
    <xf numFmtId="0" fontId="15" fillId="3" borderId="28" xfId="0" applyFont="1" applyFill="1" applyBorder="1" applyAlignment="1">
      <alignment horizontal="center" vertical="center" wrapText="1"/>
    </xf>
    <xf numFmtId="0" fontId="19" fillId="9" borderId="30" xfId="0" applyFont="1" applyFill="1" applyBorder="1" applyAlignment="1">
      <alignment horizontal="left" indent="1"/>
    </xf>
    <xf numFmtId="0" fontId="4" fillId="8" borderId="7" xfId="0" applyFont="1" applyFill="1" applyBorder="1" applyAlignment="1">
      <alignment horizontal="center"/>
    </xf>
    <xf numFmtId="3" fontId="19" fillId="9" borderId="17" xfId="0" applyNumberFormat="1" applyFont="1" applyFill="1" applyBorder="1" applyAlignment="1">
      <alignment horizontal="center"/>
    </xf>
    <xf numFmtId="164" fontId="19" fillId="9" borderId="17" xfId="1" applyNumberFormat="1" applyFont="1" applyFill="1" applyBorder="1" applyAlignment="1">
      <alignment horizontal="center"/>
    </xf>
    <xf numFmtId="0" fontId="4" fillId="8" borderId="17" xfId="0" applyFont="1" applyFill="1" applyBorder="1" applyAlignment="1">
      <alignment horizontal="center"/>
    </xf>
    <xf numFmtId="0" fontId="4" fillId="8" borderId="19" xfId="0" applyFont="1" applyFill="1" applyBorder="1" applyAlignment="1">
      <alignment horizontal="center"/>
    </xf>
    <xf numFmtId="164" fontId="19" fillId="9" borderId="19" xfId="1" applyNumberFormat="1" applyFont="1" applyFill="1" applyBorder="1" applyAlignment="1">
      <alignment horizontal="center"/>
    </xf>
    <xf numFmtId="3" fontId="19" fillId="9" borderId="25" xfId="0" applyNumberFormat="1" applyFont="1" applyFill="1" applyBorder="1" applyAlignment="1">
      <alignment horizontal="center"/>
    </xf>
    <xf numFmtId="0" fontId="4" fillId="8" borderId="34" xfId="0" applyFont="1" applyFill="1" applyBorder="1" applyAlignment="1">
      <alignment horizontal="center"/>
    </xf>
    <xf numFmtId="0" fontId="4" fillId="8" borderId="35" xfId="0" applyFont="1" applyFill="1" applyBorder="1" applyAlignment="1">
      <alignment horizontal="center"/>
    </xf>
    <xf numFmtId="3" fontId="19" fillId="9" borderId="14" xfId="0" applyNumberFormat="1" applyFont="1" applyFill="1" applyBorder="1" applyAlignment="1">
      <alignment horizontal="center"/>
    </xf>
    <xf numFmtId="164" fontId="19" fillId="9" borderId="14" xfId="1" applyNumberFormat="1" applyFont="1" applyFill="1" applyBorder="1" applyAlignment="1">
      <alignment horizontal="center"/>
    </xf>
    <xf numFmtId="164" fontId="19" fillId="9" borderId="16" xfId="1" applyNumberFormat="1" applyFont="1" applyFill="1" applyBorder="1" applyAlignment="1">
      <alignment horizontal="center"/>
    </xf>
    <xf numFmtId="3" fontId="19" fillId="9" borderId="8" xfId="0" applyNumberFormat="1" applyFont="1" applyFill="1" applyBorder="1" applyAlignment="1">
      <alignment horizontal="center"/>
    </xf>
    <xf numFmtId="164" fontId="19" fillId="9" borderId="8" xfId="1" applyNumberFormat="1" applyFont="1" applyFill="1" applyBorder="1" applyAlignment="1">
      <alignment horizontal="center"/>
    </xf>
    <xf numFmtId="164" fontId="19" fillId="9" borderId="10" xfId="1" applyNumberFormat="1" applyFont="1" applyFill="1" applyBorder="1" applyAlignment="1">
      <alignment horizontal="center"/>
    </xf>
    <xf numFmtId="0" fontId="0" fillId="3" borderId="0" xfId="0" applyFill="1"/>
    <xf numFmtId="3" fontId="19" fillId="9" borderId="14" xfId="0" applyNumberFormat="1" applyFont="1" applyFill="1" applyBorder="1" applyAlignment="1">
      <alignment horizontal="left"/>
    </xf>
    <xf numFmtId="2" fontId="19" fillId="9" borderId="14" xfId="0" applyNumberFormat="1" applyFont="1" applyFill="1" applyBorder="1" applyAlignment="1">
      <alignment horizontal="center"/>
    </xf>
    <xf numFmtId="9" fontId="4" fillId="8" borderId="7" xfId="0" applyNumberFormat="1" applyFont="1" applyFill="1" applyBorder="1" applyAlignment="1">
      <alignment horizontal="center"/>
    </xf>
    <xf numFmtId="9" fontId="4" fillId="8" borderId="7" xfId="0" applyNumberFormat="1" applyFont="1" applyFill="1" applyBorder="1" applyAlignment="1">
      <alignment horizontal="left"/>
    </xf>
    <xf numFmtId="9" fontId="19" fillId="9" borderId="14" xfId="0" applyNumberFormat="1" applyFont="1" applyFill="1" applyBorder="1" applyAlignment="1">
      <alignment horizontal="center"/>
    </xf>
    <xf numFmtId="0" fontId="15" fillId="4" borderId="0" xfId="0" applyFont="1" applyFill="1" applyAlignment="1">
      <alignment horizontal="center" vertical="center" wrapText="1"/>
    </xf>
    <xf numFmtId="0" fontId="19" fillId="4" borderId="0" xfId="0" applyFont="1" applyFill="1" applyAlignment="1">
      <alignment horizontal="left" indent="1"/>
    </xf>
    <xf numFmtId="0" fontId="5" fillId="2" borderId="0" xfId="0" applyFont="1" applyFill="1" applyAlignment="1">
      <alignment horizontal="center"/>
    </xf>
    <xf numFmtId="0" fontId="8" fillId="3" borderId="0" xfId="0" applyFont="1" applyFill="1" applyAlignment="1">
      <alignment horizontal="center"/>
    </xf>
    <xf numFmtId="0" fontId="0" fillId="6" borderId="39" xfId="0" applyFill="1" applyBorder="1" applyAlignment="1" applyProtection="1">
      <alignment horizontal="center"/>
      <protection locked="0"/>
    </xf>
    <xf numFmtId="164" fontId="0" fillId="6" borderId="18" xfId="0" applyNumberFormat="1" applyFill="1" applyBorder="1" applyAlignment="1" applyProtection="1">
      <alignment horizontal="center"/>
      <protection locked="0"/>
    </xf>
    <xf numFmtId="0" fontId="0" fillId="6" borderId="21" xfId="0" applyFill="1" applyBorder="1" applyAlignment="1" applyProtection="1">
      <alignment horizontal="center"/>
      <protection locked="0"/>
    </xf>
    <xf numFmtId="9" fontId="0" fillId="6" borderId="18" xfId="0" applyNumberFormat="1" applyFill="1" applyBorder="1" applyAlignment="1" applyProtection="1">
      <alignment horizontal="center"/>
      <protection locked="0"/>
    </xf>
    <xf numFmtId="0" fontId="0" fillId="6" borderId="9" xfId="0" applyFill="1" applyBorder="1" applyAlignment="1" applyProtection="1">
      <alignment horizontal="center"/>
      <protection locked="0"/>
    </xf>
    <xf numFmtId="0" fontId="0" fillId="6" borderId="10" xfId="0" applyFill="1" applyBorder="1" applyAlignment="1" applyProtection="1">
      <alignment horizontal="center"/>
      <protection locked="0"/>
    </xf>
    <xf numFmtId="0" fontId="0" fillId="6" borderId="47" xfId="0" applyFill="1" applyBorder="1" applyAlignment="1" applyProtection="1">
      <alignment horizontal="center"/>
      <protection locked="0"/>
    </xf>
    <xf numFmtId="164" fontId="0" fillId="6" borderId="9" xfId="0" applyNumberFormat="1" applyFill="1" applyBorder="1" applyAlignment="1" applyProtection="1">
      <alignment horizontal="center"/>
      <protection locked="0"/>
    </xf>
    <xf numFmtId="0" fontId="0" fillId="6" borderId="20" xfId="0" applyFill="1" applyBorder="1" applyAlignment="1" applyProtection="1">
      <alignment horizontal="center"/>
      <protection locked="0"/>
    </xf>
    <xf numFmtId="0" fontId="0" fillId="6" borderId="46" xfId="0" applyFill="1" applyBorder="1" applyAlignment="1" applyProtection="1">
      <alignment horizontal="center"/>
      <protection locked="0"/>
    </xf>
    <xf numFmtId="9" fontId="0" fillId="6" borderId="19" xfId="0" applyNumberFormat="1" applyFill="1" applyBorder="1" applyAlignment="1" applyProtection="1">
      <alignment horizontal="center"/>
      <protection locked="0"/>
    </xf>
    <xf numFmtId="9" fontId="0" fillId="6" borderId="10" xfId="0" applyNumberFormat="1" applyFill="1" applyBorder="1" applyAlignment="1" applyProtection="1">
      <alignment horizontal="center"/>
      <protection locked="0"/>
    </xf>
    <xf numFmtId="0" fontId="10" fillId="4" borderId="0" xfId="0" applyFont="1" applyFill="1" applyAlignment="1">
      <alignment vertical="center" wrapText="1"/>
    </xf>
    <xf numFmtId="0" fontId="12" fillId="4" borderId="0" xfId="0" applyFont="1" applyFill="1" applyAlignment="1">
      <alignment vertical="center" wrapText="1"/>
    </xf>
    <xf numFmtId="0" fontId="11" fillId="4" borderId="0" xfId="0" applyFont="1" applyFill="1"/>
    <xf numFmtId="0" fontId="13" fillId="4" borderId="0" xfId="0" applyFont="1" applyFill="1" applyAlignment="1">
      <alignment horizontal="center"/>
    </xf>
    <xf numFmtId="0" fontId="0" fillId="6" borderId="8" xfId="0" applyFill="1" applyBorder="1" applyAlignment="1" applyProtection="1">
      <alignment horizontal="center"/>
      <protection locked="0"/>
    </xf>
    <xf numFmtId="0" fontId="11" fillId="4" borderId="0" xfId="0" applyFont="1" applyFill="1" applyAlignment="1">
      <alignment horizontal="center"/>
    </xf>
    <xf numFmtId="0" fontId="0" fillId="6" borderId="44" xfId="0" applyFill="1" applyBorder="1" applyAlignment="1" applyProtection="1">
      <alignment horizontal="center"/>
      <protection locked="0"/>
    </xf>
    <xf numFmtId="0" fontId="26" fillId="4" borderId="52" xfId="0" applyFont="1" applyFill="1" applyBorder="1"/>
    <xf numFmtId="0" fontId="26" fillId="4" borderId="0" xfId="0" applyFont="1" applyFill="1"/>
    <xf numFmtId="0" fontId="27" fillId="4" borderId="0" xfId="6" applyFill="1" applyAlignment="1" applyProtection="1">
      <alignment horizontal="left" indent="1"/>
    </xf>
    <xf numFmtId="0" fontId="26" fillId="4" borderId="52" xfId="0" applyFont="1" applyFill="1" applyBorder="1" applyAlignment="1">
      <alignment horizontal="center"/>
    </xf>
    <xf numFmtId="0" fontId="16" fillId="4" borderId="41" xfId="0" applyFont="1" applyFill="1" applyBorder="1" applyAlignment="1">
      <alignment horizontal="left" vertical="top" wrapText="1" indent="2"/>
    </xf>
    <xf numFmtId="0" fontId="16" fillId="4" borderId="0" xfId="0" applyFont="1" applyFill="1" applyAlignment="1">
      <alignment horizontal="left" indent="1"/>
    </xf>
    <xf numFmtId="0" fontId="16" fillId="4" borderId="0" xfId="0" applyFont="1" applyFill="1"/>
    <xf numFmtId="0" fontId="28" fillId="4" borderId="0" xfId="6" applyFont="1" applyFill="1" applyAlignment="1" applyProtection="1">
      <alignment horizontal="left" indent="1"/>
    </xf>
    <xf numFmtId="0" fontId="16" fillId="4" borderId="0" xfId="0" applyFont="1" applyFill="1" applyAlignment="1">
      <alignment horizontal="left" indent="2"/>
    </xf>
    <xf numFmtId="0" fontId="16" fillId="4" borderId="0" xfId="0" applyFont="1" applyFill="1" applyAlignment="1">
      <alignment horizontal="left" wrapText="1" indent="2"/>
    </xf>
    <xf numFmtId="0" fontId="16" fillId="4" borderId="0" xfId="0" applyFont="1" applyFill="1" applyAlignment="1">
      <alignment horizontal="left" vertical="top"/>
    </xf>
    <xf numFmtId="0" fontId="16" fillId="4" borderId="0" xfId="0" applyFont="1" applyFill="1" applyAlignment="1">
      <alignment vertical="top"/>
    </xf>
    <xf numFmtId="0" fontId="0" fillId="0" borderId="0" xfId="0" applyAlignment="1">
      <alignment horizontal="left" wrapText="1" indent="2"/>
    </xf>
    <xf numFmtId="0" fontId="16" fillId="4" borderId="41" xfId="0" applyFont="1" applyFill="1" applyBorder="1" applyAlignment="1">
      <alignment horizontal="left" wrapText="1" indent="2"/>
    </xf>
    <xf numFmtId="0" fontId="16" fillId="4" borderId="0" xfId="0" applyFont="1" applyFill="1" applyAlignment="1">
      <alignment horizontal="left" vertical="top" wrapText="1" indent="4"/>
    </xf>
    <xf numFmtId="0" fontId="16" fillId="4" borderId="41" xfId="0" applyFont="1" applyFill="1" applyBorder="1" applyAlignment="1">
      <alignment vertical="top" wrapText="1"/>
    </xf>
    <xf numFmtId="0" fontId="26" fillId="4" borderId="0" xfId="0" applyFont="1" applyFill="1" applyAlignment="1">
      <alignment horizontal="left" vertical="top" wrapText="1"/>
    </xf>
    <xf numFmtId="0" fontId="16" fillId="4" borderId="52" xfId="0" applyFont="1" applyFill="1" applyBorder="1" applyAlignment="1">
      <alignment vertical="top" wrapText="1"/>
    </xf>
    <xf numFmtId="0" fontId="16" fillId="4" borderId="0" xfId="0" applyFont="1" applyFill="1" applyAlignment="1">
      <alignment vertical="top" wrapText="1"/>
    </xf>
    <xf numFmtId="0" fontId="29" fillId="4" borderId="0" xfId="0" applyFont="1" applyFill="1"/>
    <xf numFmtId="0" fontId="30" fillId="4" borderId="0" xfId="0" applyFont="1" applyFill="1"/>
    <xf numFmtId="0" fontId="31" fillId="4" borderId="0" xfId="0" applyFont="1" applyFill="1"/>
    <xf numFmtId="0" fontId="31" fillId="4" borderId="0" xfId="0" applyFont="1" applyFill="1" applyAlignment="1">
      <alignment horizontal="right"/>
    </xf>
    <xf numFmtId="0" fontId="30" fillId="0" borderId="0" xfId="0" applyFont="1"/>
    <xf numFmtId="0" fontId="31" fillId="0" borderId="0" xfId="0" applyFont="1"/>
    <xf numFmtId="0" fontId="31" fillId="4" borderId="0" xfId="0" applyFont="1" applyFill="1" applyAlignment="1">
      <alignment wrapText="1"/>
    </xf>
    <xf numFmtId="0" fontId="31" fillId="4" borderId="0" xfId="0" applyFont="1" applyFill="1" applyAlignment="1">
      <alignment vertical="top" wrapText="1"/>
    </xf>
    <xf numFmtId="0" fontId="32" fillId="0" borderId="0" xfId="0" applyFont="1"/>
    <xf numFmtId="0" fontId="16" fillId="4" borderId="0" xfId="0" applyFont="1" applyFill="1" applyAlignment="1">
      <alignment horizontal="right"/>
    </xf>
    <xf numFmtId="0" fontId="29" fillId="0" borderId="0" xfId="0" applyFont="1"/>
    <xf numFmtId="0" fontId="31" fillId="4" borderId="0" xfId="0" applyFont="1" applyFill="1" applyAlignment="1">
      <alignment vertical="top"/>
    </xf>
    <xf numFmtId="0" fontId="31" fillId="4" borderId="0" xfId="0" applyFont="1" applyFill="1" applyAlignment="1">
      <alignment horizontal="left" indent="1"/>
    </xf>
    <xf numFmtId="9" fontId="0" fillId="6" borderId="17" xfId="0" applyNumberFormat="1" applyFill="1" applyBorder="1" applyAlignment="1" applyProtection="1">
      <alignment horizontal="center"/>
      <protection locked="0"/>
    </xf>
    <xf numFmtId="0" fontId="2" fillId="4" borderId="0" xfId="0" applyFont="1" applyFill="1" applyAlignment="1">
      <alignment horizontal="center" wrapText="1"/>
    </xf>
    <xf numFmtId="0" fontId="2" fillId="3" borderId="49" xfId="0" applyFont="1" applyFill="1" applyBorder="1" applyAlignment="1">
      <alignment horizontal="center" wrapText="1"/>
    </xf>
    <xf numFmtId="0" fontId="2" fillId="3" borderId="14" xfId="0" applyFont="1" applyFill="1" applyBorder="1" applyAlignment="1">
      <alignment horizontal="center" wrapText="1"/>
    </xf>
    <xf numFmtId="0" fontId="2" fillId="3" borderId="16" xfId="0" applyFont="1" applyFill="1" applyBorder="1" applyAlignment="1">
      <alignment horizontal="center" wrapText="1"/>
    </xf>
    <xf numFmtId="0" fontId="2" fillId="3" borderId="15" xfId="0" applyFont="1" applyFill="1" applyBorder="1" applyAlignment="1">
      <alignment horizontal="center" wrapText="1"/>
    </xf>
    <xf numFmtId="0" fontId="2" fillId="3" borderId="37" xfId="0" applyFont="1" applyFill="1" applyBorder="1" applyAlignment="1">
      <alignment horizontal="center" wrapText="1"/>
    </xf>
    <xf numFmtId="0" fontId="2" fillId="3" borderId="38" xfId="0" applyFont="1" applyFill="1" applyBorder="1" applyAlignment="1">
      <alignment horizontal="center" wrapText="1"/>
    </xf>
    <xf numFmtId="0" fontId="4" fillId="3" borderId="25" xfId="0" applyFont="1" applyFill="1" applyBorder="1" applyAlignment="1">
      <alignment horizontal="center"/>
    </xf>
    <xf numFmtId="0" fontId="4" fillId="5" borderId="17" xfId="0" applyFont="1" applyFill="1" applyBorder="1" applyAlignment="1">
      <alignment horizontal="center"/>
    </xf>
    <xf numFmtId="0" fontId="4" fillId="5" borderId="19" xfId="0" applyFont="1" applyFill="1" applyBorder="1" applyAlignment="1">
      <alignment horizontal="center"/>
    </xf>
    <xf numFmtId="0" fontId="4" fillId="5" borderId="18" xfId="0" applyFont="1" applyFill="1" applyBorder="1" applyAlignment="1">
      <alignment horizontal="center"/>
    </xf>
    <xf numFmtId="164" fontId="4" fillId="5" borderId="18" xfId="0" applyNumberFormat="1" applyFont="1" applyFill="1" applyBorder="1" applyAlignment="1">
      <alignment horizontal="center"/>
    </xf>
    <xf numFmtId="2" fontId="4" fillId="5" borderId="20" xfId="0" applyNumberFormat="1" applyFont="1" applyFill="1" applyBorder="1" applyAlignment="1">
      <alignment horizontal="center"/>
    </xf>
    <xf numFmtId="3" fontId="4" fillId="5" borderId="19" xfId="0" applyNumberFormat="1" applyFont="1" applyFill="1" applyBorder="1" applyAlignment="1">
      <alignment horizontal="center"/>
    </xf>
    <xf numFmtId="3" fontId="4" fillId="5" borderId="17" xfId="0" applyNumberFormat="1" applyFont="1" applyFill="1" applyBorder="1" applyAlignment="1">
      <alignment horizontal="center"/>
    </xf>
    <xf numFmtId="2" fontId="4" fillId="5" borderId="18" xfId="0" applyNumberFormat="1" applyFont="1" applyFill="1" applyBorder="1" applyAlignment="1">
      <alignment horizontal="center"/>
    </xf>
    <xf numFmtId="2" fontId="0" fillId="7" borderId="20" xfId="0" applyNumberFormat="1" applyFill="1" applyBorder="1" applyAlignment="1">
      <alignment horizontal="center"/>
    </xf>
    <xf numFmtId="3" fontId="0" fillId="7" borderId="17" xfId="0" applyNumberFormat="1" applyFill="1" applyBorder="1" applyAlignment="1">
      <alignment horizontal="center"/>
    </xf>
    <xf numFmtId="2" fontId="0" fillId="7" borderId="18" xfId="0" applyNumberFormat="1" applyFill="1" applyBorder="1" applyAlignment="1">
      <alignment horizontal="center"/>
    </xf>
    <xf numFmtId="2" fontId="0" fillId="7" borderId="17" xfId="0" applyNumberFormat="1" applyFill="1" applyBorder="1" applyAlignment="1">
      <alignment horizontal="center"/>
    </xf>
    <xf numFmtId="3" fontId="0" fillId="7" borderId="19" xfId="0" applyNumberFormat="1" applyFill="1" applyBorder="1" applyAlignment="1">
      <alignment horizontal="center"/>
    </xf>
    <xf numFmtId="0" fontId="4" fillId="3" borderId="30" xfId="0" applyFont="1" applyFill="1" applyBorder="1" applyAlignment="1">
      <alignment horizontal="center"/>
    </xf>
    <xf numFmtId="2" fontId="0" fillId="7" borderId="46" xfId="0" applyNumberFormat="1" applyFill="1" applyBorder="1" applyAlignment="1">
      <alignment horizontal="center"/>
    </xf>
    <xf numFmtId="3" fontId="0" fillId="7" borderId="8" xfId="0" applyNumberFormat="1" applyFill="1" applyBorder="1" applyAlignment="1">
      <alignment horizontal="center"/>
    </xf>
    <xf numFmtId="2" fontId="0" fillId="7" borderId="9" xfId="0" applyNumberFormat="1" applyFill="1" applyBorder="1" applyAlignment="1">
      <alignment horizontal="center"/>
    </xf>
    <xf numFmtId="2" fontId="0" fillId="7" borderId="8" xfId="0" applyNumberFormat="1" applyFill="1" applyBorder="1" applyAlignment="1">
      <alignment horizontal="center"/>
    </xf>
    <xf numFmtId="3" fontId="0" fillId="7" borderId="10" xfId="0" applyNumberFormat="1" applyFill="1" applyBorder="1" applyAlignment="1">
      <alignment horizontal="center"/>
    </xf>
    <xf numFmtId="0" fontId="15" fillId="3" borderId="28" xfId="0" applyFont="1" applyFill="1" applyBorder="1" applyAlignment="1">
      <alignment horizontal="center"/>
    </xf>
    <xf numFmtId="0" fontId="4" fillId="5" borderId="20" xfId="0" applyFont="1" applyFill="1" applyBorder="1" applyAlignment="1">
      <alignment horizontal="center"/>
    </xf>
    <xf numFmtId="0" fontId="4" fillId="5" borderId="21" xfId="0" applyFont="1" applyFill="1" applyBorder="1" applyAlignment="1">
      <alignment horizontal="center"/>
    </xf>
    <xf numFmtId="0" fontId="4" fillId="5" borderId="39" xfId="0" applyFont="1" applyFill="1" applyBorder="1" applyAlignment="1">
      <alignment horizontal="center"/>
    </xf>
    <xf numFmtId="164" fontId="4" fillId="5" borderId="17" xfId="1" applyNumberFormat="1" applyFont="1" applyFill="1" applyBorder="1" applyAlignment="1" applyProtection="1">
      <alignment horizontal="center"/>
    </xf>
    <xf numFmtId="9" fontId="4" fillId="5" borderId="19" xfId="0" applyNumberFormat="1" applyFont="1" applyFill="1" applyBorder="1" applyAlignment="1">
      <alignment horizontal="center"/>
    </xf>
    <xf numFmtId="164" fontId="4" fillId="5" borderId="25" xfId="1" applyNumberFormat="1" applyFont="1" applyFill="1" applyBorder="1" applyAlignment="1" applyProtection="1">
      <alignment horizontal="center"/>
    </xf>
    <xf numFmtId="164" fontId="4" fillId="5" borderId="20" xfId="1" applyNumberFormat="1" applyFont="1" applyFill="1" applyBorder="1" applyAlignment="1" applyProtection="1">
      <alignment horizontal="center"/>
    </xf>
    <xf numFmtId="9" fontId="4" fillId="5" borderId="20" xfId="0" applyNumberFormat="1" applyFont="1" applyFill="1" applyBorder="1" applyAlignment="1">
      <alignment horizontal="center"/>
    </xf>
    <xf numFmtId="9" fontId="4" fillId="5" borderId="40" xfId="0" applyNumberFormat="1" applyFont="1" applyFill="1" applyBorder="1" applyAlignment="1">
      <alignment horizontal="center"/>
    </xf>
    <xf numFmtId="2" fontId="4" fillId="5" borderId="39" xfId="0" applyNumberFormat="1" applyFont="1" applyFill="1" applyBorder="1" applyAlignment="1">
      <alignment horizontal="center"/>
    </xf>
    <xf numFmtId="164" fontId="0" fillId="7" borderId="20" xfId="0" applyNumberFormat="1" applyFill="1" applyBorder="1" applyAlignment="1">
      <alignment horizontal="center"/>
    </xf>
    <xf numFmtId="9" fontId="0" fillId="7" borderId="20" xfId="0" applyNumberFormat="1" applyFill="1" applyBorder="1" applyAlignment="1">
      <alignment horizontal="center"/>
    </xf>
    <xf numFmtId="9" fontId="0" fillId="7" borderId="40" xfId="0" applyNumberFormat="1" applyFill="1" applyBorder="1" applyAlignment="1">
      <alignment horizontal="center"/>
    </xf>
    <xf numFmtId="9" fontId="0" fillId="7" borderId="46" xfId="0" applyNumberFormat="1" applyFill="1" applyBorder="1" applyAlignment="1">
      <alignment horizontal="center"/>
    </xf>
    <xf numFmtId="9" fontId="0" fillId="7" borderId="45" xfId="0" applyNumberFormat="1" applyFill="1" applyBorder="1" applyAlignment="1">
      <alignment horizontal="center"/>
    </xf>
    <xf numFmtId="9" fontId="0" fillId="7" borderId="8" xfId="0" applyNumberFormat="1" applyFill="1" applyBorder="1" applyAlignment="1">
      <alignment horizontal="center"/>
    </xf>
    <xf numFmtId="164" fontId="0" fillId="6" borderId="17" xfId="0" applyNumberFormat="1" applyFill="1" applyBorder="1" applyAlignment="1" applyProtection="1">
      <alignment horizontal="center"/>
      <protection locked="0"/>
    </xf>
    <xf numFmtId="164" fontId="0" fillId="6" borderId="25" xfId="0" applyNumberFormat="1" applyFill="1" applyBorder="1" applyAlignment="1" applyProtection="1">
      <alignment horizontal="center"/>
      <protection locked="0"/>
    </xf>
    <xf numFmtId="9" fontId="4" fillId="3" borderId="17" xfId="0" applyNumberFormat="1" applyFont="1" applyFill="1" applyBorder="1" applyAlignment="1">
      <alignment horizontal="center"/>
    </xf>
    <xf numFmtId="9" fontId="0" fillId="7" borderId="18" xfId="0" applyNumberFormat="1" applyFill="1" applyBorder="1" applyAlignment="1">
      <alignment horizontal="center"/>
    </xf>
    <xf numFmtId="9" fontId="0" fillId="7" borderId="21" xfId="0" applyNumberFormat="1" applyFill="1" applyBorder="1" applyAlignment="1">
      <alignment horizontal="center"/>
    </xf>
    <xf numFmtId="9" fontId="4" fillId="3" borderId="8" xfId="0" applyNumberFormat="1" applyFont="1" applyFill="1" applyBorder="1" applyAlignment="1">
      <alignment horizontal="center"/>
    </xf>
    <xf numFmtId="9" fontId="0" fillId="7" borderId="9" xfId="0" applyNumberFormat="1" applyFill="1" applyBorder="1" applyAlignment="1">
      <alignment horizontal="center"/>
    </xf>
    <xf numFmtId="9" fontId="0" fillId="7" borderId="44" xfId="0" applyNumberFormat="1" applyFill="1" applyBorder="1" applyAlignment="1">
      <alignment horizontal="center"/>
    </xf>
    <xf numFmtId="9" fontId="0" fillId="7" borderId="10" xfId="0" applyNumberFormat="1" applyFill="1" applyBorder="1" applyAlignment="1">
      <alignment horizontal="center"/>
    </xf>
    <xf numFmtId="0" fontId="22" fillId="6" borderId="51" xfId="0" applyFont="1" applyFill="1" applyBorder="1" applyAlignment="1" applyProtection="1">
      <alignment horizontal="center" wrapText="1"/>
      <protection locked="0"/>
    </xf>
    <xf numFmtId="0" fontId="22" fillId="6" borderId="38" xfId="0" applyFont="1" applyFill="1" applyBorder="1" applyAlignment="1" applyProtection="1">
      <alignment horizontal="center" wrapText="1"/>
      <protection locked="0"/>
    </xf>
    <xf numFmtId="0" fontId="22" fillId="6" borderId="16" xfId="0" applyFont="1" applyFill="1" applyBorder="1" applyAlignment="1" applyProtection="1">
      <alignment horizontal="center" wrapText="1"/>
      <protection locked="0"/>
    </xf>
    <xf numFmtId="0" fontId="19" fillId="9" borderId="25" xfId="0" applyFont="1" applyFill="1" applyBorder="1" applyAlignment="1">
      <alignment horizontal="center"/>
    </xf>
    <xf numFmtId="0" fontId="2" fillId="3" borderId="53" xfId="0" applyFont="1" applyFill="1" applyBorder="1" applyAlignment="1">
      <alignment horizontal="center" wrapText="1"/>
    </xf>
    <xf numFmtId="0" fontId="4" fillId="5" borderId="50" xfId="0" applyFont="1" applyFill="1" applyBorder="1" applyAlignment="1">
      <alignment horizontal="center"/>
    </xf>
    <xf numFmtId="0" fontId="0" fillId="6" borderId="50" xfId="0" applyFill="1" applyBorder="1" applyAlignment="1" applyProtection="1">
      <alignment horizontal="center"/>
      <protection locked="0"/>
    </xf>
    <xf numFmtId="0" fontId="0" fillId="6" borderId="48" xfId="0" applyFill="1" applyBorder="1" applyAlignment="1" applyProtection="1">
      <alignment horizontal="center"/>
      <protection locked="0"/>
    </xf>
    <xf numFmtId="0" fontId="0" fillId="7" borderId="18" xfId="0" applyFill="1" applyBorder="1" applyAlignment="1">
      <alignment horizontal="center"/>
    </xf>
    <xf numFmtId="0" fontId="2" fillId="3" borderId="51" xfId="0" applyFont="1" applyFill="1" applyBorder="1" applyAlignment="1">
      <alignment horizontal="center" wrapText="1"/>
    </xf>
    <xf numFmtId="4" fontId="4" fillId="5" borderId="50" xfId="0" applyNumberFormat="1" applyFont="1" applyFill="1" applyBorder="1" applyAlignment="1">
      <alignment horizontal="center"/>
    </xf>
    <xf numFmtId="2" fontId="0" fillId="7" borderId="50" xfId="0" applyNumberFormat="1" applyFill="1" applyBorder="1" applyAlignment="1">
      <alignment horizontal="center"/>
    </xf>
    <xf numFmtId="2" fontId="0" fillId="7" borderId="48" xfId="0" applyNumberFormat="1" applyFill="1" applyBorder="1" applyAlignment="1">
      <alignment horizontal="center"/>
    </xf>
    <xf numFmtId="0" fontId="0" fillId="7" borderId="17" xfId="0" applyFill="1" applyBorder="1" applyAlignment="1">
      <alignment horizontal="center"/>
    </xf>
    <xf numFmtId="0" fontId="0" fillId="7" borderId="8" xfId="0" applyFill="1" applyBorder="1" applyAlignment="1">
      <alignment horizontal="center"/>
    </xf>
    <xf numFmtId="164" fontId="4" fillId="5" borderId="21" xfId="1" applyNumberFormat="1" applyFont="1" applyFill="1" applyBorder="1" applyAlignment="1" applyProtection="1">
      <alignment horizontal="center"/>
    </xf>
    <xf numFmtId="164" fontId="0" fillId="7" borderId="21" xfId="0" applyNumberFormat="1" applyFill="1" applyBorder="1" applyAlignment="1">
      <alignment horizontal="center"/>
    </xf>
    <xf numFmtId="164" fontId="0" fillId="7" borderId="44" xfId="0" applyNumberFormat="1" applyFill="1" applyBorder="1" applyAlignment="1">
      <alignment horizontal="center"/>
    </xf>
    <xf numFmtId="165" fontId="19" fillId="9" borderId="17" xfId="0" applyNumberFormat="1" applyFont="1" applyFill="1" applyBorder="1" applyAlignment="1">
      <alignment horizontal="center"/>
    </xf>
    <xf numFmtId="2" fontId="0" fillId="7" borderId="19" xfId="0" applyNumberFormat="1" applyFill="1" applyBorder="1" applyAlignment="1">
      <alignment horizontal="center"/>
    </xf>
    <xf numFmtId="2" fontId="0" fillId="7" borderId="10" xfId="0" applyNumberFormat="1" applyFill="1" applyBorder="1" applyAlignment="1">
      <alignment horizontal="center"/>
    </xf>
    <xf numFmtId="2" fontId="4" fillId="5" borderId="19" xfId="0" applyNumberFormat="1" applyFont="1" applyFill="1" applyBorder="1" applyAlignment="1">
      <alignment horizontal="center"/>
    </xf>
    <xf numFmtId="2" fontId="0" fillId="6" borderId="19" xfId="0" applyNumberFormat="1" applyFill="1" applyBorder="1" applyAlignment="1" applyProtection="1">
      <alignment horizontal="center"/>
      <protection locked="0"/>
    </xf>
    <xf numFmtId="2" fontId="0" fillId="6" borderId="10" xfId="0" applyNumberFormat="1" applyFill="1" applyBorder="1" applyAlignment="1" applyProtection="1">
      <alignment horizontal="center"/>
      <protection locked="0"/>
    </xf>
    <xf numFmtId="3" fontId="0" fillId="6" borderId="19" xfId="0" applyNumberFormat="1" applyFill="1" applyBorder="1" applyAlignment="1" applyProtection="1">
      <alignment horizontal="center"/>
      <protection locked="0"/>
    </xf>
    <xf numFmtId="3" fontId="0" fillId="6" borderId="10" xfId="0" applyNumberFormat="1" applyFill="1" applyBorder="1" applyAlignment="1" applyProtection="1">
      <alignment horizontal="center"/>
      <protection locked="0"/>
    </xf>
    <xf numFmtId="2" fontId="4" fillId="5" borderId="17" xfId="0" applyNumberFormat="1" applyFont="1" applyFill="1" applyBorder="1" applyAlignment="1">
      <alignment horizontal="center"/>
    </xf>
    <xf numFmtId="0" fontId="15" fillId="3" borderId="0" xfId="0" applyFont="1" applyFill="1" applyAlignment="1">
      <alignment horizontal="center" vertical="center" wrapText="1"/>
    </xf>
    <xf numFmtId="0" fontId="4" fillId="8" borderId="0" xfId="0" applyFont="1" applyFill="1" applyAlignment="1">
      <alignment horizontal="center"/>
    </xf>
    <xf numFmtId="3" fontId="19" fillId="9" borderId="0" xfId="0" applyNumberFormat="1" applyFont="1" applyFill="1" applyAlignment="1">
      <alignment horizontal="center"/>
    </xf>
    <xf numFmtId="0" fontId="0" fillId="0" borderId="54" xfId="0" applyBorder="1"/>
    <xf numFmtId="1" fontId="0" fillId="0" borderId="0" xfId="0" applyNumberFormat="1"/>
    <xf numFmtId="1" fontId="0" fillId="0" borderId="54" xfId="0" applyNumberFormat="1" applyBorder="1"/>
    <xf numFmtId="0" fontId="23" fillId="0" borderId="0" xfId="0" applyFont="1"/>
    <xf numFmtId="1" fontId="23" fillId="0" borderId="0" xfId="0" applyNumberFormat="1" applyFont="1"/>
    <xf numFmtId="2" fontId="0" fillId="0" borderId="0" xfId="0" applyNumberFormat="1"/>
    <xf numFmtId="2" fontId="0" fillId="0" borderId="54" xfId="0" applyNumberFormat="1" applyBorder="1"/>
    <xf numFmtId="2" fontId="23" fillId="0" borderId="0" xfId="0" applyNumberFormat="1" applyFont="1"/>
    <xf numFmtId="2" fontId="4" fillId="5" borderId="50" xfId="0" applyNumberFormat="1" applyFont="1" applyFill="1" applyBorder="1" applyAlignment="1">
      <alignment horizontal="center"/>
    </xf>
    <xf numFmtId="9" fontId="19" fillId="9" borderId="37" xfId="0" applyNumberFormat="1" applyFont="1" applyFill="1" applyBorder="1" applyAlignment="1">
      <alignment horizontal="center"/>
    </xf>
    <xf numFmtId="9" fontId="4" fillId="8" borderId="56" xfId="0" applyNumberFormat="1" applyFont="1" applyFill="1" applyBorder="1" applyAlignment="1">
      <alignment horizontal="center"/>
    </xf>
    <xf numFmtId="9" fontId="19" fillId="9" borderId="49" xfId="0" applyNumberFormat="1" applyFont="1" applyFill="1" applyBorder="1" applyAlignment="1">
      <alignment horizontal="center"/>
    </xf>
    <xf numFmtId="3" fontId="19" fillId="9" borderId="57" xfId="0" applyNumberFormat="1" applyFont="1" applyFill="1" applyBorder="1" applyAlignment="1">
      <alignment horizontal="left"/>
    </xf>
    <xf numFmtId="9" fontId="19" fillId="9" borderId="57" xfId="0" applyNumberFormat="1" applyFont="1" applyFill="1" applyBorder="1" applyAlignment="1">
      <alignment horizontal="center"/>
    </xf>
    <xf numFmtId="9" fontId="19" fillId="9" borderId="55" xfId="0" applyNumberFormat="1" applyFont="1" applyFill="1" applyBorder="1" applyAlignment="1">
      <alignment horizontal="center"/>
    </xf>
    <xf numFmtId="2" fontId="19" fillId="9" borderId="49" xfId="0" applyNumberFormat="1" applyFont="1" applyFill="1" applyBorder="1" applyAlignment="1">
      <alignment horizontal="center"/>
    </xf>
    <xf numFmtId="2" fontId="19" fillId="9" borderId="57" xfId="0" applyNumberFormat="1" applyFont="1" applyFill="1" applyBorder="1" applyAlignment="1">
      <alignment horizontal="center"/>
    </xf>
    <xf numFmtId="2" fontId="19" fillId="9" borderId="55" xfId="0" applyNumberFormat="1" applyFont="1" applyFill="1" applyBorder="1" applyAlignment="1">
      <alignment horizontal="center"/>
    </xf>
    <xf numFmtId="0" fontId="16" fillId="4" borderId="0" xfId="6" applyFont="1" applyFill="1" applyAlignment="1" applyProtection="1">
      <alignment horizontal="left" vertical="top" wrapText="1" indent="1"/>
    </xf>
    <xf numFmtId="0" fontId="16" fillId="0" borderId="0" xfId="0" applyFont="1" applyAlignment="1">
      <alignment horizontal="left" vertical="top" wrapText="1" indent="4"/>
    </xf>
    <xf numFmtId="4" fontId="4" fillId="5" borderId="20" xfId="0" applyNumberFormat="1" applyFont="1" applyFill="1" applyBorder="1" applyAlignment="1">
      <alignment horizontal="center"/>
    </xf>
    <xf numFmtId="4" fontId="0" fillId="7" borderId="20" xfId="0" applyNumberFormat="1" applyFill="1" applyBorder="1" applyAlignment="1">
      <alignment horizontal="center"/>
    </xf>
    <xf numFmtId="4" fontId="0" fillId="7" borderId="46" xfId="0" applyNumberFormat="1" applyFill="1" applyBorder="1" applyAlignment="1">
      <alignment horizontal="center"/>
    </xf>
    <xf numFmtId="0" fontId="16" fillId="4" borderId="0" xfId="0" applyFont="1" applyFill="1" applyAlignment="1">
      <alignment horizontal="left" vertical="top" wrapText="1" indent="1"/>
    </xf>
    <xf numFmtId="0" fontId="16" fillId="4" borderId="0" xfId="0" applyFont="1" applyFill="1" applyAlignment="1">
      <alignment horizontal="left" vertical="top" wrapText="1" indent="2"/>
    </xf>
    <xf numFmtId="0" fontId="17" fillId="4" borderId="0" xfId="0" applyFont="1" applyFill="1" applyAlignment="1">
      <alignment horizontal="center"/>
    </xf>
    <xf numFmtId="0" fontId="18" fillId="4" borderId="0" xfId="0" applyFont="1" applyFill="1" applyAlignment="1">
      <alignment horizontal="center"/>
    </xf>
    <xf numFmtId="0" fontId="12" fillId="4" borderId="0" xfId="0" applyFont="1" applyFill="1" applyAlignment="1">
      <alignment horizontal="center" vertical="center"/>
    </xf>
    <xf numFmtId="0" fontId="15" fillId="3" borderId="4" xfId="0" applyFont="1" applyFill="1" applyBorder="1" applyAlignment="1">
      <alignment horizontal="center" vertical="center" wrapText="1"/>
    </xf>
    <xf numFmtId="0" fontId="4" fillId="8" borderId="33" xfId="0" applyFont="1" applyFill="1" applyBorder="1" applyAlignment="1">
      <alignment horizontal="center"/>
    </xf>
    <xf numFmtId="0" fontId="31" fillId="4" borderId="0" xfId="0" applyFont="1" applyFill="1" applyAlignment="1">
      <alignment horizontal="left"/>
    </xf>
    <xf numFmtId="0" fontId="22" fillId="11" borderId="26" xfId="0" applyFont="1" applyFill="1" applyBorder="1" applyAlignment="1">
      <alignment horizontal="right" vertical="center"/>
    </xf>
    <xf numFmtId="0" fontId="22" fillId="11" borderId="61" xfId="0" applyFont="1" applyFill="1" applyBorder="1" applyAlignment="1">
      <alignment horizontal="right" vertical="center"/>
    </xf>
    <xf numFmtId="0" fontId="23" fillId="11" borderId="26" xfId="0" applyFont="1" applyFill="1" applyBorder="1"/>
    <xf numFmtId="0" fontId="23" fillId="11" borderId="0" xfId="0" applyFont="1" applyFill="1"/>
    <xf numFmtId="0" fontId="23" fillId="11" borderId="27" xfId="0" applyFont="1" applyFill="1" applyBorder="1"/>
    <xf numFmtId="166" fontId="36" fillId="9" borderId="63" xfId="0" applyNumberFormat="1" applyFont="1" applyFill="1" applyBorder="1" applyAlignment="1">
      <alignment horizontal="right" vertical="center"/>
    </xf>
    <xf numFmtId="0" fontId="22" fillId="11" borderId="26" xfId="0" applyFont="1" applyFill="1" applyBorder="1" applyAlignment="1">
      <alignment horizontal="center" vertical="center" wrapText="1"/>
    </xf>
    <xf numFmtId="0" fontId="22" fillId="11" borderId="0" xfId="0" applyFont="1" applyFill="1" applyAlignment="1">
      <alignment horizontal="center" vertical="center"/>
    </xf>
    <xf numFmtId="0" fontId="22" fillId="11" borderId="0" xfId="0" applyFont="1" applyFill="1" applyAlignment="1">
      <alignment horizontal="center" vertical="center" wrapText="1"/>
    </xf>
    <xf numFmtId="0" fontId="22" fillId="11" borderId="27" xfId="0" applyFont="1" applyFill="1" applyBorder="1" applyAlignment="1">
      <alignment horizontal="center" vertical="center" wrapText="1"/>
    </xf>
    <xf numFmtId="1" fontId="0" fillId="9" borderId="63" xfId="0" applyNumberFormat="1" applyFill="1" applyBorder="1" applyAlignment="1">
      <alignment horizontal="center" vertical="center"/>
    </xf>
    <xf numFmtId="166" fontId="0" fillId="9" borderId="64" xfId="0" applyNumberFormat="1" applyFill="1" applyBorder="1" applyAlignment="1">
      <alignment horizontal="right" vertical="center"/>
    </xf>
    <xf numFmtId="0" fontId="0" fillId="12" borderId="26" xfId="0" applyFill="1" applyBorder="1"/>
    <xf numFmtId="0" fontId="0" fillId="12" borderId="0" xfId="0" applyFill="1"/>
    <xf numFmtId="0" fontId="0" fillId="12" borderId="27" xfId="0" applyFill="1" applyBorder="1"/>
    <xf numFmtId="0" fontId="0" fillId="10" borderId="26" xfId="0" applyFill="1" applyBorder="1"/>
    <xf numFmtId="0" fontId="0" fillId="10" borderId="0" xfId="0" applyFill="1"/>
    <xf numFmtId="0" fontId="0" fillId="10" borderId="27" xfId="0" applyFill="1" applyBorder="1"/>
    <xf numFmtId="0" fontId="0" fillId="13" borderId="0" xfId="0" applyFill="1"/>
    <xf numFmtId="0" fontId="0" fillId="4" borderId="18" xfId="0" applyFill="1" applyBorder="1"/>
    <xf numFmtId="0" fontId="0" fillId="4" borderId="0" xfId="0" applyFill="1" applyAlignment="1">
      <alignment horizontal="center" vertical="center"/>
    </xf>
    <xf numFmtId="164" fontId="0" fillId="7" borderId="18" xfId="0" applyNumberFormat="1" applyFill="1" applyBorder="1" applyAlignment="1" applyProtection="1">
      <alignment horizontal="center"/>
      <protection locked="0"/>
    </xf>
    <xf numFmtId="44" fontId="4" fillId="5" borderId="19" xfId="9" applyFont="1" applyFill="1" applyBorder="1" applyAlignment="1">
      <alignment horizontal="center"/>
    </xf>
    <xf numFmtId="44" fontId="0" fillId="7" borderId="19" xfId="9" applyFont="1" applyFill="1" applyBorder="1" applyAlignment="1">
      <alignment horizontal="center"/>
    </xf>
    <xf numFmtId="0" fontId="37" fillId="4" borderId="0" xfId="0" applyFont="1" applyFill="1"/>
    <xf numFmtId="9" fontId="2" fillId="16" borderId="33" xfId="0" applyNumberFormat="1" applyFont="1" applyFill="1" applyBorder="1" applyAlignment="1">
      <alignment horizontal="center" wrapText="1"/>
    </xf>
    <xf numFmtId="0" fontId="2" fillId="16" borderId="33" xfId="0" applyFont="1" applyFill="1" applyBorder="1" applyAlignment="1">
      <alignment horizontal="center" wrapText="1"/>
    </xf>
    <xf numFmtId="9" fontId="2" fillId="16" borderId="41" xfId="0" applyNumberFormat="1" applyFont="1" applyFill="1" applyBorder="1" applyAlignment="1">
      <alignment horizontal="center" wrapText="1"/>
    </xf>
    <xf numFmtId="9" fontId="2" fillId="16" borderId="14" xfId="0" applyNumberFormat="1" applyFont="1" applyFill="1" applyBorder="1" applyAlignment="1">
      <alignment horizontal="center" wrapText="1"/>
    </xf>
    <xf numFmtId="9" fontId="2" fillId="16" borderId="37" xfId="0" applyNumberFormat="1" applyFont="1" applyFill="1" applyBorder="1" applyAlignment="1">
      <alignment horizontal="center" wrapText="1"/>
    </xf>
    <xf numFmtId="9" fontId="2" fillId="16" borderId="53" xfId="0" applyNumberFormat="1" applyFont="1" applyFill="1" applyBorder="1" applyAlignment="1">
      <alignment horizontal="center" wrapText="1"/>
    </xf>
    <xf numFmtId="0" fontId="0" fillId="17" borderId="0" xfId="0" applyFill="1"/>
    <xf numFmtId="0" fontId="0" fillId="17" borderId="0" xfId="0" applyFill="1" applyAlignment="1">
      <alignment horizontal="center"/>
    </xf>
    <xf numFmtId="0" fontId="10" fillId="17" borderId="0" xfId="0" applyFont="1" applyFill="1" applyAlignment="1">
      <alignment vertical="center" wrapText="1"/>
    </xf>
    <xf numFmtId="0" fontId="12" fillId="17" borderId="0" xfId="0" applyFont="1" applyFill="1" applyAlignment="1">
      <alignment vertical="center" wrapText="1"/>
    </xf>
    <xf numFmtId="0" fontId="12" fillId="17" borderId="0" xfId="0" applyFont="1" applyFill="1" applyAlignment="1">
      <alignment horizontal="center" vertical="center" wrapText="1"/>
    </xf>
    <xf numFmtId="0" fontId="13" fillId="17" borderId="0" xfId="0" applyFont="1" applyFill="1" applyAlignment="1">
      <alignment horizontal="center"/>
    </xf>
    <xf numFmtId="0" fontId="12" fillId="17" borderId="0" xfId="0" applyFont="1" applyFill="1" applyAlignment="1">
      <alignment vertical="center"/>
    </xf>
    <xf numFmtId="0" fontId="12" fillId="17" borderId="0" xfId="0" applyFont="1" applyFill="1" applyAlignment="1">
      <alignment horizontal="center" vertical="center"/>
    </xf>
    <xf numFmtId="0" fontId="4" fillId="17" borderId="0" xfId="0" applyFont="1" applyFill="1" applyAlignment="1">
      <alignment horizontal="center"/>
    </xf>
    <xf numFmtId="0" fontId="11" fillId="17" borderId="0" xfId="0" applyFont="1" applyFill="1" applyAlignment="1">
      <alignment horizontal="center"/>
    </xf>
    <xf numFmtId="0" fontId="9" fillId="17" borderId="0" xfId="0" applyFont="1" applyFill="1" applyAlignment="1">
      <alignment horizontal="center"/>
    </xf>
    <xf numFmtId="0" fontId="0" fillId="18" borderId="4" xfId="0" applyFill="1" applyBorder="1"/>
    <xf numFmtId="0" fontId="0" fillId="18" borderId="5" xfId="0" applyFill="1" applyBorder="1"/>
    <xf numFmtId="0" fontId="15" fillId="18" borderId="6" xfId="0" applyFont="1" applyFill="1" applyBorder="1"/>
    <xf numFmtId="0" fontId="22" fillId="11" borderId="27" xfId="0" applyFont="1" applyFill="1" applyBorder="1" applyAlignment="1">
      <alignment horizontal="right"/>
    </xf>
    <xf numFmtId="0" fontId="0" fillId="4" borderId="27" xfId="0" applyFill="1" applyBorder="1"/>
    <xf numFmtId="44" fontId="0" fillId="7" borderId="67" xfId="9" applyFont="1" applyFill="1" applyBorder="1" applyAlignment="1">
      <alignment horizontal="center"/>
    </xf>
    <xf numFmtId="0" fontId="0" fillId="4" borderId="12" xfId="0" applyFill="1" applyBorder="1"/>
    <xf numFmtId="44" fontId="0" fillId="7" borderId="30" xfId="9" applyFont="1" applyFill="1" applyBorder="1" applyAlignment="1">
      <alignment horizontal="center"/>
    </xf>
    <xf numFmtId="164" fontId="0" fillId="7" borderId="68" xfId="0" applyNumberFormat="1" applyFill="1" applyBorder="1" applyAlignment="1">
      <alignment horizontal="center"/>
    </xf>
    <xf numFmtId="164" fontId="0" fillId="6" borderId="30" xfId="0" applyNumberFormat="1" applyFill="1" applyBorder="1" applyAlignment="1" applyProtection="1">
      <alignment horizontal="center"/>
      <protection locked="0"/>
    </xf>
    <xf numFmtId="164" fontId="0" fillId="6" borderId="69" xfId="0" applyNumberFormat="1" applyFill="1" applyBorder="1" applyAlignment="1" applyProtection="1">
      <alignment horizontal="center"/>
      <protection locked="0"/>
    </xf>
    <xf numFmtId="0" fontId="0" fillId="7" borderId="70" xfId="0" applyFill="1" applyBorder="1" applyAlignment="1">
      <alignment horizontal="center"/>
    </xf>
    <xf numFmtId="164" fontId="0" fillId="7" borderId="9" xfId="0" applyNumberFormat="1" applyFill="1" applyBorder="1" applyAlignment="1" applyProtection="1">
      <alignment horizontal="center"/>
      <protection locked="0"/>
    </xf>
    <xf numFmtId="0" fontId="0" fillId="6" borderId="69" xfId="0" applyFill="1" applyBorder="1" applyAlignment="1" applyProtection="1">
      <alignment horizontal="center"/>
      <protection locked="0"/>
    </xf>
    <xf numFmtId="167" fontId="19" fillId="9" borderId="25" xfId="9" applyNumberFormat="1" applyFont="1" applyFill="1" applyBorder="1" applyAlignment="1">
      <alignment horizontal="center"/>
    </xf>
    <xf numFmtId="167" fontId="19" fillId="9" borderId="30" xfId="9" applyNumberFormat="1" applyFont="1" applyFill="1" applyBorder="1" applyAlignment="1">
      <alignment horizontal="center"/>
    </xf>
    <xf numFmtId="168" fontId="0" fillId="7" borderId="18" xfId="0" applyNumberFormat="1" applyFill="1" applyBorder="1" applyAlignment="1">
      <alignment horizontal="center"/>
    </xf>
    <xf numFmtId="169" fontId="0" fillId="7" borderId="19" xfId="0" applyNumberFormat="1" applyFill="1" applyBorder="1" applyAlignment="1">
      <alignment horizontal="center"/>
    </xf>
    <xf numFmtId="3" fontId="4" fillId="5" borderId="39" xfId="0" applyNumberFormat="1" applyFont="1" applyFill="1" applyBorder="1" applyAlignment="1">
      <alignment horizontal="center"/>
    </xf>
    <xf numFmtId="168" fontId="0" fillId="7" borderId="17" xfId="0" applyNumberFormat="1" applyFill="1" applyBorder="1" applyAlignment="1">
      <alignment horizontal="center"/>
    </xf>
    <xf numFmtId="168" fontId="0" fillId="7" borderId="8" xfId="0" applyNumberFormat="1" applyFill="1" applyBorder="1" applyAlignment="1">
      <alignment horizontal="center"/>
    </xf>
    <xf numFmtId="168" fontId="0" fillId="7" borderId="9" xfId="0" applyNumberFormat="1" applyFill="1" applyBorder="1" applyAlignment="1">
      <alignment horizontal="center"/>
    </xf>
    <xf numFmtId="169" fontId="0" fillId="7" borderId="10" xfId="0" applyNumberFormat="1" applyFill="1" applyBorder="1" applyAlignment="1">
      <alignment horizontal="center"/>
    </xf>
    <xf numFmtId="170" fontId="3" fillId="2" borderId="8" xfId="0" applyNumberFormat="1" applyFont="1" applyFill="1" applyBorder="1" applyAlignment="1">
      <alignment horizontal="center"/>
    </xf>
    <xf numFmtId="169" fontId="3" fillId="2" borderId="10" xfId="0" applyNumberFormat="1" applyFont="1" applyFill="1" applyBorder="1" applyAlignment="1">
      <alignment horizontal="center"/>
    </xf>
    <xf numFmtId="168" fontId="0" fillId="9" borderId="63" xfId="0" applyNumberFormat="1" applyFill="1" applyBorder="1" applyAlignment="1">
      <alignment horizontal="center" vertical="center"/>
    </xf>
    <xf numFmtId="168" fontId="0" fillId="9" borderId="63" xfId="0" applyNumberFormat="1" applyFill="1" applyBorder="1" applyAlignment="1">
      <alignment horizontal="right" vertical="center"/>
    </xf>
    <xf numFmtId="169" fontId="0" fillId="9" borderId="63" xfId="0" applyNumberFormat="1" applyFill="1" applyBorder="1" applyAlignment="1">
      <alignment horizontal="right" vertical="center"/>
    </xf>
    <xf numFmtId="171" fontId="36" fillId="9" borderId="63" xfId="8" applyNumberFormat="1" applyFont="1" applyFill="1" applyBorder="1" applyAlignment="1" applyProtection="1">
      <alignment horizontal="right" vertical="center"/>
    </xf>
    <xf numFmtId="172" fontId="36" fillId="9" borderId="63" xfId="8" applyNumberFormat="1" applyFont="1" applyFill="1" applyBorder="1" applyAlignment="1" applyProtection="1">
      <alignment horizontal="right" vertical="center"/>
    </xf>
    <xf numFmtId="0" fontId="19" fillId="9" borderId="30" xfId="0" applyFont="1" applyFill="1" applyBorder="1" applyAlignment="1">
      <alignment horizontal="center"/>
    </xf>
    <xf numFmtId="0" fontId="22" fillId="11" borderId="0" xfId="0" applyFont="1" applyFill="1"/>
    <xf numFmtId="0" fontId="0" fillId="4" borderId="14" xfId="0" applyFill="1" applyBorder="1"/>
    <xf numFmtId="0" fontId="0" fillId="4" borderId="15" xfId="0" applyFill="1" applyBorder="1"/>
    <xf numFmtId="0" fontId="0" fillId="4" borderId="16" xfId="0" applyFill="1" applyBorder="1"/>
    <xf numFmtId="0" fontId="0" fillId="4" borderId="8" xfId="0" applyFill="1" applyBorder="1"/>
    <xf numFmtId="0" fontId="0" fillId="4" borderId="9" xfId="0" applyFill="1" applyBorder="1"/>
    <xf numFmtId="0" fontId="23" fillId="11" borderId="10" xfId="0" applyFont="1" applyFill="1" applyBorder="1"/>
    <xf numFmtId="0" fontId="16" fillId="4" borderId="0" xfId="0" applyFont="1" applyFill="1" applyAlignment="1">
      <alignment horizontal="left" vertical="top" wrapText="1" indent="1"/>
    </xf>
    <xf numFmtId="0" fontId="16" fillId="4" borderId="0" xfId="0" applyFont="1" applyFill="1" applyAlignment="1">
      <alignment horizontal="left" vertical="top" wrapText="1" indent="2"/>
    </xf>
    <xf numFmtId="0" fontId="31" fillId="4" borderId="0" xfId="0" applyFont="1" applyFill="1" applyAlignment="1">
      <alignment horizontal="left" vertical="top" wrapText="1"/>
    </xf>
    <xf numFmtId="0" fontId="17" fillId="4" borderId="0" xfId="0" applyFont="1" applyFill="1" applyAlignment="1">
      <alignment horizontal="center"/>
    </xf>
    <xf numFmtId="0" fontId="18" fillId="4" borderId="0" xfId="0" applyFont="1" applyFill="1" applyAlignment="1">
      <alignment horizontal="center"/>
    </xf>
    <xf numFmtId="0" fontId="16" fillId="4" borderId="0" xfId="0" applyFont="1" applyFill="1" applyAlignment="1">
      <alignment horizontal="left" vertical="top" wrapText="1"/>
    </xf>
    <xf numFmtId="0" fontId="22" fillId="11" borderId="26" xfId="0" applyFont="1" applyFill="1" applyBorder="1" applyAlignment="1">
      <alignment horizontal="right" vertical="center"/>
    </xf>
    <xf numFmtId="0" fontId="22" fillId="11" borderId="62" xfId="0" applyFont="1" applyFill="1" applyBorder="1" applyAlignment="1">
      <alignment horizontal="right" vertical="center" wrapText="1"/>
    </xf>
    <xf numFmtId="0" fontId="22" fillId="11" borderId="62" xfId="0" applyFont="1" applyFill="1" applyBorder="1" applyAlignment="1">
      <alignment horizontal="right" vertical="center"/>
    </xf>
    <xf numFmtId="0" fontId="22" fillId="11" borderId="26" xfId="7" applyFont="1" applyFill="1" applyBorder="1" applyAlignment="1" applyProtection="1">
      <alignment horizontal="center" vertical="center"/>
      <protection locked="0"/>
    </xf>
    <xf numFmtId="0" fontId="22" fillId="11" borderId="65" xfId="7" applyFont="1" applyFill="1" applyBorder="1" applyAlignment="1" applyProtection="1">
      <alignment horizontal="center" vertical="center"/>
      <protection locked="0"/>
    </xf>
    <xf numFmtId="0" fontId="22" fillId="11" borderId="66" xfId="7" applyFont="1" applyFill="1" applyBorder="1" applyAlignment="1" applyProtection="1">
      <alignment horizontal="center" vertical="center"/>
      <protection locked="0"/>
    </xf>
    <xf numFmtId="0" fontId="23" fillId="4" borderId="22" xfId="0" applyFont="1" applyFill="1" applyBorder="1" applyAlignment="1">
      <alignment vertical="center"/>
    </xf>
    <xf numFmtId="0" fontId="23" fillId="4" borderId="23" xfId="0" applyFont="1" applyFill="1" applyBorder="1" applyAlignment="1">
      <alignment vertical="center"/>
    </xf>
    <xf numFmtId="0" fontId="23" fillId="4" borderId="24" xfId="0" applyFont="1" applyFill="1" applyBorder="1" applyAlignment="1">
      <alignment vertical="center"/>
    </xf>
    <xf numFmtId="0" fontId="35" fillId="0" borderId="58" xfId="0" applyFont="1" applyBorder="1" applyAlignment="1" applyProtection="1">
      <alignment horizontal="left" vertical="center"/>
      <protection locked="0"/>
    </xf>
    <xf numFmtId="0" fontId="35" fillId="0" borderId="59" xfId="0" applyFont="1" applyBorder="1" applyAlignment="1" applyProtection="1">
      <alignment horizontal="left" vertical="center"/>
      <protection locked="0"/>
    </xf>
    <xf numFmtId="0" fontId="35" fillId="0" borderId="60" xfId="0" applyFont="1" applyBorder="1" applyAlignment="1" applyProtection="1">
      <alignment horizontal="left" vertical="center"/>
      <protection locked="0"/>
    </xf>
    <xf numFmtId="0" fontId="34" fillId="10" borderId="11" xfId="0" applyFont="1" applyFill="1" applyBorder="1" applyAlignment="1">
      <alignment horizontal="center" vertical="center"/>
    </xf>
    <xf numFmtId="0" fontId="34" fillId="10" borderId="12" xfId="0" applyFont="1" applyFill="1" applyBorder="1" applyAlignment="1">
      <alignment horizontal="center" vertical="center"/>
    </xf>
    <xf numFmtId="0" fontId="34" fillId="10" borderId="13" xfId="0" applyFont="1" applyFill="1" applyBorder="1" applyAlignment="1">
      <alignment horizontal="center" vertical="center"/>
    </xf>
    <xf numFmtId="0" fontId="14" fillId="3" borderId="4" xfId="0" applyFont="1" applyFill="1" applyBorder="1" applyAlignment="1">
      <alignment horizontal="center"/>
    </xf>
    <xf numFmtId="0" fontId="14" fillId="3" borderId="6" xfId="0" applyFont="1" applyFill="1" applyBorder="1" applyAlignment="1">
      <alignment horizontal="center"/>
    </xf>
    <xf numFmtId="0" fontId="12" fillId="19" borderId="23" xfId="0" applyFont="1" applyFill="1" applyBorder="1" applyAlignment="1">
      <alignment horizontal="center" vertical="center"/>
    </xf>
    <xf numFmtId="0" fontId="15" fillId="3" borderId="11" xfId="0" applyFont="1" applyFill="1" applyBorder="1" applyAlignment="1">
      <alignment horizontal="center"/>
    </xf>
    <xf numFmtId="0" fontId="15" fillId="3" borderId="12" xfId="0" applyFont="1" applyFill="1" applyBorder="1" applyAlignment="1">
      <alignment horizontal="center"/>
    </xf>
    <xf numFmtId="0" fontId="15" fillId="3" borderId="5" xfId="0" applyFont="1" applyFill="1" applyBorder="1" applyAlignment="1">
      <alignment horizontal="center"/>
    </xf>
    <xf numFmtId="0" fontId="15" fillId="3" borderId="6" xfId="0" applyFont="1" applyFill="1" applyBorder="1" applyAlignment="1">
      <alignment horizontal="center"/>
    </xf>
    <xf numFmtId="0" fontId="9" fillId="4" borderId="42" xfId="0" applyFont="1" applyFill="1" applyBorder="1" applyAlignment="1">
      <alignment horizontal="center"/>
    </xf>
    <xf numFmtId="0" fontId="9" fillId="4" borderId="43" xfId="0" applyFont="1" applyFill="1" applyBorder="1" applyAlignment="1">
      <alignment horizontal="center"/>
    </xf>
    <xf numFmtId="0" fontId="15" fillId="16" borderId="4" xfId="0" applyFont="1" applyFill="1" applyBorder="1" applyAlignment="1">
      <alignment horizontal="center"/>
    </xf>
    <xf numFmtId="0" fontId="15" fillId="16" borderId="5" xfId="0" applyFont="1" applyFill="1" applyBorder="1" applyAlignment="1">
      <alignment horizontal="center"/>
    </xf>
    <xf numFmtId="0" fontId="15" fillId="16" borderId="6" xfId="0" applyFont="1" applyFill="1" applyBorder="1" applyAlignment="1">
      <alignment horizont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5" xfId="0" applyFont="1" applyFill="1" applyBorder="1" applyAlignment="1">
      <alignment horizontal="center"/>
    </xf>
    <xf numFmtId="0" fontId="15" fillId="3" borderId="13" xfId="0" applyFont="1" applyFill="1" applyBorder="1" applyAlignment="1">
      <alignment horizontal="center"/>
    </xf>
    <xf numFmtId="0" fontId="15" fillId="3" borderId="4" xfId="0" applyFont="1" applyFill="1" applyBorder="1" applyAlignment="1">
      <alignment horizontal="center"/>
    </xf>
    <xf numFmtId="0" fontId="12" fillId="4" borderId="0" xfId="0" applyFont="1" applyFill="1" applyAlignment="1">
      <alignment horizontal="center" vertical="center"/>
    </xf>
    <xf numFmtId="0" fontId="15" fillId="3" borderId="0" xfId="0" applyFont="1" applyFill="1" applyAlignment="1">
      <alignment horizontal="center"/>
    </xf>
    <xf numFmtId="0" fontId="15" fillId="3" borderId="23" xfId="0" applyFont="1" applyFill="1" applyBorder="1" applyAlignment="1">
      <alignment horizontal="center"/>
    </xf>
    <xf numFmtId="0" fontId="15" fillId="3" borderId="24" xfId="0" applyFont="1" applyFill="1" applyBorder="1" applyAlignment="1">
      <alignment horizontal="center"/>
    </xf>
    <xf numFmtId="0" fontId="15" fillId="3" borderId="22" xfId="0" applyFont="1" applyFill="1" applyBorder="1" applyAlignment="1">
      <alignment horizontal="center"/>
    </xf>
    <xf numFmtId="0" fontId="9" fillId="4" borderId="1" xfId="0" applyFont="1" applyFill="1" applyBorder="1" applyAlignment="1">
      <alignment horizontal="center"/>
    </xf>
    <xf numFmtId="0" fontId="9" fillId="4" borderId="2" xfId="0" applyFont="1" applyFill="1" applyBorder="1" applyAlignment="1">
      <alignment horizontal="center"/>
    </xf>
    <xf numFmtId="0" fontId="9" fillId="4" borderId="3" xfId="0" applyFont="1" applyFill="1" applyBorder="1" applyAlignment="1">
      <alignment horizontal="center"/>
    </xf>
    <xf numFmtId="0" fontId="15" fillId="3"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4" fillId="8" borderId="36" xfId="0" applyFont="1" applyFill="1" applyBorder="1" applyAlignment="1">
      <alignment horizontal="center"/>
    </xf>
    <xf numFmtId="0" fontId="4" fillId="8" borderId="29" xfId="0" applyFont="1" applyFill="1" applyBorder="1" applyAlignment="1">
      <alignment horizontal="center"/>
    </xf>
    <xf numFmtId="0" fontId="17" fillId="0" borderId="0" xfId="2" applyFont="1" applyAlignment="1">
      <alignment horizontal="center"/>
    </xf>
    <xf numFmtId="0" fontId="4" fillId="8" borderId="31" xfId="0" applyFont="1" applyFill="1" applyBorder="1" applyAlignment="1">
      <alignment horizontal="center"/>
    </xf>
    <xf numFmtId="0" fontId="4" fillId="8" borderId="32" xfId="0" applyFont="1" applyFill="1" applyBorder="1" applyAlignment="1">
      <alignment horizontal="center"/>
    </xf>
    <xf numFmtId="0" fontId="4" fillId="8" borderId="33" xfId="0" applyFont="1" applyFill="1" applyBorder="1" applyAlignment="1">
      <alignment horizontal="center"/>
    </xf>
  </cellXfs>
  <cellStyles count="16">
    <cellStyle name="Comma" xfId="8" builtinId="3"/>
    <cellStyle name="Currency" xfId="9" builtinId="4"/>
    <cellStyle name="Good 2" xfId="13" xr:uid="{D617B4CA-614E-4849-A7CF-9D43D6326AD1}"/>
    <cellStyle name="Hyperlink" xfId="7" builtinId="8"/>
    <cellStyle name="Hyperlink 2" xfId="6" xr:uid="{9961827C-D9D0-4416-9D30-698C164452E2}"/>
    <cellStyle name="Neutral 2" xfId="14" xr:uid="{6CF92C7F-321C-42C2-9FAD-8A2E65B8805C}"/>
    <cellStyle name="Normal" xfId="0" builtinId="0"/>
    <cellStyle name="Normal 10 2" xfId="2" xr:uid="{59E4BEE9-025E-4F84-80F6-4D28FEE3A2F8}"/>
    <cellStyle name="Normal 2" xfId="3" xr:uid="{562F114E-44CC-4AFE-9C0E-2BE97C463F0B}"/>
    <cellStyle name="Normal 2 2" xfId="5" xr:uid="{B1AA67D8-FDE6-4F93-A6E4-B4CDDCFCA824}"/>
    <cellStyle name="Normal 2 2 2" xfId="4" xr:uid="{86ADCACD-CAF3-432E-9FC0-5CE4958DABB6}"/>
    <cellStyle name="Normal 2 3" xfId="15" xr:uid="{BEF0B151-03C1-4B38-B43D-A801FEE8D0A1}"/>
    <cellStyle name="Normal 4" xfId="10" xr:uid="{C3F59748-9916-42C7-858E-E918402A0547}"/>
    <cellStyle name="Normal 5" xfId="11" xr:uid="{3728FE18-C839-4FA4-8ABA-35551988802D}"/>
    <cellStyle name="Normal 5 2" xfId="12" xr:uid="{46381443-7DD6-4D4D-B1FC-80D45822100B}"/>
    <cellStyle name="Percent" xfId="1" builtinId="5"/>
  </cellStyles>
  <dxfs count="2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0000"/>
        </patternFill>
      </fill>
    </dxf>
    <dxf>
      <font>
        <color auto="1"/>
      </font>
      <fill>
        <patternFill>
          <bgColor rgb="FFFF0000"/>
        </patternFill>
      </fill>
    </dxf>
    <dxf>
      <font>
        <color auto="1"/>
      </font>
      <fill>
        <patternFill patternType="darkUp"/>
      </fill>
    </dxf>
    <dxf>
      <font>
        <color theme="1"/>
      </font>
      <fill>
        <patternFill patternType="darkUp"/>
      </fill>
    </dxf>
    <dxf>
      <font>
        <color theme="1"/>
      </font>
      <fill>
        <patternFill patternType="darkUp"/>
      </fill>
    </dxf>
    <dxf>
      <font>
        <color theme="1"/>
      </font>
      <fill>
        <patternFill patternType="darkUp"/>
      </fill>
    </dxf>
    <dxf>
      <font>
        <color auto="1"/>
      </font>
      <fill>
        <patternFill patternType="darkUp"/>
      </fill>
    </dxf>
    <dxf>
      <font>
        <color auto="1"/>
      </font>
      <fill>
        <patternFill patternType="darkUp"/>
      </fill>
    </dxf>
    <dxf>
      <font>
        <color theme="0" tint="-4.9989318521683403E-2"/>
      </font>
      <fill>
        <patternFill>
          <bgColor theme="1" tint="0.24994659260841701"/>
        </patternFill>
      </fill>
    </dxf>
    <dxf>
      <font>
        <color theme="1"/>
      </font>
      <fill>
        <patternFill patternType="darkUp"/>
      </fill>
    </dxf>
    <dxf>
      <font>
        <color theme="0" tint="-4.9989318521683403E-2"/>
      </font>
      <fill>
        <patternFill>
          <bgColor theme="1" tint="0.24994659260841701"/>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'VFD Custom Load Profile'!$C$5</c:f>
              <c:strCache>
                <c:ptCount val="1"/>
                <c:pt idx="0">
                  <c:v>Default HVAC Fan</c:v>
                </c:pt>
              </c:strCache>
            </c:strRef>
          </c:tx>
          <c:spPr>
            <a:ln w="19050" cap="rnd">
              <a:solidFill>
                <a:schemeClr val="accent1"/>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Profile'!$C$6:$C$16</c:f>
              <c:numCache>
                <c:formatCode>0%</c:formatCode>
                <c:ptCount val="11"/>
                <c:pt idx="0">
                  <c:v>0</c:v>
                </c:pt>
                <c:pt idx="1">
                  <c:v>0</c:v>
                </c:pt>
                <c:pt idx="2">
                  <c:v>0</c:v>
                </c:pt>
                <c:pt idx="3">
                  <c:v>0</c:v>
                </c:pt>
                <c:pt idx="4">
                  <c:v>0</c:v>
                </c:pt>
                <c:pt idx="5">
                  <c:v>0.1</c:v>
                </c:pt>
                <c:pt idx="6">
                  <c:v>0.2</c:v>
                </c:pt>
                <c:pt idx="7">
                  <c:v>0.3</c:v>
                </c:pt>
                <c:pt idx="8">
                  <c:v>0.2</c:v>
                </c:pt>
                <c:pt idx="9">
                  <c:v>0.15</c:v>
                </c:pt>
                <c:pt idx="10">
                  <c:v>0.05</c:v>
                </c:pt>
              </c:numCache>
            </c:numRef>
          </c:yVal>
          <c:smooth val="0"/>
          <c:extLst>
            <c:ext xmlns:c16="http://schemas.microsoft.com/office/drawing/2014/chart" uri="{C3380CC4-5D6E-409C-BE32-E72D297353CC}">
              <c16:uniqueId val="{00000000-CFDF-43CB-BF6E-16252ACCF712}"/>
            </c:ext>
          </c:extLst>
        </c:ser>
        <c:ser>
          <c:idx val="1"/>
          <c:order val="1"/>
          <c:tx>
            <c:strRef>
              <c:f>'VFD Custom Load Profile'!$D$5</c:f>
              <c:strCache>
                <c:ptCount val="1"/>
                <c:pt idx="0">
                  <c:v>Default HVAC Pump</c:v>
                </c:pt>
              </c:strCache>
            </c:strRef>
          </c:tx>
          <c:spPr>
            <a:ln w="19050" cap="rnd">
              <a:solidFill>
                <a:schemeClr val="accent2"/>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Profile'!$D$6:$D$16</c:f>
              <c:numCache>
                <c:formatCode>0%</c:formatCode>
                <c:ptCount val="11"/>
                <c:pt idx="0">
                  <c:v>0</c:v>
                </c:pt>
                <c:pt idx="1">
                  <c:v>0</c:v>
                </c:pt>
                <c:pt idx="2">
                  <c:v>0</c:v>
                </c:pt>
                <c:pt idx="3">
                  <c:v>0.05</c:v>
                </c:pt>
                <c:pt idx="4">
                  <c:v>0.1</c:v>
                </c:pt>
                <c:pt idx="5">
                  <c:v>0.2</c:v>
                </c:pt>
                <c:pt idx="6">
                  <c:v>0.3</c:v>
                </c:pt>
                <c:pt idx="7">
                  <c:v>0.2</c:v>
                </c:pt>
                <c:pt idx="8">
                  <c:v>0.1</c:v>
                </c:pt>
                <c:pt idx="9">
                  <c:v>0.05</c:v>
                </c:pt>
                <c:pt idx="10">
                  <c:v>0</c:v>
                </c:pt>
              </c:numCache>
            </c:numRef>
          </c:yVal>
          <c:smooth val="0"/>
          <c:extLst>
            <c:ext xmlns:c16="http://schemas.microsoft.com/office/drawing/2014/chart" uri="{C3380CC4-5D6E-409C-BE32-E72D297353CC}">
              <c16:uniqueId val="{00000001-CFDF-43CB-BF6E-16252ACCF712}"/>
            </c:ext>
          </c:extLst>
        </c:ser>
        <c:ser>
          <c:idx val="2"/>
          <c:order val="2"/>
          <c:tx>
            <c:strRef>
              <c:f>'VFD Custom Load Profile'!$E$5</c:f>
              <c:strCache>
                <c:ptCount val="1"/>
                <c:pt idx="0">
                  <c:v>Process Load - Low Loading</c:v>
                </c:pt>
              </c:strCache>
            </c:strRef>
          </c:tx>
          <c:spPr>
            <a:ln w="19050" cap="rnd">
              <a:solidFill>
                <a:schemeClr val="accent3"/>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Profile'!$E$6:$E$16</c:f>
              <c:numCache>
                <c:formatCode>0%</c:formatCode>
                <c:ptCount val="11"/>
                <c:pt idx="0">
                  <c:v>0</c:v>
                </c:pt>
                <c:pt idx="1">
                  <c:v>0</c:v>
                </c:pt>
                <c:pt idx="2">
                  <c:v>0</c:v>
                </c:pt>
                <c:pt idx="3">
                  <c:v>0</c:v>
                </c:pt>
                <c:pt idx="4">
                  <c:v>0.3</c:v>
                </c:pt>
                <c:pt idx="5">
                  <c:v>0.4</c:v>
                </c:pt>
                <c:pt idx="6">
                  <c:v>0</c:v>
                </c:pt>
                <c:pt idx="7">
                  <c:v>0.25</c:v>
                </c:pt>
                <c:pt idx="8">
                  <c:v>0</c:v>
                </c:pt>
                <c:pt idx="9">
                  <c:v>0.05</c:v>
                </c:pt>
                <c:pt idx="10">
                  <c:v>0</c:v>
                </c:pt>
              </c:numCache>
            </c:numRef>
          </c:yVal>
          <c:smooth val="0"/>
          <c:extLst>
            <c:ext xmlns:c16="http://schemas.microsoft.com/office/drawing/2014/chart" uri="{C3380CC4-5D6E-409C-BE32-E72D297353CC}">
              <c16:uniqueId val="{00000002-CFDF-43CB-BF6E-16252ACCF712}"/>
            </c:ext>
          </c:extLst>
        </c:ser>
        <c:ser>
          <c:idx val="3"/>
          <c:order val="3"/>
          <c:tx>
            <c:strRef>
              <c:f>'VFD Custom Load Profile'!$F$5</c:f>
              <c:strCache>
                <c:ptCount val="1"/>
                <c:pt idx="0">
                  <c:v>Process Load - High Loading</c:v>
                </c:pt>
              </c:strCache>
            </c:strRef>
          </c:tx>
          <c:spPr>
            <a:ln w="19050" cap="rnd">
              <a:solidFill>
                <a:schemeClr val="accent4"/>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Profile'!$F$6:$F$16</c:f>
              <c:numCache>
                <c:formatCode>0%</c:formatCode>
                <c:ptCount val="11"/>
                <c:pt idx="0">
                  <c:v>0</c:v>
                </c:pt>
                <c:pt idx="1">
                  <c:v>0</c:v>
                </c:pt>
                <c:pt idx="2">
                  <c:v>0</c:v>
                </c:pt>
                <c:pt idx="3">
                  <c:v>0</c:v>
                </c:pt>
                <c:pt idx="4">
                  <c:v>0</c:v>
                </c:pt>
                <c:pt idx="5">
                  <c:v>0.2</c:v>
                </c:pt>
                <c:pt idx="6">
                  <c:v>0</c:v>
                </c:pt>
                <c:pt idx="7">
                  <c:v>0.6</c:v>
                </c:pt>
                <c:pt idx="8">
                  <c:v>0</c:v>
                </c:pt>
                <c:pt idx="9">
                  <c:v>0.2</c:v>
                </c:pt>
                <c:pt idx="10">
                  <c:v>0</c:v>
                </c:pt>
              </c:numCache>
            </c:numRef>
          </c:yVal>
          <c:smooth val="0"/>
          <c:extLst>
            <c:ext xmlns:c16="http://schemas.microsoft.com/office/drawing/2014/chart" uri="{C3380CC4-5D6E-409C-BE32-E72D297353CC}">
              <c16:uniqueId val="{00000003-CFDF-43CB-BF6E-16252ACCF712}"/>
            </c:ext>
          </c:extLst>
        </c:ser>
        <c:ser>
          <c:idx val="4"/>
          <c:order val="4"/>
          <c:tx>
            <c:strRef>
              <c:f>'VFD Custom Load Profile'!$G$5</c:f>
              <c:strCache>
                <c:ptCount val="1"/>
                <c:pt idx="0">
                  <c:v>Custom Load Profile 3</c:v>
                </c:pt>
              </c:strCache>
            </c:strRef>
          </c:tx>
          <c:spPr>
            <a:ln w="19050" cap="rnd">
              <a:solidFill>
                <a:schemeClr val="accent5"/>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Profile'!$G$6:$G$16</c:f>
              <c:numCache>
                <c:formatCode>0%</c:formatCode>
                <c:ptCount val="11"/>
              </c:numCache>
            </c:numRef>
          </c:yVal>
          <c:smooth val="0"/>
          <c:extLst>
            <c:ext xmlns:c16="http://schemas.microsoft.com/office/drawing/2014/chart" uri="{C3380CC4-5D6E-409C-BE32-E72D297353CC}">
              <c16:uniqueId val="{00000004-CFDF-43CB-BF6E-16252ACCF712}"/>
            </c:ext>
          </c:extLst>
        </c:ser>
        <c:ser>
          <c:idx val="5"/>
          <c:order val="5"/>
          <c:tx>
            <c:strRef>
              <c:f>'VFD Custom Load Profile'!$H$5</c:f>
              <c:strCache>
                <c:ptCount val="1"/>
                <c:pt idx="0">
                  <c:v>Custom Load Profile 4</c:v>
                </c:pt>
              </c:strCache>
            </c:strRef>
          </c:tx>
          <c:spPr>
            <a:ln w="19050" cap="rnd">
              <a:solidFill>
                <a:schemeClr val="accent6"/>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Profile'!$H$6:$H$16</c:f>
              <c:numCache>
                <c:formatCode>0%</c:formatCode>
                <c:ptCount val="11"/>
              </c:numCache>
            </c:numRef>
          </c:yVal>
          <c:smooth val="0"/>
          <c:extLst>
            <c:ext xmlns:c16="http://schemas.microsoft.com/office/drawing/2014/chart" uri="{C3380CC4-5D6E-409C-BE32-E72D297353CC}">
              <c16:uniqueId val="{00000000-9C7B-4E3F-840B-3AC0F076944A}"/>
            </c:ext>
          </c:extLst>
        </c:ser>
        <c:ser>
          <c:idx val="6"/>
          <c:order val="6"/>
          <c:tx>
            <c:strRef>
              <c:f>'VFD Custom Load Profile'!$I$5</c:f>
              <c:strCache>
                <c:ptCount val="1"/>
                <c:pt idx="0">
                  <c:v>Custom Load Profile 5</c:v>
                </c:pt>
              </c:strCache>
            </c:strRef>
          </c:tx>
          <c:spPr>
            <a:ln w="19050" cap="rnd">
              <a:solidFill>
                <a:schemeClr val="accent1">
                  <a:lumMod val="60000"/>
                </a:schemeClr>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Profile'!$I$6:$I$16</c:f>
              <c:numCache>
                <c:formatCode>0%</c:formatCode>
                <c:ptCount val="11"/>
              </c:numCache>
            </c:numRef>
          </c:yVal>
          <c:smooth val="0"/>
          <c:extLst>
            <c:ext xmlns:c16="http://schemas.microsoft.com/office/drawing/2014/chart" uri="{C3380CC4-5D6E-409C-BE32-E72D297353CC}">
              <c16:uniqueId val="{00000001-9C7B-4E3F-840B-3AC0F076944A}"/>
            </c:ext>
          </c:extLst>
        </c:ser>
        <c:ser>
          <c:idx val="7"/>
          <c:order val="7"/>
          <c:tx>
            <c:strRef>
              <c:f>'VFD Custom Load Profile'!$J$5</c:f>
              <c:strCache>
                <c:ptCount val="1"/>
                <c:pt idx="0">
                  <c:v>Custom Load Profile 6</c:v>
                </c:pt>
              </c:strCache>
            </c:strRef>
          </c:tx>
          <c:spPr>
            <a:ln w="19050" cap="rnd">
              <a:solidFill>
                <a:schemeClr val="accent2">
                  <a:lumMod val="60000"/>
                </a:schemeClr>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Profile'!$J$6:$J$16</c:f>
              <c:numCache>
                <c:formatCode>0%</c:formatCode>
                <c:ptCount val="11"/>
              </c:numCache>
            </c:numRef>
          </c:yVal>
          <c:smooth val="0"/>
          <c:extLst>
            <c:ext xmlns:c16="http://schemas.microsoft.com/office/drawing/2014/chart" uri="{C3380CC4-5D6E-409C-BE32-E72D297353CC}">
              <c16:uniqueId val="{00000002-9C7B-4E3F-840B-3AC0F076944A}"/>
            </c:ext>
          </c:extLst>
        </c:ser>
        <c:ser>
          <c:idx val="8"/>
          <c:order val="8"/>
          <c:tx>
            <c:strRef>
              <c:f>'VFD Custom Load Profile'!$K$5</c:f>
              <c:strCache>
                <c:ptCount val="1"/>
                <c:pt idx="0">
                  <c:v>Custom Load Profile 7</c:v>
                </c:pt>
              </c:strCache>
            </c:strRef>
          </c:tx>
          <c:spPr>
            <a:ln w="19050" cap="rnd">
              <a:solidFill>
                <a:schemeClr val="accent3">
                  <a:lumMod val="60000"/>
                </a:schemeClr>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Profile'!$K$6:$K$16</c:f>
              <c:numCache>
                <c:formatCode>0%</c:formatCode>
                <c:ptCount val="11"/>
              </c:numCache>
            </c:numRef>
          </c:yVal>
          <c:smooth val="0"/>
          <c:extLst>
            <c:ext xmlns:c16="http://schemas.microsoft.com/office/drawing/2014/chart" uri="{C3380CC4-5D6E-409C-BE32-E72D297353CC}">
              <c16:uniqueId val="{00000003-9C7B-4E3F-840B-3AC0F076944A}"/>
            </c:ext>
          </c:extLst>
        </c:ser>
        <c:ser>
          <c:idx val="9"/>
          <c:order val="9"/>
          <c:tx>
            <c:strRef>
              <c:f>'VFD Custom Load Profile'!$L$5</c:f>
              <c:strCache>
                <c:ptCount val="1"/>
                <c:pt idx="0">
                  <c:v>Custom Load Profile 8</c:v>
                </c:pt>
              </c:strCache>
            </c:strRef>
          </c:tx>
          <c:spPr>
            <a:ln w="19050" cap="rnd">
              <a:solidFill>
                <a:schemeClr val="accent4">
                  <a:lumMod val="60000"/>
                </a:schemeClr>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Profile'!$L$6:$L$16</c:f>
              <c:numCache>
                <c:formatCode>0%</c:formatCode>
                <c:ptCount val="11"/>
              </c:numCache>
            </c:numRef>
          </c:yVal>
          <c:smooth val="0"/>
          <c:extLst>
            <c:ext xmlns:c16="http://schemas.microsoft.com/office/drawing/2014/chart" uri="{C3380CC4-5D6E-409C-BE32-E72D297353CC}">
              <c16:uniqueId val="{00000004-9C7B-4E3F-840B-3AC0F076944A}"/>
            </c:ext>
          </c:extLst>
        </c:ser>
        <c:ser>
          <c:idx val="10"/>
          <c:order val="10"/>
          <c:tx>
            <c:strRef>
              <c:f>'VFD Custom Load Profile'!$M$5</c:f>
              <c:strCache>
                <c:ptCount val="1"/>
                <c:pt idx="0">
                  <c:v>Custom Load Profile 9</c:v>
                </c:pt>
              </c:strCache>
            </c:strRef>
          </c:tx>
          <c:spPr>
            <a:ln w="19050" cap="rnd">
              <a:solidFill>
                <a:schemeClr val="accent5">
                  <a:lumMod val="60000"/>
                </a:schemeClr>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Profile'!$M$6:$M$16</c:f>
              <c:numCache>
                <c:formatCode>0%</c:formatCode>
                <c:ptCount val="11"/>
              </c:numCache>
            </c:numRef>
          </c:yVal>
          <c:smooth val="0"/>
          <c:extLst>
            <c:ext xmlns:c16="http://schemas.microsoft.com/office/drawing/2014/chart" uri="{C3380CC4-5D6E-409C-BE32-E72D297353CC}">
              <c16:uniqueId val="{00000005-9C7B-4E3F-840B-3AC0F076944A}"/>
            </c:ext>
          </c:extLst>
        </c:ser>
        <c:ser>
          <c:idx val="11"/>
          <c:order val="11"/>
          <c:tx>
            <c:strRef>
              <c:f>'VFD Custom Load Profile'!$N$5</c:f>
              <c:strCache>
                <c:ptCount val="1"/>
                <c:pt idx="0">
                  <c:v>Custom Load Profile 10</c:v>
                </c:pt>
              </c:strCache>
            </c:strRef>
          </c:tx>
          <c:spPr>
            <a:ln w="19050" cap="rnd">
              <a:solidFill>
                <a:schemeClr val="accent6">
                  <a:lumMod val="60000"/>
                </a:schemeClr>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Profile'!$N$6:$N$16</c:f>
              <c:numCache>
                <c:formatCode>0%</c:formatCode>
                <c:ptCount val="11"/>
              </c:numCache>
            </c:numRef>
          </c:yVal>
          <c:smooth val="0"/>
          <c:extLst>
            <c:ext xmlns:c16="http://schemas.microsoft.com/office/drawing/2014/chart" uri="{C3380CC4-5D6E-409C-BE32-E72D297353CC}">
              <c16:uniqueId val="{00000006-9C7B-4E3F-840B-3AC0F076944A}"/>
            </c:ext>
          </c:extLst>
        </c:ser>
        <c:dLbls>
          <c:showLegendKey val="0"/>
          <c:showVal val="0"/>
          <c:showCatName val="0"/>
          <c:showSerName val="0"/>
          <c:showPercent val="0"/>
          <c:showBubbleSize val="0"/>
        </c:dLbls>
        <c:axId val="778761200"/>
        <c:axId val="778762512"/>
      </c:scatterChart>
      <c:valAx>
        <c:axId val="778761200"/>
        <c:scaling>
          <c:orientation val="minMax"/>
          <c:max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Capacity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8762512"/>
        <c:crosses val="autoZero"/>
        <c:crossBetween val="midCat"/>
      </c:valAx>
      <c:valAx>
        <c:axId val="77876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Runtime at Capacity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8761200"/>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209550</xdr:colOff>
      <xdr:row>0</xdr:row>
      <xdr:rowOff>180976</xdr:rowOff>
    </xdr:from>
    <xdr:to>
      <xdr:col>7</xdr:col>
      <xdr:colOff>9526</xdr:colOff>
      <xdr:row>1</xdr:row>
      <xdr:rowOff>685800</xdr:rowOff>
    </xdr:to>
    <xdr:sp macro="" textlink="">
      <xdr:nvSpPr>
        <xdr:cNvPr id="2" name="Rectangle: Top Corners Rounded 1">
          <a:extLst>
            <a:ext uri="{FF2B5EF4-FFF2-40B4-BE49-F238E27FC236}">
              <a16:creationId xmlns:a16="http://schemas.microsoft.com/office/drawing/2014/main" id="{7A84915C-16D2-4353-AEE9-B3AE1F90C93F}"/>
            </a:ext>
          </a:extLst>
        </xdr:cNvPr>
        <xdr:cNvSpPr/>
      </xdr:nvSpPr>
      <xdr:spPr>
        <a:xfrm>
          <a:off x="209550" y="180976"/>
          <a:ext cx="6057901" cy="790574"/>
        </a:xfrm>
        <a:prstGeom prst="round2SameRect">
          <a:avLst>
            <a:gd name="adj1" fmla="val 37821"/>
            <a:gd name="adj2" fmla="val 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latin typeface="Tahoma" panose="020B0604030504040204" pitchFamily="34" charset="0"/>
              <a:ea typeface="Tahoma" panose="020B0604030504040204" pitchFamily="34" charset="0"/>
              <a:cs typeface="Tahoma" panose="020B0604030504040204" pitchFamily="34" charset="0"/>
            </a:rPr>
            <a:t>Project Estimated Summary</a:t>
          </a:r>
        </a:p>
      </xdr:txBody>
    </xdr:sp>
    <xdr:clientData/>
  </xdr:twoCellAnchor>
  <xdr:twoCellAnchor>
    <xdr:from>
      <xdr:col>0</xdr:col>
      <xdr:colOff>210206</xdr:colOff>
      <xdr:row>18</xdr:row>
      <xdr:rowOff>248964</xdr:rowOff>
    </xdr:from>
    <xdr:to>
      <xdr:col>7</xdr:col>
      <xdr:colOff>10182</xdr:colOff>
      <xdr:row>20</xdr:row>
      <xdr:rowOff>37443</xdr:rowOff>
    </xdr:to>
    <xdr:sp macro="" textlink="">
      <xdr:nvSpPr>
        <xdr:cNvPr id="3" name="Rectangle: Top Corners Rounded 2">
          <a:extLst>
            <a:ext uri="{FF2B5EF4-FFF2-40B4-BE49-F238E27FC236}">
              <a16:creationId xmlns:a16="http://schemas.microsoft.com/office/drawing/2014/main" id="{C0BF3793-69B2-4760-AF21-CA52A91496D5}"/>
            </a:ext>
          </a:extLst>
        </xdr:cNvPr>
        <xdr:cNvSpPr/>
      </xdr:nvSpPr>
      <xdr:spPr>
        <a:xfrm rot="10800000">
          <a:off x="210206" y="5135289"/>
          <a:ext cx="6057901" cy="283779"/>
        </a:xfrm>
        <a:prstGeom prst="round2SameRect">
          <a:avLst>
            <a:gd name="adj1" fmla="val 37821"/>
            <a:gd name="adj2" fmla="val 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2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62</xdr:col>
      <xdr:colOff>1047749</xdr:colOff>
      <xdr:row>2</xdr:row>
      <xdr:rowOff>19050</xdr:rowOff>
    </xdr:to>
    <xdr:sp macro="" textlink="">
      <xdr:nvSpPr>
        <xdr:cNvPr id="2" name="Rectangle: Top Corners Rounded 1">
          <a:extLst>
            <a:ext uri="{FF2B5EF4-FFF2-40B4-BE49-F238E27FC236}">
              <a16:creationId xmlns:a16="http://schemas.microsoft.com/office/drawing/2014/main" id="{82701622-24E6-4F65-874B-F812A281ABA5}"/>
            </a:ext>
          </a:extLst>
        </xdr:cNvPr>
        <xdr:cNvSpPr/>
      </xdr:nvSpPr>
      <xdr:spPr>
        <a:xfrm>
          <a:off x="619125" y="0"/>
          <a:ext cx="43517343" cy="328613"/>
        </a:xfrm>
        <a:prstGeom prst="round2SameRect">
          <a:avLst>
            <a:gd name="adj1" fmla="val 37821"/>
            <a:gd name="adj2" fmla="val 0"/>
          </a:avLst>
        </a:pr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a:p>
          <a:pPr algn="l"/>
          <a:endParaRPr lang="en-US" sz="1100"/>
        </a:p>
        <a:p>
          <a:pPr algn="l"/>
          <a:endParaRPr lang="en-US" sz="1100"/>
        </a:p>
        <a:p>
          <a:pPr algn="l"/>
          <a:endParaRPr lang="en-US" sz="1100"/>
        </a:p>
        <a:p>
          <a:pPr algn="l"/>
          <a:endParaRPr lang="en-US" sz="1100"/>
        </a:p>
      </xdr:txBody>
    </xdr:sp>
    <xdr:clientData/>
  </xdr:twoCellAnchor>
  <xdr:twoCellAnchor>
    <xdr:from>
      <xdr:col>1</xdr:col>
      <xdr:colOff>142874</xdr:colOff>
      <xdr:row>1</xdr:row>
      <xdr:rowOff>35719</xdr:rowOff>
    </xdr:from>
    <xdr:to>
      <xdr:col>4</xdr:col>
      <xdr:colOff>1600199</xdr:colOff>
      <xdr:row>4</xdr:row>
      <xdr:rowOff>59531</xdr:rowOff>
    </xdr:to>
    <xdr:sp macro="" textlink="">
      <xdr:nvSpPr>
        <xdr:cNvPr id="3" name="TextBox 2">
          <a:extLst>
            <a:ext uri="{FF2B5EF4-FFF2-40B4-BE49-F238E27FC236}">
              <a16:creationId xmlns:a16="http://schemas.microsoft.com/office/drawing/2014/main" id="{98918B2D-C92A-4468-8E7E-A7B95E80C636}"/>
            </a:ext>
          </a:extLst>
        </xdr:cNvPr>
        <xdr:cNvSpPr txBox="1"/>
      </xdr:nvSpPr>
      <xdr:spPr>
        <a:xfrm>
          <a:off x="321468" y="226219"/>
          <a:ext cx="4576762" cy="583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bg1"/>
              </a:solidFill>
              <a:latin typeface="Tahoma" panose="020B0604030504040204" pitchFamily="34" charset="0"/>
              <a:ea typeface="Tahoma" panose="020B0604030504040204" pitchFamily="34" charset="0"/>
              <a:cs typeface="Tahoma" panose="020B0604030504040204" pitchFamily="34" charset="0"/>
            </a:rPr>
            <a:t>Variable Frequency Drives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221827</xdr:colOff>
      <xdr:row>4</xdr:row>
      <xdr:rowOff>117898</xdr:rowOff>
    </xdr:from>
    <xdr:to>
      <xdr:col>24</xdr:col>
      <xdr:colOff>286597</xdr:colOff>
      <xdr:row>22</xdr:row>
      <xdr:rowOff>157904</xdr:rowOff>
    </xdr:to>
    <xdr:graphicFrame macro="">
      <xdr:nvGraphicFramePr>
        <xdr:cNvPr id="3" name="Chart 2">
          <a:extLst>
            <a:ext uri="{FF2B5EF4-FFF2-40B4-BE49-F238E27FC236}">
              <a16:creationId xmlns:a16="http://schemas.microsoft.com/office/drawing/2014/main" id="{590DA8B2-BE48-49D4-87A7-7E6A19052C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A3338-CA58-4745-83EC-25CD8451DC98}">
  <sheetPr codeName="Sheet6"/>
  <dimension ref="A1:C100"/>
  <sheetViews>
    <sheetView zoomScaleNormal="100" workbookViewId="0">
      <selection activeCell="A39" sqref="A39"/>
    </sheetView>
  </sheetViews>
  <sheetFormatPr defaultColWidth="9.140625" defaultRowHeight="12.75" customHeight="1" x14ac:dyDescent="0.25"/>
  <cols>
    <col min="1" max="1" width="101.42578125" style="12" customWidth="1"/>
    <col min="2" max="16384" width="9.140625" style="12"/>
  </cols>
  <sheetData>
    <row r="1" spans="1:1" ht="18" customHeight="1" x14ac:dyDescent="0.25">
      <c r="A1" s="213" t="s">
        <v>0</v>
      </c>
    </row>
    <row r="2" spans="1:1" ht="15.75" customHeight="1" x14ac:dyDescent="0.25">
      <c r="A2" s="214" t="s">
        <v>1</v>
      </c>
    </row>
    <row r="3" spans="1:1" ht="12.75" customHeight="1" thickBot="1" x14ac:dyDescent="0.3">
      <c r="A3" s="72"/>
    </row>
    <row r="4" spans="1:1" ht="12.75" customHeight="1" thickTop="1" x14ac:dyDescent="0.25">
      <c r="A4" s="73"/>
    </row>
    <row r="5" spans="1:1" ht="12.75" customHeight="1" x14ac:dyDescent="0.25">
      <c r="A5" s="73" t="s">
        <v>2</v>
      </c>
    </row>
    <row r="6" spans="1:1" ht="12.75" customHeight="1" x14ac:dyDescent="0.25">
      <c r="A6" s="74" t="s">
        <v>3</v>
      </c>
    </row>
    <row r="7" spans="1:1" ht="12.75" customHeight="1" x14ac:dyDescent="0.25">
      <c r="A7" s="74" t="s">
        <v>4</v>
      </c>
    </row>
    <row r="8" spans="1:1" ht="12.75" customHeight="1" x14ac:dyDescent="0.25">
      <c r="A8" s="74" t="s">
        <v>5</v>
      </c>
    </row>
    <row r="9" spans="1:1" ht="12.75" customHeight="1" x14ac:dyDescent="0.25">
      <c r="A9" s="74" t="s">
        <v>6</v>
      </c>
    </row>
    <row r="10" spans="1:1" ht="12.75" customHeight="1" thickBot="1" x14ac:dyDescent="0.3">
      <c r="A10" s="75"/>
    </row>
    <row r="11" spans="1:1" ht="12.75" customHeight="1" thickTop="1" x14ac:dyDescent="0.25">
      <c r="A11" s="73"/>
    </row>
    <row r="12" spans="1:1" ht="12.75" customHeight="1" x14ac:dyDescent="0.25">
      <c r="A12" s="73" t="s">
        <v>7</v>
      </c>
    </row>
    <row r="13" spans="1:1" ht="12.75" customHeight="1" x14ac:dyDescent="0.25">
      <c r="A13" s="211" t="s">
        <v>8</v>
      </c>
    </row>
    <row r="14" spans="1:1" ht="12.75" customHeight="1" x14ac:dyDescent="0.25">
      <c r="A14" s="212" t="s">
        <v>9</v>
      </c>
    </row>
    <row r="15" spans="1:1" ht="12.75" customHeight="1" x14ac:dyDescent="0.25">
      <c r="A15" s="212" t="s">
        <v>10</v>
      </c>
    </row>
    <row r="16" spans="1:1" ht="12.75" customHeight="1" x14ac:dyDescent="0.25">
      <c r="A16" s="76"/>
    </row>
    <row r="18" spans="1:1" ht="12.75" customHeight="1" x14ac:dyDescent="0.25">
      <c r="A18" s="73" t="s">
        <v>11</v>
      </c>
    </row>
    <row r="19" spans="1:1" ht="12.75" customHeight="1" x14ac:dyDescent="0.25">
      <c r="A19" s="77" t="s">
        <v>12</v>
      </c>
    </row>
    <row r="20" spans="1:1" ht="12.75" customHeight="1" x14ac:dyDescent="0.25">
      <c r="A20" s="78"/>
    </row>
    <row r="21" spans="1:1" ht="12.75" customHeight="1" x14ac:dyDescent="0.25">
      <c r="A21" s="79" t="s">
        <v>13</v>
      </c>
    </row>
    <row r="22" spans="1:1" ht="12.75" customHeight="1" x14ac:dyDescent="0.25">
      <c r="A22" s="80" t="s">
        <v>14</v>
      </c>
    </row>
    <row r="23" spans="1:1" ht="12.75" customHeight="1" x14ac:dyDescent="0.25">
      <c r="A23" s="80"/>
    </row>
    <row r="24" spans="1:1" ht="12.75" customHeight="1" x14ac:dyDescent="0.25">
      <c r="A24" s="79" t="s">
        <v>15</v>
      </c>
    </row>
    <row r="25" spans="1:1" ht="12.75" customHeight="1" x14ac:dyDescent="0.25">
      <c r="A25" s="81" t="s">
        <v>16</v>
      </c>
    </row>
    <row r="26" spans="1:1" ht="12.75" customHeight="1" x14ac:dyDescent="0.25">
      <c r="A26" s="81"/>
    </row>
    <row r="27" spans="1:1" ht="12.75" customHeight="1" x14ac:dyDescent="0.25">
      <c r="A27" s="79" t="s">
        <v>17</v>
      </c>
    </row>
    <row r="28" spans="1:1" ht="12.75" customHeight="1" x14ac:dyDescent="0.25">
      <c r="A28" s="300" t="s">
        <v>18</v>
      </c>
    </row>
    <row r="29" spans="1:1" ht="12.75" customHeight="1" x14ac:dyDescent="0.25">
      <c r="A29" s="300"/>
    </row>
    <row r="30" spans="1:1" ht="12.75" customHeight="1" x14ac:dyDescent="0.25">
      <c r="A30" s="300"/>
    </row>
    <row r="31" spans="1:1" ht="12.75" customHeight="1" x14ac:dyDescent="0.25">
      <c r="A31" s="81"/>
    </row>
    <row r="32" spans="1:1" ht="12.75" customHeight="1" x14ac:dyDescent="0.25">
      <c r="A32" s="79" t="s">
        <v>19</v>
      </c>
    </row>
    <row r="33" spans="1:1" ht="12.75" customHeight="1" x14ac:dyDescent="0.25">
      <c r="A33" s="300" t="s">
        <v>20</v>
      </c>
    </row>
    <row r="34" spans="1:1" ht="12.75" customHeight="1" x14ac:dyDescent="0.25">
      <c r="A34" s="300"/>
    </row>
    <row r="35" spans="1:1" ht="12.75" customHeight="1" x14ac:dyDescent="0.25">
      <c r="A35" s="300"/>
    </row>
    <row r="36" spans="1:1" ht="12.75" customHeight="1" x14ac:dyDescent="0.25">
      <c r="A36" s="300"/>
    </row>
    <row r="37" spans="1:1" ht="12.75" customHeight="1" x14ac:dyDescent="0.25">
      <c r="A37" s="300"/>
    </row>
    <row r="38" spans="1:1" ht="12.75" customHeight="1" x14ac:dyDescent="0.25">
      <c r="A38" s="300"/>
    </row>
    <row r="39" spans="1:1" ht="12.75" customHeight="1" x14ac:dyDescent="0.25">
      <c r="A39" s="212"/>
    </row>
    <row r="40" spans="1:1" ht="12.75" customHeight="1" x14ac:dyDescent="0.25">
      <c r="A40" s="300" t="s">
        <v>21</v>
      </c>
    </row>
    <row r="41" spans="1:1" ht="12.75" customHeight="1" x14ac:dyDescent="0.25">
      <c r="A41" s="300"/>
    </row>
    <row r="42" spans="1:1" ht="12.75" customHeight="1" x14ac:dyDescent="0.25">
      <c r="A42" s="300"/>
    </row>
    <row r="43" spans="1:1" ht="12.75" customHeight="1" x14ac:dyDescent="0.25">
      <c r="A43" s="300"/>
    </row>
    <row r="44" spans="1:1" ht="12.75" customHeight="1" x14ac:dyDescent="0.25">
      <c r="A44" s="300"/>
    </row>
    <row r="45" spans="1:1" ht="13.5" customHeight="1" x14ac:dyDescent="0.25">
      <c r="A45" s="82"/>
    </row>
    <row r="46" spans="1:1" ht="12.75" customHeight="1" x14ac:dyDescent="0.25">
      <c r="A46" s="79" t="s">
        <v>22</v>
      </c>
    </row>
    <row r="47" spans="1:1" ht="12.75" customHeight="1" x14ac:dyDescent="0.25">
      <c r="A47" s="300" t="s">
        <v>23</v>
      </c>
    </row>
    <row r="48" spans="1:1" ht="12.75" customHeight="1" x14ac:dyDescent="0.25">
      <c r="A48" s="300"/>
    </row>
    <row r="49" spans="1:1" ht="12.75" customHeight="1" x14ac:dyDescent="0.25">
      <c r="A49" s="300"/>
    </row>
    <row r="50" spans="1:1" ht="12.75" customHeight="1" x14ac:dyDescent="0.25">
      <c r="A50" s="300"/>
    </row>
    <row r="51" spans="1:1" ht="12.75" customHeight="1" x14ac:dyDescent="0.25">
      <c r="A51" s="83"/>
    </row>
    <row r="52" spans="1:1" ht="12.75" customHeight="1" x14ac:dyDescent="0.25">
      <c r="A52" s="300" t="s">
        <v>24</v>
      </c>
    </row>
    <row r="53" spans="1:1" ht="12.75" customHeight="1" x14ac:dyDescent="0.25">
      <c r="A53" s="300"/>
    </row>
    <row r="54" spans="1:1" ht="12.75" customHeight="1" x14ac:dyDescent="0.25">
      <c r="A54" s="300"/>
    </row>
    <row r="55" spans="1:1" ht="15.75" customHeight="1" x14ac:dyDescent="0.25">
      <c r="A55" s="300"/>
    </row>
    <row r="56" spans="1:1" ht="15.75" customHeight="1" x14ac:dyDescent="0.25">
      <c r="A56" s="300"/>
    </row>
    <row r="57" spans="1:1" ht="11.65" customHeight="1" x14ac:dyDescent="0.25">
      <c r="A57" s="300"/>
    </row>
    <row r="58" spans="1:1" ht="15.75" customHeight="1" x14ac:dyDescent="0.25">
      <c r="A58" s="300"/>
    </row>
    <row r="59" spans="1:1" ht="15.75" customHeight="1" x14ac:dyDescent="0.25">
      <c r="A59" s="84"/>
    </row>
    <row r="60" spans="1:1" ht="12.75" customHeight="1" x14ac:dyDescent="0.25">
      <c r="A60" s="79" t="s">
        <v>25</v>
      </c>
    </row>
    <row r="61" spans="1:1" ht="12.75" customHeight="1" x14ac:dyDescent="0.25">
      <c r="A61" s="300" t="s">
        <v>26</v>
      </c>
    </row>
    <row r="62" spans="1:1" ht="12.75" customHeight="1" x14ac:dyDescent="0.25">
      <c r="A62" s="300"/>
    </row>
    <row r="63" spans="1:1" ht="12.75" customHeight="1" x14ac:dyDescent="0.25">
      <c r="A63" s="300"/>
    </row>
    <row r="64" spans="1:1" ht="12.75" customHeight="1" x14ac:dyDescent="0.25">
      <c r="A64" s="300"/>
    </row>
    <row r="65" spans="1:1" ht="12.75" customHeight="1" x14ac:dyDescent="0.25">
      <c r="A65" s="300"/>
    </row>
    <row r="66" spans="1:1" ht="12.75" customHeight="1" x14ac:dyDescent="0.25">
      <c r="A66" s="300"/>
    </row>
    <row r="67" spans="1:1" ht="12.75" customHeight="1" x14ac:dyDescent="0.25">
      <c r="A67" s="79" t="s">
        <v>27</v>
      </c>
    </row>
    <row r="68" spans="1:1" ht="28.9" customHeight="1" x14ac:dyDescent="0.25">
      <c r="A68" s="206" t="s">
        <v>28</v>
      </c>
    </row>
    <row r="69" spans="1:1" ht="12.75" customHeight="1" x14ac:dyDescent="0.25">
      <c r="A69" s="85"/>
    </row>
    <row r="70" spans="1:1" ht="12.75" customHeight="1" x14ac:dyDescent="0.25">
      <c r="A70" s="81"/>
    </row>
    <row r="71" spans="1:1" ht="12.75" customHeight="1" x14ac:dyDescent="0.25">
      <c r="A71" s="73" t="s">
        <v>29</v>
      </c>
    </row>
    <row r="72" spans="1:1" ht="12.75" customHeight="1" x14ac:dyDescent="0.25">
      <c r="A72" s="299" t="s">
        <v>30</v>
      </c>
    </row>
    <row r="73" spans="1:1" ht="12.75" customHeight="1" x14ac:dyDescent="0.25">
      <c r="A73" s="299"/>
    </row>
    <row r="74" spans="1:1" ht="12.75" customHeight="1" x14ac:dyDescent="0.25">
      <c r="A74" s="299"/>
    </row>
    <row r="75" spans="1:1" ht="12.75" customHeight="1" x14ac:dyDescent="0.25">
      <c r="A75" s="299"/>
    </row>
    <row r="76" spans="1:1" ht="12.75" customHeight="1" x14ac:dyDescent="0.25">
      <c r="A76" s="299"/>
    </row>
    <row r="77" spans="1:1" ht="12.75" customHeight="1" x14ac:dyDescent="0.25">
      <c r="A77" s="299"/>
    </row>
    <row r="78" spans="1:1" ht="12.75" customHeight="1" x14ac:dyDescent="0.25">
      <c r="A78" s="299"/>
    </row>
    <row r="79" spans="1:1" ht="12.75" customHeight="1" x14ac:dyDescent="0.25">
      <c r="A79" s="299"/>
    </row>
    <row r="80" spans="1:1" ht="12.75" customHeight="1" x14ac:dyDescent="0.25">
      <c r="A80" s="299"/>
    </row>
    <row r="81" spans="1:3" ht="12.75" customHeight="1" x14ac:dyDescent="0.25">
      <c r="A81" s="299"/>
    </row>
    <row r="82" spans="1:3" ht="12.75" customHeight="1" x14ac:dyDescent="0.25">
      <c r="A82" s="299"/>
    </row>
    <row r="83" spans="1:3" ht="12.75" customHeight="1" x14ac:dyDescent="0.25">
      <c r="A83" s="299"/>
    </row>
    <row r="84" spans="1:3" ht="12.75" customHeight="1" x14ac:dyDescent="0.25">
      <c r="A84" s="299"/>
    </row>
    <row r="85" spans="1:3" ht="12.75" customHeight="1" x14ac:dyDescent="0.25">
      <c r="A85" s="299"/>
    </row>
    <row r="86" spans="1:3" ht="21.6" customHeight="1" x14ac:dyDescent="0.25">
      <c r="A86" s="299"/>
    </row>
    <row r="87" spans="1:3" ht="12.75" customHeight="1" x14ac:dyDescent="0.25">
      <c r="A87" s="86" t="s">
        <v>31</v>
      </c>
    </row>
    <row r="88" spans="1:3" ht="12.75" customHeight="1" x14ac:dyDescent="0.25">
      <c r="A88" s="86" t="s">
        <v>32</v>
      </c>
    </row>
    <row r="89" spans="1:3" ht="12.75" customHeight="1" x14ac:dyDescent="0.25">
      <c r="A89" s="86" t="s">
        <v>33</v>
      </c>
    </row>
    <row r="90" spans="1:3" ht="12.75" customHeight="1" x14ac:dyDescent="0.25">
      <c r="A90" s="86" t="s">
        <v>34</v>
      </c>
      <c r="C90" s="12" t="s">
        <v>35</v>
      </c>
    </row>
    <row r="91" spans="1:3" ht="12.75" customHeight="1" x14ac:dyDescent="0.25">
      <c r="A91" s="207" t="s">
        <v>36</v>
      </c>
    </row>
    <row r="92" spans="1:3" ht="12.75" customHeight="1" x14ac:dyDescent="0.25">
      <c r="A92" s="86" t="s">
        <v>37</v>
      </c>
    </row>
    <row r="93" spans="1:3" ht="12.75" customHeight="1" x14ac:dyDescent="0.25">
      <c r="A93" s="86" t="s">
        <v>38</v>
      </c>
    </row>
    <row r="94" spans="1:3" ht="12.75" customHeight="1" x14ac:dyDescent="0.25">
      <c r="A94" s="87"/>
    </row>
    <row r="95" spans="1:3" ht="12.75" customHeight="1" x14ac:dyDescent="0.25">
      <c r="A95" s="211"/>
    </row>
    <row r="96" spans="1:3" ht="12.75" customHeight="1" x14ac:dyDescent="0.25">
      <c r="A96" s="88" t="s">
        <v>39</v>
      </c>
    </row>
    <row r="97" spans="1:1" ht="12.75" customHeight="1" x14ac:dyDescent="0.25">
      <c r="A97" s="299" t="s">
        <v>40</v>
      </c>
    </row>
    <row r="98" spans="1:1" ht="12.75" customHeight="1" x14ac:dyDescent="0.25">
      <c r="A98" s="299"/>
    </row>
    <row r="99" spans="1:1" ht="12.75" customHeight="1" thickBot="1" x14ac:dyDescent="0.3">
      <c r="A99" s="89"/>
    </row>
    <row r="100" spans="1:1" ht="12.75" customHeight="1" thickTop="1" x14ac:dyDescent="0.25">
      <c r="A100" s="90"/>
    </row>
  </sheetData>
  <mergeCells count="8">
    <mergeCell ref="A97:A98"/>
    <mergeCell ref="A28:A30"/>
    <mergeCell ref="A61:A66"/>
    <mergeCell ref="A72:A86"/>
    <mergeCell ref="A33:A38"/>
    <mergeCell ref="A40:A44"/>
    <mergeCell ref="A47:A50"/>
    <mergeCell ref="A52:A58"/>
  </mergeCells>
  <hyperlinks>
    <hyperlink ref="A21" location="Manual!A1" display="(1) Manual" xr:uid="{98EF54E7-FAF0-49E2-AD6E-A4D9C45F2819}"/>
    <hyperlink ref="A32" location="'Motor Inventory'!A1" display="(4) Motor Inventory" xr:uid="{730194CE-29B2-4A56-AB15-7A99502CCE34}"/>
    <hyperlink ref="A6" location="Manual_1" display="I.     Purpose" xr:uid="{6C162D81-58E8-4A00-B110-6671D18B8FDE}"/>
    <hyperlink ref="A7" location="Manual_2" display="II.    Organization" xr:uid="{DEE58131-E8F3-4E7B-A05B-475BD494B0FE}"/>
    <hyperlink ref="A8" location="Manual_3" display="III.   Instructions" xr:uid="{2EB40CB3-A114-4A76-A4B3-C994D69680FB}"/>
    <hyperlink ref="A9" location="Manual_4" display="IV.  Disclaimer" xr:uid="{35B187FD-9F75-4B26-AD22-A48A9DB023E7}"/>
    <hyperlink ref="A24" location="Changelog" display="(2) Changelog" xr:uid="{714F2EE7-8E99-40CD-B1EB-CC00B6A2562D}"/>
    <hyperlink ref="A46" location="'3.3.2 VFD Improvements'!A1" display="(5) 3.3.2 VFD Improvements" xr:uid="{2E22657E-3F5C-4EF5-BC2A-798B9FAF892D}"/>
    <hyperlink ref="A60" location="'VFD Custom Load Profile'!A1" display="(6) VFD Custom Load Profile" xr:uid="{C38BADA4-10F6-484A-AE28-699313C59E77}"/>
    <hyperlink ref="A27" location="'General Information'!A1" display="(3) General Information" xr:uid="{96770553-FF77-4433-9EC3-1821ED1DFAA1}"/>
    <hyperlink ref="A67" location="Lookups!A1" display="(7) Lookups" xr:uid="{CD32DBC2-BE0A-465F-AD26-5883F1A48583}"/>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69A63-EC29-4702-9C55-A8CD963A5B69}">
  <sheetPr codeName="Sheet7"/>
  <dimension ref="A1:C91"/>
  <sheetViews>
    <sheetView topLeftCell="A64" workbookViewId="0">
      <selection activeCell="B96" sqref="B96"/>
    </sheetView>
  </sheetViews>
  <sheetFormatPr defaultColWidth="9.140625" defaultRowHeight="12.75" customHeight="1" x14ac:dyDescent="0.2"/>
  <cols>
    <col min="1" max="1" width="3.42578125" style="91" customWidth="1"/>
    <col min="2" max="2" width="191.85546875" style="91" bestFit="1" customWidth="1"/>
    <col min="3" max="16384" width="9.140625" style="91"/>
  </cols>
  <sheetData>
    <row r="1" spans="1:2" ht="18" customHeight="1" x14ac:dyDescent="0.25">
      <c r="A1" s="302" t="s">
        <v>0</v>
      </c>
      <c r="B1" s="302"/>
    </row>
    <row r="2" spans="1:2" ht="15.75" customHeight="1" x14ac:dyDescent="0.25">
      <c r="A2" s="303" t="s">
        <v>41</v>
      </c>
      <c r="B2" s="303"/>
    </row>
    <row r="4" spans="1:2" ht="12.75" customHeight="1" x14ac:dyDescent="0.2">
      <c r="A4" s="92" t="s">
        <v>42</v>
      </c>
      <c r="B4" s="93"/>
    </row>
    <row r="5" spans="1:2" ht="12.75" customHeight="1" x14ac:dyDescent="0.2">
      <c r="A5" s="94" t="s">
        <v>43</v>
      </c>
      <c r="B5" s="93" t="s">
        <v>44</v>
      </c>
    </row>
    <row r="6" spans="1:2" ht="12.75" customHeight="1" x14ac:dyDescent="0.2">
      <c r="A6" s="93"/>
      <c r="B6" s="93"/>
    </row>
    <row r="7" spans="1:2" ht="12.75" customHeight="1" x14ac:dyDescent="0.2">
      <c r="A7" s="92" t="s">
        <v>45</v>
      </c>
      <c r="B7" s="93"/>
    </row>
    <row r="8" spans="1:2" ht="12.75" customHeight="1" x14ac:dyDescent="0.2">
      <c r="A8" s="94" t="s">
        <v>43</v>
      </c>
      <c r="B8" s="93" t="s">
        <v>46</v>
      </c>
    </row>
    <row r="9" spans="1:2" ht="12.75" customHeight="1" x14ac:dyDescent="0.2">
      <c r="A9" s="94" t="s">
        <v>47</v>
      </c>
      <c r="B9" s="78" t="s">
        <v>48</v>
      </c>
    </row>
    <row r="10" spans="1:2" ht="12.75" customHeight="1" x14ac:dyDescent="0.2">
      <c r="A10" s="94" t="s">
        <v>49</v>
      </c>
      <c r="B10" s="78" t="s">
        <v>50</v>
      </c>
    </row>
    <row r="11" spans="1:2" ht="12.75" customHeight="1" x14ac:dyDescent="0.2">
      <c r="A11" s="92"/>
      <c r="B11" s="78"/>
    </row>
    <row r="12" spans="1:2" ht="12.75" customHeight="1" x14ac:dyDescent="0.2">
      <c r="A12" s="92" t="s">
        <v>51</v>
      </c>
      <c r="B12" s="78"/>
    </row>
    <row r="13" spans="1:2" ht="12.75" customHeight="1" x14ac:dyDescent="0.2">
      <c r="A13" s="94" t="s">
        <v>43</v>
      </c>
      <c r="B13" s="93" t="s">
        <v>52</v>
      </c>
    </row>
    <row r="14" spans="1:2" ht="12.75" customHeight="1" x14ac:dyDescent="0.2">
      <c r="A14" s="94" t="s">
        <v>47</v>
      </c>
      <c r="B14" s="304" t="s">
        <v>53</v>
      </c>
    </row>
    <row r="15" spans="1:2" ht="12.75" customHeight="1" x14ac:dyDescent="0.2">
      <c r="A15" s="94"/>
      <c r="B15" s="304"/>
    </row>
    <row r="16" spans="1:2" ht="12.75" customHeight="1" x14ac:dyDescent="0.2">
      <c r="A16" s="94" t="s">
        <v>49</v>
      </c>
      <c r="B16" s="304" t="s">
        <v>54</v>
      </c>
    </row>
    <row r="17" spans="1:2" ht="12.75" customHeight="1" x14ac:dyDescent="0.2">
      <c r="A17" s="94"/>
      <c r="B17" s="304"/>
    </row>
    <row r="18" spans="1:2" ht="12.75" customHeight="1" x14ac:dyDescent="0.2">
      <c r="A18" s="94" t="s">
        <v>55</v>
      </c>
      <c r="B18" s="83" t="s">
        <v>56</v>
      </c>
    </row>
    <row r="19" spans="1:2" ht="12.75" customHeight="1" x14ac:dyDescent="0.2">
      <c r="A19" s="94" t="s">
        <v>57</v>
      </c>
      <c r="B19" s="83" t="s">
        <v>58</v>
      </c>
    </row>
    <row r="20" spans="1:2" ht="12.75" customHeight="1" x14ac:dyDescent="0.2">
      <c r="A20" s="94" t="s">
        <v>59</v>
      </c>
      <c r="B20" s="304" t="s">
        <v>60</v>
      </c>
    </row>
    <row r="21" spans="1:2" ht="12.75" customHeight="1" x14ac:dyDescent="0.2">
      <c r="A21" s="94"/>
      <c r="B21" s="304"/>
    </row>
    <row r="22" spans="1:2" ht="12.75" customHeight="1" x14ac:dyDescent="0.2">
      <c r="A22" s="94"/>
      <c r="B22" s="304"/>
    </row>
    <row r="23" spans="1:2" ht="12.75" customHeight="1" x14ac:dyDescent="0.2">
      <c r="A23" s="94" t="s">
        <v>61</v>
      </c>
      <c r="B23" s="102" t="s">
        <v>62</v>
      </c>
    </row>
    <row r="24" spans="1:2" ht="12.75" customHeight="1" x14ac:dyDescent="0.2">
      <c r="A24" s="93"/>
      <c r="B24" s="93"/>
    </row>
    <row r="25" spans="1:2" ht="12.75" customHeight="1" x14ac:dyDescent="0.2">
      <c r="A25" s="92" t="s">
        <v>63</v>
      </c>
      <c r="B25" s="93"/>
    </row>
    <row r="26" spans="1:2" ht="12.75" customHeight="1" x14ac:dyDescent="0.2">
      <c r="A26" s="94" t="s">
        <v>43</v>
      </c>
      <c r="B26" s="102" t="s">
        <v>64</v>
      </c>
    </row>
    <row r="27" spans="1:2" ht="12.75" customHeight="1" x14ac:dyDescent="0.2">
      <c r="A27" s="94" t="s">
        <v>47</v>
      </c>
      <c r="B27" s="301" t="s">
        <v>65</v>
      </c>
    </row>
    <row r="28" spans="1:2" ht="12.75" customHeight="1" x14ac:dyDescent="0.2">
      <c r="B28" s="301"/>
    </row>
    <row r="29" spans="1:2" ht="12.75" customHeight="1" x14ac:dyDescent="0.2">
      <c r="A29" s="94" t="s">
        <v>49</v>
      </c>
      <c r="B29" s="102" t="s">
        <v>66</v>
      </c>
    </row>
    <row r="30" spans="1:2" ht="12.75" customHeight="1" x14ac:dyDescent="0.2">
      <c r="A30" s="94" t="s">
        <v>55</v>
      </c>
      <c r="B30" s="102" t="s">
        <v>67</v>
      </c>
    </row>
    <row r="32" spans="1:2" ht="12.75" customHeight="1" x14ac:dyDescent="0.2">
      <c r="A32" s="95" t="s">
        <v>68</v>
      </c>
      <c r="B32" s="96"/>
    </row>
    <row r="33" spans="1:3" ht="12.75" customHeight="1" x14ac:dyDescent="0.2">
      <c r="A33" s="94" t="s">
        <v>43</v>
      </c>
      <c r="B33" s="93" t="s">
        <v>69</v>
      </c>
    </row>
    <row r="34" spans="1:3" ht="12.75" customHeight="1" x14ac:dyDescent="0.2">
      <c r="A34" s="94" t="s">
        <v>47</v>
      </c>
      <c r="B34" s="97" t="s">
        <v>70</v>
      </c>
    </row>
    <row r="35" spans="1:3" ht="12.75" customHeight="1" x14ac:dyDescent="0.2">
      <c r="A35" s="94" t="s">
        <v>49</v>
      </c>
      <c r="B35" s="93" t="s">
        <v>71</v>
      </c>
    </row>
    <row r="36" spans="1:3" ht="12.75" customHeight="1" x14ac:dyDescent="0.2">
      <c r="A36" s="94" t="s">
        <v>49</v>
      </c>
      <c r="B36" s="78" t="s">
        <v>72</v>
      </c>
    </row>
    <row r="38" spans="1:3" ht="12.75" customHeight="1" x14ac:dyDescent="0.2">
      <c r="A38" s="95" t="s">
        <v>73</v>
      </c>
      <c r="B38" s="96"/>
    </row>
    <row r="39" spans="1:3" ht="12.75" customHeight="1" x14ac:dyDescent="0.2">
      <c r="A39" s="94" t="s">
        <v>43</v>
      </c>
      <c r="B39" s="93" t="s">
        <v>74</v>
      </c>
    </row>
    <row r="41" spans="1:3" ht="12.75" customHeight="1" x14ac:dyDescent="0.2">
      <c r="A41" s="95" t="s">
        <v>75</v>
      </c>
      <c r="B41" s="96"/>
    </row>
    <row r="42" spans="1:3" ht="12.75" customHeight="1" x14ac:dyDescent="0.2">
      <c r="A42" s="94" t="s">
        <v>43</v>
      </c>
      <c r="B42" s="301" t="s">
        <v>76</v>
      </c>
    </row>
    <row r="43" spans="1:3" ht="12.75" customHeight="1" x14ac:dyDescent="0.2">
      <c r="B43" s="301"/>
    </row>
    <row r="44" spans="1:3" ht="12.75" customHeight="1" x14ac:dyDescent="0.2">
      <c r="B44" s="98"/>
    </row>
    <row r="45" spans="1:3" ht="12.75" customHeight="1" x14ac:dyDescent="0.2">
      <c r="A45" s="99" t="s">
        <v>77</v>
      </c>
      <c r="B45" s="96"/>
      <c r="C45" s="91" t="s">
        <v>35</v>
      </c>
    </row>
    <row r="46" spans="1:3" ht="12.75" customHeight="1" x14ac:dyDescent="0.2">
      <c r="A46" s="94" t="s">
        <v>43</v>
      </c>
      <c r="B46" s="98" t="s">
        <v>78</v>
      </c>
    </row>
    <row r="47" spans="1:3" ht="12.75" customHeight="1" x14ac:dyDescent="0.2">
      <c r="A47" s="94" t="s">
        <v>47</v>
      </c>
      <c r="B47" s="98" t="s">
        <v>79</v>
      </c>
    </row>
    <row r="48" spans="1:3" ht="12.75" customHeight="1" x14ac:dyDescent="0.2">
      <c r="A48" s="94" t="s">
        <v>49</v>
      </c>
      <c r="B48" s="98" t="s">
        <v>80</v>
      </c>
    </row>
    <row r="49" spans="1:2" ht="12.75" customHeight="1" x14ac:dyDescent="0.2">
      <c r="A49" s="94" t="s">
        <v>55</v>
      </c>
      <c r="B49" s="78" t="s">
        <v>81</v>
      </c>
    </row>
    <row r="51" spans="1:2" ht="12.75" customHeight="1" x14ac:dyDescent="0.2">
      <c r="A51" s="99" t="s">
        <v>82</v>
      </c>
      <c r="B51" s="96"/>
    </row>
    <row r="52" spans="1:2" ht="12.75" customHeight="1" x14ac:dyDescent="0.2">
      <c r="A52" s="94" t="s">
        <v>43</v>
      </c>
      <c r="B52" s="98" t="s">
        <v>78</v>
      </c>
    </row>
    <row r="53" spans="1:2" ht="12.75" customHeight="1" x14ac:dyDescent="0.2">
      <c r="A53" s="94" t="s">
        <v>47</v>
      </c>
      <c r="B53" s="98" t="s">
        <v>83</v>
      </c>
    </row>
    <row r="54" spans="1:2" ht="12.75" customHeight="1" x14ac:dyDescent="0.2">
      <c r="A54" s="94" t="s">
        <v>49</v>
      </c>
      <c r="B54" s="98" t="s">
        <v>84</v>
      </c>
    </row>
    <row r="55" spans="1:2" ht="12.75" customHeight="1" x14ac:dyDescent="0.2">
      <c r="A55" s="94" t="s">
        <v>55</v>
      </c>
      <c r="B55" s="98" t="s">
        <v>85</v>
      </c>
    </row>
    <row r="56" spans="1:2" ht="12.75" customHeight="1" x14ac:dyDescent="0.2">
      <c r="A56" s="94" t="s">
        <v>57</v>
      </c>
      <c r="B56" s="98" t="s">
        <v>86</v>
      </c>
    </row>
    <row r="57" spans="1:2" ht="12.75" customHeight="1" x14ac:dyDescent="0.2">
      <c r="A57" s="94" t="s">
        <v>59</v>
      </c>
      <c r="B57" s="78" t="s">
        <v>87</v>
      </c>
    </row>
    <row r="58" spans="1:2" ht="12.75" customHeight="1" x14ac:dyDescent="0.2">
      <c r="A58" s="100" t="s">
        <v>61</v>
      </c>
      <c r="B58" s="78" t="s">
        <v>88</v>
      </c>
    </row>
    <row r="59" spans="1:2" ht="12.75" customHeight="1" x14ac:dyDescent="0.2">
      <c r="A59" s="100" t="s">
        <v>89</v>
      </c>
      <c r="B59" s="78" t="s">
        <v>90</v>
      </c>
    </row>
    <row r="60" spans="1:2" ht="12.75" customHeight="1" x14ac:dyDescent="0.2">
      <c r="A60" s="100" t="s">
        <v>91</v>
      </c>
      <c r="B60" s="78" t="s">
        <v>92</v>
      </c>
    </row>
    <row r="61" spans="1:2" ht="12.75" customHeight="1" x14ac:dyDescent="0.2">
      <c r="A61" s="100" t="s">
        <v>93</v>
      </c>
      <c r="B61" s="78" t="s">
        <v>94</v>
      </c>
    </row>
    <row r="62" spans="1:2" ht="12.75" customHeight="1" x14ac:dyDescent="0.2">
      <c r="A62" s="100" t="s">
        <v>95</v>
      </c>
      <c r="B62" s="78" t="s">
        <v>96</v>
      </c>
    </row>
    <row r="63" spans="1:2" ht="12.75" customHeight="1" x14ac:dyDescent="0.2">
      <c r="A63" s="100" t="s">
        <v>97</v>
      </c>
      <c r="B63" s="78" t="s">
        <v>98</v>
      </c>
    </row>
    <row r="64" spans="1:2" ht="12.75" customHeight="1" x14ac:dyDescent="0.2">
      <c r="A64" s="100" t="s">
        <v>99</v>
      </c>
      <c r="B64" s="78" t="s">
        <v>100</v>
      </c>
    </row>
    <row r="65" spans="1:2" ht="12.75" customHeight="1" x14ac:dyDescent="0.2">
      <c r="A65" s="100" t="s">
        <v>101</v>
      </c>
      <c r="B65" s="78" t="s">
        <v>81</v>
      </c>
    </row>
    <row r="66" spans="1:2" ht="12.75" customHeight="1" x14ac:dyDescent="0.2">
      <c r="A66" s="100" t="s">
        <v>102</v>
      </c>
      <c r="B66" s="78" t="s">
        <v>103</v>
      </c>
    </row>
    <row r="68" spans="1:2" s="101" customFormat="1" ht="12.75" customHeight="1" x14ac:dyDescent="0.2">
      <c r="A68" s="99" t="s">
        <v>104</v>
      </c>
    </row>
    <row r="69" spans="1:2" ht="12.75" customHeight="1" x14ac:dyDescent="0.2">
      <c r="A69" s="94" t="s">
        <v>43</v>
      </c>
      <c r="B69" s="98" t="s">
        <v>78</v>
      </c>
    </row>
    <row r="70" spans="1:2" ht="12.75" customHeight="1" x14ac:dyDescent="0.2">
      <c r="A70" s="94" t="s">
        <v>47</v>
      </c>
      <c r="B70" s="98" t="s">
        <v>105</v>
      </c>
    </row>
    <row r="72" spans="1:2" ht="12.75" customHeight="1" x14ac:dyDescent="0.2">
      <c r="A72" s="99" t="s">
        <v>106</v>
      </c>
      <c r="B72" s="101"/>
    </row>
    <row r="73" spans="1:2" ht="12.75" customHeight="1" x14ac:dyDescent="0.2">
      <c r="A73" s="93" t="s">
        <v>107</v>
      </c>
    </row>
    <row r="74" spans="1:2" ht="12.75" customHeight="1" x14ac:dyDescent="0.2">
      <c r="A74" s="93" t="s">
        <v>108</v>
      </c>
    </row>
    <row r="75" spans="1:2" ht="12.75" customHeight="1" x14ac:dyDescent="0.2">
      <c r="A75" s="93" t="s">
        <v>109</v>
      </c>
    </row>
    <row r="77" spans="1:2" s="101" customFormat="1" ht="12.75" customHeight="1" x14ac:dyDescent="0.2">
      <c r="A77" s="99" t="s">
        <v>276</v>
      </c>
    </row>
    <row r="78" spans="1:2" ht="12.75" customHeight="1" x14ac:dyDescent="0.2">
      <c r="A78" s="93" t="s">
        <v>110</v>
      </c>
      <c r="B78" s="93"/>
    </row>
    <row r="79" spans="1:2" ht="12.75" customHeight="1" x14ac:dyDescent="0.2">
      <c r="A79" s="103" t="s">
        <v>111</v>
      </c>
      <c r="B79" s="93"/>
    </row>
    <row r="80" spans="1:2" ht="12.75" customHeight="1" x14ac:dyDescent="0.2">
      <c r="A80" s="103" t="s">
        <v>112</v>
      </c>
      <c r="B80" s="93"/>
    </row>
    <row r="81" spans="1:2" ht="12.75" customHeight="1" x14ac:dyDescent="0.2">
      <c r="A81" s="103" t="s">
        <v>113</v>
      </c>
    </row>
    <row r="82" spans="1:2" ht="12.75" customHeight="1" x14ac:dyDescent="0.2">
      <c r="A82" s="93" t="s">
        <v>114</v>
      </c>
    </row>
    <row r="83" spans="1:2" ht="12.75" customHeight="1" x14ac:dyDescent="0.2">
      <c r="A83" s="93" t="s">
        <v>115</v>
      </c>
    </row>
    <row r="85" spans="1:2" s="101" customFormat="1" ht="12.75" customHeight="1" x14ac:dyDescent="0.2">
      <c r="A85" s="99" t="s">
        <v>275</v>
      </c>
    </row>
    <row r="86" spans="1:2" ht="12.75" customHeight="1" x14ac:dyDescent="0.2">
      <c r="A86" s="93" t="s">
        <v>277</v>
      </c>
      <c r="B86" s="93"/>
    </row>
    <row r="87" spans="1:2" ht="12.75" customHeight="1" x14ac:dyDescent="0.2">
      <c r="A87" s="93" t="s">
        <v>278</v>
      </c>
      <c r="B87" s="218" t="s">
        <v>279</v>
      </c>
    </row>
    <row r="89" spans="1:2" ht="12.75" customHeight="1" x14ac:dyDescent="0.2">
      <c r="A89" s="99" t="s">
        <v>319</v>
      </c>
    </row>
    <row r="90" spans="1:2" ht="12.75" customHeight="1" x14ac:dyDescent="0.2">
      <c r="A90" s="91" t="s">
        <v>322</v>
      </c>
    </row>
    <row r="91" spans="1:2" ht="12.75" customHeight="1" x14ac:dyDescent="0.2">
      <c r="A91" s="91" t="s">
        <v>323</v>
      </c>
    </row>
  </sheetData>
  <sheetProtection algorithmName="SHA-512" hashValue="DwU9Ao7rDzg+xqQZA521wD9PMKFS3d7uYvMOcrFlXlUnJEhRpG3MwnQzB009j9c13mNGLsqnOPaszIUF1tzj4Q==" saltValue="52DlFdHJdBD9hJmdchdcDA==" spinCount="100000" sheet="1" objects="1" scenarios="1"/>
  <mergeCells count="7">
    <mergeCell ref="B42:B43"/>
    <mergeCell ref="A1:B1"/>
    <mergeCell ref="A2:B2"/>
    <mergeCell ref="B14:B15"/>
    <mergeCell ref="B16:B17"/>
    <mergeCell ref="B20:B22"/>
    <mergeCell ref="B27:B2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E8C79-72AD-463B-B21A-A465133EE52C}">
  <sheetPr codeName="Sheet1"/>
  <dimension ref="A1:BO952"/>
  <sheetViews>
    <sheetView tabSelected="1" topLeftCell="A2" workbookViewId="0">
      <selection activeCell="O20" sqref="O20"/>
    </sheetView>
  </sheetViews>
  <sheetFormatPr defaultColWidth="9.5703125" defaultRowHeight="15" x14ac:dyDescent="0.25"/>
  <cols>
    <col min="1" max="1" width="3.28515625" customWidth="1"/>
    <col min="2" max="2" width="34.7109375" customWidth="1"/>
    <col min="3" max="3" width="9.28515625" customWidth="1"/>
    <col min="4" max="4" width="13.42578125" customWidth="1"/>
    <col min="5" max="5" width="17.140625" customWidth="1"/>
    <col min="6" max="6" width="15.140625" customWidth="1"/>
    <col min="7" max="7" width="14.28515625" customWidth="1"/>
    <col min="8" max="8" width="4.28515625" customWidth="1"/>
    <col min="9" max="10" width="9.28515625" style="12" customWidth="1"/>
    <col min="11" max="11" width="22.85546875" style="12" hidden="1" customWidth="1"/>
    <col min="12" max="13" width="9.28515625" style="12" hidden="1" customWidth="1"/>
    <col min="14" max="67" width="9.140625" style="12" customWidth="1"/>
    <col min="68" max="242" width="9.140625" customWidth="1"/>
    <col min="243" max="243" width="4" customWidth="1"/>
    <col min="244" max="244" width="3.28515625" customWidth="1"/>
    <col min="245" max="245" width="40.5703125" customWidth="1"/>
  </cols>
  <sheetData>
    <row r="1" spans="1:67" ht="22.5" customHeight="1" x14ac:dyDescent="0.25">
      <c r="A1" s="12"/>
      <c r="B1" s="12"/>
      <c r="C1" s="12"/>
      <c r="D1" s="12"/>
      <c r="E1" s="12"/>
      <c r="F1" s="12"/>
      <c r="G1" s="12"/>
      <c r="H1" s="12"/>
    </row>
    <row r="2" spans="1:67" ht="54.75" customHeight="1" thickBot="1" x14ac:dyDescent="0.3">
      <c r="A2" s="12"/>
      <c r="B2" s="12"/>
      <c r="C2" s="12"/>
      <c r="D2" s="12"/>
      <c r="E2" s="12"/>
      <c r="F2" s="12"/>
      <c r="G2" s="12"/>
      <c r="H2" s="12"/>
    </row>
    <row r="3" spans="1:67" ht="41.25" customHeight="1" x14ac:dyDescent="0.25">
      <c r="A3" s="12"/>
      <c r="B3" s="317" t="s">
        <v>303</v>
      </c>
      <c r="C3" s="318"/>
      <c r="D3" s="318"/>
      <c r="E3" s="318"/>
      <c r="F3" s="318"/>
      <c r="G3" s="319"/>
      <c r="H3" s="12"/>
    </row>
    <row r="4" spans="1:67" ht="16.5" customHeight="1" x14ac:dyDescent="0.25">
      <c r="A4" s="12"/>
      <c r="B4" s="219" t="s">
        <v>280</v>
      </c>
      <c r="C4" s="314"/>
      <c r="D4" s="315"/>
      <c r="E4" s="315"/>
      <c r="F4" s="315"/>
      <c r="G4" s="316"/>
      <c r="H4" s="12"/>
    </row>
    <row r="5" spans="1:67" ht="16.5" customHeight="1" x14ac:dyDescent="0.25">
      <c r="A5" s="12"/>
      <c r="B5" s="219" t="s">
        <v>281</v>
      </c>
      <c r="C5" s="314"/>
      <c r="D5" s="315"/>
      <c r="E5" s="315"/>
      <c r="F5" s="315"/>
      <c r="G5" s="316"/>
      <c r="H5" s="12"/>
    </row>
    <row r="6" spans="1:67" ht="16.5" customHeight="1" x14ac:dyDescent="0.25">
      <c r="A6" s="12"/>
      <c r="B6" s="219" t="s">
        <v>282</v>
      </c>
      <c r="C6" s="314"/>
      <c r="D6" s="315"/>
      <c r="E6" s="315"/>
      <c r="F6" s="315"/>
      <c r="G6" s="316"/>
      <c r="H6" s="12"/>
    </row>
    <row r="7" spans="1:67" ht="16.5" customHeight="1" x14ac:dyDescent="0.25">
      <c r="A7" s="12"/>
      <c r="B7" s="219" t="s">
        <v>283</v>
      </c>
      <c r="C7" s="314"/>
      <c r="D7" s="315"/>
      <c r="E7" s="315"/>
      <c r="F7" s="315"/>
      <c r="G7" s="316"/>
      <c r="H7" s="12"/>
    </row>
    <row r="8" spans="1:67" ht="16.5" customHeight="1" x14ac:dyDescent="0.25">
      <c r="A8" s="12"/>
      <c r="B8" s="220" t="s">
        <v>284</v>
      </c>
      <c r="C8" s="314"/>
      <c r="D8" s="315"/>
      <c r="E8" s="315"/>
      <c r="F8" s="315"/>
      <c r="G8" s="316"/>
      <c r="H8" s="12"/>
    </row>
    <row r="9" spans="1:67" ht="18.75" customHeight="1" x14ac:dyDescent="0.25">
      <c r="A9" s="12"/>
      <c r="B9" s="221"/>
      <c r="C9" s="222"/>
      <c r="D9" s="222"/>
      <c r="E9" s="222"/>
      <c r="F9" s="222"/>
      <c r="G9" s="223"/>
      <c r="H9" s="12"/>
    </row>
    <row r="10" spans="1:67" ht="16.5" customHeight="1" thickBot="1" x14ac:dyDescent="0.3">
      <c r="A10" s="12"/>
      <c r="B10" s="305" t="s">
        <v>285</v>
      </c>
      <c r="C10" s="306"/>
      <c r="D10" s="289">
        <f>F15</f>
        <v>0</v>
      </c>
      <c r="E10" s="222"/>
      <c r="F10" s="292" t="s">
        <v>325</v>
      </c>
      <c r="G10" s="223"/>
      <c r="H10" s="12"/>
    </row>
    <row r="11" spans="1:67" ht="16.5" customHeight="1" x14ac:dyDescent="0.25">
      <c r="A11" s="12"/>
      <c r="B11" s="305" t="s">
        <v>286</v>
      </c>
      <c r="C11" s="307"/>
      <c r="D11" s="290">
        <f>E15</f>
        <v>0</v>
      </c>
      <c r="E11" s="222"/>
      <c r="F11" s="222" t="s">
        <v>321</v>
      </c>
      <c r="G11" s="223"/>
      <c r="H11" s="12"/>
      <c r="K11" s="293" t="s">
        <v>321</v>
      </c>
      <c r="L11" s="294">
        <v>0.5</v>
      </c>
      <c r="M11" s="295" t="s">
        <v>320</v>
      </c>
      <c r="BO11"/>
    </row>
    <row r="12" spans="1:67" ht="16.5" customHeight="1" thickBot="1" x14ac:dyDescent="0.3">
      <c r="A12" s="12"/>
      <c r="B12" s="305" t="s">
        <v>287</v>
      </c>
      <c r="C12" s="307"/>
      <c r="D12" s="224">
        <f>G15</f>
        <v>0</v>
      </c>
      <c r="E12" s="222"/>
      <c r="F12" s="222"/>
      <c r="G12" s="223"/>
      <c r="H12" s="12"/>
      <c r="K12" s="296" t="s">
        <v>324</v>
      </c>
      <c r="L12" s="297">
        <v>1</v>
      </c>
      <c r="M12" s="298">
        <f>VLOOKUP(F11,K11:L12,2,TRUE)</f>
        <v>0.5</v>
      </c>
    </row>
    <row r="13" spans="1:67" ht="12.75" customHeight="1" x14ac:dyDescent="0.25">
      <c r="A13" s="12"/>
      <c r="B13" s="221"/>
      <c r="C13" s="222"/>
      <c r="D13" s="222"/>
      <c r="E13" s="222"/>
      <c r="F13" s="222"/>
      <c r="G13" s="223"/>
      <c r="H13" s="12"/>
    </row>
    <row r="14" spans="1:67" ht="42.75" customHeight="1" x14ac:dyDescent="0.25">
      <c r="A14" s="12"/>
      <c r="B14" s="225" t="s">
        <v>304</v>
      </c>
      <c r="C14" s="226" t="s">
        <v>288</v>
      </c>
      <c r="D14" s="226" t="s">
        <v>318</v>
      </c>
      <c r="E14" s="227" t="s">
        <v>289</v>
      </c>
      <c r="F14" s="227" t="s">
        <v>290</v>
      </c>
      <c r="G14" s="228" t="s">
        <v>291</v>
      </c>
      <c r="H14" s="12"/>
    </row>
    <row r="15" spans="1:67" ht="18" customHeight="1" x14ac:dyDescent="0.25">
      <c r="A15" s="265"/>
      <c r="B15" s="264" t="s">
        <v>314</v>
      </c>
      <c r="C15" s="229">
        <f>IFERROR(COUNT('3.3.2 VFD Improvements'!I10:I19), "")</f>
        <v>0</v>
      </c>
      <c r="D15" s="286">
        <f>IFERROR('3.3.2 VFD Improvements'!BG4,"")</f>
        <v>0</v>
      </c>
      <c r="E15" s="287">
        <f>IFERROR('3.3.2 VFD Improvements'!BH4, "")</f>
        <v>0</v>
      </c>
      <c r="F15" s="288">
        <f>IFERROR('3.3.2 VFD Improvements'!BI4, "")</f>
        <v>0</v>
      </c>
      <c r="G15" s="230">
        <f>IFERROR(SUM('3.3.2 VFD Improvements'!BK10:BK19), 0)</f>
        <v>0</v>
      </c>
      <c r="H15" s="12"/>
    </row>
    <row r="16" spans="1:67" ht="18" customHeight="1" x14ac:dyDescent="0.25">
      <c r="A16" s="12"/>
      <c r="B16" s="308"/>
      <c r="C16" s="309"/>
      <c r="D16" s="309"/>
      <c r="E16" s="309"/>
      <c r="F16" s="309"/>
      <c r="G16" s="310"/>
      <c r="H16" s="12"/>
    </row>
    <row r="17" spans="1:12" ht="27.75" customHeight="1" x14ac:dyDescent="0.25">
      <c r="A17" s="12"/>
      <c r="B17" s="231"/>
      <c r="C17" s="232"/>
      <c r="D17" s="232"/>
      <c r="E17" s="232"/>
      <c r="F17" s="232"/>
      <c r="G17" s="233"/>
      <c r="H17" s="12"/>
    </row>
    <row r="18" spans="1:12" ht="22.5" hidden="1" customHeight="1" x14ac:dyDescent="0.25">
      <c r="A18" s="12"/>
      <c r="B18" s="234"/>
      <c r="C18" s="235"/>
      <c r="D18" s="235"/>
      <c r="E18" s="235"/>
      <c r="F18" s="235"/>
      <c r="G18" s="236"/>
      <c r="H18" s="12"/>
    </row>
    <row r="19" spans="1:12" ht="15.75" thickBot="1" x14ac:dyDescent="0.3">
      <c r="A19" s="12"/>
      <c r="B19" s="311" t="s">
        <v>292</v>
      </c>
      <c r="C19" s="312"/>
      <c r="D19" s="312"/>
      <c r="E19" s="312"/>
      <c r="F19" s="312"/>
      <c r="G19" s="313"/>
      <c r="H19" s="12"/>
    </row>
    <row r="20" spans="1:12" ht="19.5" customHeight="1" x14ac:dyDescent="0.25">
      <c r="A20" s="12"/>
      <c r="B20" s="12"/>
      <c r="C20" s="12"/>
      <c r="D20" s="12"/>
      <c r="E20" s="12"/>
      <c r="F20" s="12"/>
      <c r="G20" s="12"/>
      <c r="H20" s="12"/>
    </row>
    <row r="21" spans="1:12" ht="22.5" customHeight="1" x14ac:dyDescent="0.25">
      <c r="A21" s="12"/>
      <c r="B21" s="12"/>
      <c r="C21" s="12"/>
      <c r="D21" s="12"/>
      <c r="E21" s="12"/>
      <c r="F21" s="12"/>
      <c r="G21" s="12"/>
      <c r="H21" s="12"/>
    </row>
    <row r="22" spans="1:12" s="12" customFormat="1" hidden="1" x14ac:dyDescent="0.25"/>
    <row r="23" spans="1:12" s="12" customFormat="1" hidden="1" x14ac:dyDescent="0.25"/>
    <row r="24" spans="1:12" s="12" customFormat="1" hidden="1" x14ac:dyDescent="0.25"/>
    <row r="25" spans="1:12" s="12" customFormat="1" hidden="1" x14ac:dyDescent="0.25"/>
    <row r="26" spans="1:12" s="12" customFormat="1" hidden="1" x14ac:dyDescent="0.25">
      <c r="B26"/>
      <c r="C26"/>
      <c r="D26"/>
      <c r="E26"/>
      <c r="F26"/>
      <c r="G26"/>
    </row>
    <row r="27" spans="1:12" hidden="1" x14ac:dyDescent="0.25">
      <c r="A27" s="237"/>
      <c r="J27" s="12">
        <v>1</v>
      </c>
      <c r="K27" s="238" t="s">
        <v>293</v>
      </c>
      <c r="L27" s="239"/>
    </row>
    <row r="28" spans="1:12" hidden="1" x14ac:dyDescent="0.25">
      <c r="A28" s="237"/>
      <c r="J28" s="12">
        <v>2</v>
      </c>
      <c r="L28" s="239"/>
    </row>
    <row r="29" spans="1:12" hidden="1" x14ac:dyDescent="0.25">
      <c r="A29" s="237"/>
      <c r="J29" s="12">
        <v>3</v>
      </c>
      <c r="L29" s="239"/>
    </row>
    <row r="30" spans="1:12" hidden="1" x14ac:dyDescent="0.25">
      <c r="A30" s="237"/>
      <c r="J30" s="12">
        <v>4</v>
      </c>
      <c r="L30" s="239"/>
    </row>
    <row r="31" spans="1:12" hidden="1" x14ac:dyDescent="0.25">
      <c r="A31" s="237"/>
      <c r="J31" s="12">
        <v>5</v>
      </c>
      <c r="L31" s="239"/>
    </row>
    <row r="32" spans="1:12" hidden="1" x14ac:dyDescent="0.25">
      <c r="A32" s="237"/>
      <c r="J32" s="12">
        <v>6</v>
      </c>
      <c r="L32" s="239"/>
    </row>
    <row r="33" spans="1:12" hidden="1" x14ac:dyDescent="0.25">
      <c r="A33" s="237"/>
      <c r="J33" s="12">
        <v>7</v>
      </c>
      <c r="L33" s="239"/>
    </row>
    <row r="34" spans="1:12" hidden="1" x14ac:dyDescent="0.25">
      <c r="A34" s="237"/>
      <c r="J34" s="12">
        <v>8</v>
      </c>
      <c r="L34" s="239"/>
    </row>
    <row r="35" spans="1:12" hidden="1" x14ac:dyDescent="0.25">
      <c r="A35" s="237"/>
      <c r="J35" s="12">
        <v>9</v>
      </c>
      <c r="L35" s="239"/>
    </row>
    <row r="36" spans="1:12" hidden="1" x14ac:dyDescent="0.25">
      <c r="A36" s="237"/>
      <c r="J36" s="12">
        <v>10</v>
      </c>
      <c r="L36" s="239"/>
    </row>
    <row r="37" spans="1:12" hidden="1" x14ac:dyDescent="0.25">
      <c r="A37" s="237"/>
      <c r="J37" s="12">
        <v>11</v>
      </c>
      <c r="K37" s="238" t="s">
        <v>294</v>
      </c>
      <c r="L37" s="239"/>
    </row>
    <row r="38" spans="1:12" hidden="1" x14ac:dyDescent="0.25">
      <c r="A38" s="237"/>
      <c r="J38" s="12">
        <v>12</v>
      </c>
      <c r="L38" s="239"/>
    </row>
    <row r="39" spans="1:12" hidden="1" x14ac:dyDescent="0.25">
      <c r="A39" s="237"/>
      <c r="J39" s="12">
        <v>13</v>
      </c>
      <c r="L39" s="239"/>
    </row>
    <row r="40" spans="1:12" hidden="1" x14ac:dyDescent="0.25">
      <c r="A40" s="237"/>
      <c r="J40" s="12">
        <v>14</v>
      </c>
      <c r="L40" s="239"/>
    </row>
    <row r="41" spans="1:12" hidden="1" x14ac:dyDescent="0.25">
      <c r="A41" s="237"/>
      <c r="J41" s="12">
        <v>15</v>
      </c>
      <c r="L41" s="239"/>
    </row>
    <row r="42" spans="1:12" hidden="1" x14ac:dyDescent="0.25">
      <c r="A42" s="237"/>
      <c r="J42" s="12">
        <v>16</v>
      </c>
      <c r="L42" s="239"/>
    </row>
    <row r="43" spans="1:12" hidden="1" x14ac:dyDescent="0.25">
      <c r="A43" s="237"/>
      <c r="J43" s="12">
        <v>17</v>
      </c>
      <c r="L43" s="239"/>
    </row>
    <row r="44" spans="1:12" hidden="1" x14ac:dyDescent="0.25">
      <c r="A44" s="237"/>
      <c r="J44" s="12">
        <v>18</v>
      </c>
      <c r="L44" s="239"/>
    </row>
    <row r="45" spans="1:12" hidden="1" x14ac:dyDescent="0.25">
      <c r="A45" s="237"/>
      <c r="J45" s="12">
        <v>19</v>
      </c>
      <c r="L45" s="239"/>
    </row>
    <row r="46" spans="1:12" hidden="1" x14ac:dyDescent="0.25">
      <c r="A46" s="237"/>
      <c r="J46" s="12">
        <v>20</v>
      </c>
      <c r="L46" s="239"/>
    </row>
    <row r="47" spans="1:12" hidden="1" x14ac:dyDescent="0.25">
      <c r="A47" s="237"/>
      <c r="J47" s="12">
        <v>21</v>
      </c>
      <c r="K47" s="238" t="s">
        <v>295</v>
      </c>
      <c r="L47" s="239"/>
    </row>
    <row r="48" spans="1:12" hidden="1" x14ac:dyDescent="0.25">
      <c r="A48" s="237"/>
      <c r="J48" s="12">
        <v>22</v>
      </c>
      <c r="L48" s="239"/>
    </row>
    <row r="49" spans="1:12" hidden="1" x14ac:dyDescent="0.25">
      <c r="A49" s="237"/>
      <c r="J49" s="12">
        <v>23</v>
      </c>
      <c r="L49" s="239"/>
    </row>
    <row r="50" spans="1:12" hidden="1" x14ac:dyDescent="0.25">
      <c r="A50" s="237"/>
      <c r="J50" s="12">
        <v>24</v>
      </c>
      <c r="L50" s="239"/>
    </row>
    <row r="51" spans="1:12" hidden="1" x14ac:dyDescent="0.25">
      <c r="A51" s="237"/>
      <c r="J51" s="12">
        <v>25</v>
      </c>
      <c r="L51" s="239"/>
    </row>
    <row r="52" spans="1:12" hidden="1" x14ac:dyDescent="0.25">
      <c r="A52" s="237"/>
      <c r="J52" s="12">
        <v>26</v>
      </c>
      <c r="L52" s="239"/>
    </row>
    <row r="53" spans="1:12" hidden="1" x14ac:dyDescent="0.25">
      <c r="A53" s="237"/>
      <c r="J53" s="12">
        <v>27</v>
      </c>
      <c r="L53" s="239"/>
    </row>
    <row r="54" spans="1:12" hidden="1" x14ac:dyDescent="0.25">
      <c r="A54" s="237"/>
      <c r="J54" s="12">
        <v>28</v>
      </c>
      <c r="L54" s="239"/>
    </row>
    <row r="55" spans="1:12" hidden="1" x14ac:dyDescent="0.25">
      <c r="A55" s="237"/>
      <c r="J55" s="12">
        <v>29</v>
      </c>
      <c r="L55" s="239"/>
    </row>
    <row r="56" spans="1:12" hidden="1" x14ac:dyDescent="0.25">
      <c r="A56" s="237"/>
      <c r="J56" s="12">
        <v>30</v>
      </c>
      <c r="L56" s="239"/>
    </row>
    <row r="57" spans="1:12" hidden="1" x14ac:dyDescent="0.25">
      <c r="A57" s="237"/>
      <c r="J57" s="12">
        <v>31</v>
      </c>
      <c r="K57" s="238" t="s">
        <v>296</v>
      </c>
      <c r="L57" s="239"/>
    </row>
    <row r="58" spans="1:12" hidden="1" x14ac:dyDescent="0.25">
      <c r="A58" s="237"/>
      <c r="J58" s="12">
        <v>32</v>
      </c>
      <c r="L58" s="239"/>
    </row>
    <row r="59" spans="1:12" hidden="1" x14ac:dyDescent="0.25">
      <c r="A59" s="237"/>
      <c r="J59" s="12">
        <v>33</v>
      </c>
      <c r="L59" s="239"/>
    </row>
    <row r="60" spans="1:12" hidden="1" x14ac:dyDescent="0.25">
      <c r="A60" s="237"/>
      <c r="J60" s="12">
        <v>34</v>
      </c>
      <c r="L60" s="239"/>
    </row>
    <row r="61" spans="1:12" hidden="1" x14ac:dyDescent="0.25">
      <c r="A61" s="237"/>
      <c r="J61" s="12">
        <v>35</v>
      </c>
      <c r="L61" s="239"/>
    </row>
    <row r="62" spans="1:12" hidden="1" x14ac:dyDescent="0.25">
      <c r="A62" s="237"/>
      <c r="J62" s="12">
        <v>36</v>
      </c>
      <c r="L62" s="239"/>
    </row>
    <row r="63" spans="1:12" hidden="1" x14ac:dyDescent="0.25">
      <c r="A63" s="237"/>
      <c r="J63" s="12">
        <v>37</v>
      </c>
      <c r="L63" s="239"/>
    </row>
    <row r="64" spans="1:12" hidden="1" x14ac:dyDescent="0.25">
      <c r="A64" s="237"/>
      <c r="J64" s="12">
        <v>38</v>
      </c>
      <c r="L64" s="239"/>
    </row>
    <row r="65" spans="1:12" hidden="1" x14ac:dyDescent="0.25">
      <c r="A65" s="237"/>
      <c r="J65" s="12">
        <v>39</v>
      </c>
      <c r="L65" s="239"/>
    </row>
    <row r="66" spans="1:12" hidden="1" x14ac:dyDescent="0.25">
      <c r="A66" s="237"/>
      <c r="J66" s="12">
        <v>40</v>
      </c>
      <c r="L66" s="239"/>
    </row>
    <row r="67" spans="1:12" hidden="1" x14ac:dyDescent="0.25">
      <c r="A67" s="237"/>
      <c r="J67" s="12">
        <v>41</v>
      </c>
      <c r="K67" s="238" t="s">
        <v>297</v>
      </c>
      <c r="L67" s="239"/>
    </row>
    <row r="68" spans="1:12" hidden="1" x14ac:dyDescent="0.25">
      <c r="A68" s="237"/>
      <c r="J68" s="12">
        <v>42</v>
      </c>
      <c r="L68" s="239"/>
    </row>
    <row r="69" spans="1:12" hidden="1" x14ac:dyDescent="0.25">
      <c r="A69" s="237"/>
      <c r="J69" s="12">
        <v>43</v>
      </c>
      <c r="L69" s="239"/>
    </row>
    <row r="70" spans="1:12" hidden="1" x14ac:dyDescent="0.25">
      <c r="A70" s="237"/>
      <c r="J70" s="12">
        <v>44</v>
      </c>
      <c r="L70" s="239"/>
    </row>
    <row r="71" spans="1:12" hidden="1" x14ac:dyDescent="0.25">
      <c r="A71" s="237"/>
      <c r="J71" s="12">
        <v>45</v>
      </c>
      <c r="L71" s="239"/>
    </row>
    <row r="72" spans="1:12" hidden="1" x14ac:dyDescent="0.25">
      <c r="A72" s="237"/>
      <c r="J72" s="12">
        <v>46</v>
      </c>
      <c r="L72" s="239"/>
    </row>
    <row r="73" spans="1:12" hidden="1" x14ac:dyDescent="0.25">
      <c r="A73" s="237"/>
      <c r="J73" s="12">
        <v>47</v>
      </c>
      <c r="L73" s="239"/>
    </row>
    <row r="74" spans="1:12" hidden="1" x14ac:dyDescent="0.25">
      <c r="A74" s="237"/>
      <c r="J74" s="12">
        <v>48</v>
      </c>
      <c r="L74" s="239"/>
    </row>
    <row r="75" spans="1:12" hidden="1" x14ac:dyDescent="0.25">
      <c r="A75" s="237"/>
      <c r="J75" s="12">
        <v>49</v>
      </c>
      <c r="L75" s="239"/>
    </row>
    <row r="76" spans="1:12" hidden="1" x14ac:dyDescent="0.25">
      <c r="A76" s="237"/>
      <c r="J76" s="12">
        <v>50</v>
      </c>
      <c r="L76" s="239"/>
    </row>
    <row r="77" spans="1:12" hidden="1" x14ac:dyDescent="0.25">
      <c r="A77" s="237"/>
      <c r="J77" s="12">
        <v>51</v>
      </c>
      <c r="K77" s="238" t="s">
        <v>298</v>
      </c>
      <c r="L77" s="239"/>
    </row>
    <row r="78" spans="1:12" hidden="1" x14ac:dyDescent="0.25">
      <c r="A78" s="237"/>
      <c r="J78" s="12">
        <v>52</v>
      </c>
      <c r="L78" s="239"/>
    </row>
    <row r="79" spans="1:12" hidden="1" x14ac:dyDescent="0.25">
      <c r="A79" s="237"/>
      <c r="J79" s="12">
        <v>53</v>
      </c>
      <c r="L79" s="239"/>
    </row>
    <row r="80" spans="1:12" hidden="1" x14ac:dyDescent="0.25">
      <c r="A80" s="237"/>
      <c r="J80" s="12">
        <v>54</v>
      </c>
      <c r="L80" s="239"/>
    </row>
    <row r="81" spans="1:12" hidden="1" x14ac:dyDescent="0.25">
      <c r="A81" s="237"/>
      <c r="J81" s="12">
        <v>55</v>
      </c>
      <c r="L81" s="239"/>
    </row>
    <row r="82" spans="1:12" hidden="1" x14ac:dyDescent="0.25">
      <c r="A82" s="237"/>
      <c r="J82" s="12">
        <v>56</v>
      </c>
      <c r="L82" s="239"/>
    </row>
    <row r="83" spans="1:12" hidden="1" x14ac:dyDescent="0.25">
      <c r="A83" s="237"/>
      <c r="J83" s="12">
        <v>57</v>
      </c>
      <c r="L83" s="239"/>
    </row>
    <row r="84" spans="1:12" hidden="1" x14ac:dyDescent="0.25">
      <c r="A84" s="237"/>
      <c r="J84" s="12">
        <v>58</v>
      </c>
      <c r="L84" s="239"/>
    </row>
    <row r="85" spans="1:12" hidden="1" x14ac:dyDescent="0.25">
      <c r="A85" s="237"/>
      <c r="J85" s="12">
        <v>59</v>
      </c>
      <c r="L85" s="239"/>
    </row>
    <row r="86" spans="1:12" hidden="1" x14ac:dyDescent="0.25">
      <c r="A86" s="237"/>
      <c r="J86" s="12">
        <v>60</v>
      </c>
      <c r="L86" s="239"/>
    </row>
    <row r="87" spans="1:12" hidden="1" x14ac:dyDescent="0.25">
      <c r="A87" s="237"/>
      <c r="J87" s="12">
        <v>61</v>
      </c>
      <c r="K87" s="238" t="s">
        <v>299</v>
      </c>
      <c r="L87" s="239"/>
    </row>
    <row r="88" spans="1:12" hidden="1" x14ac:dyDescent="0.25">
      <c r="A88" s="237"/>
      <c r="J88" s="12">
        <v>62</v>
      </c>
      <c r="L88" s="239"/>
    </row>
    <row r="89" spans="1:12" hidden="1" x14ac:dyDescent="0.25">
      <c r="A89" s="237"/>
      <c r="J89" s="12">
        <v>63</v>
      </c>
      <c r="L89" s="239"/>
    </row>
    <row r="90" spans="1:12" hidden="1" x14ac:dyDescent="0.25">
      <c r="A90" s="237"/>
      <c r="J90" s="12">
        <v>64</v>
      </c>
      <c r="L90" s="239"/>
    </row>
    <row r="91" spans="1:12" hidden="1" x14ac:dyDescent="0.25">
      <c r="A91" s="237"/>
      <c r="J91" s="12">
        <v>65</v>
      </c>
      <c r="L91" s="239"/>
    </row>
    <row r="92" spans="1:12" hidden="1" x14ac:dyDescent="0.25">
      <c r="A92" s="237"/>
      <c r="J92" s="12">
        <v>66</v>
      </c>
      <c r="L92" s="239"/>
    </row>
    <row r="93" spans="1:12" hidden="1" x14ac:dyDescent="0.25">
      <c r="A93" s="237"/>
      <c r="J93" s="12">
        <v>67</v>
      </c>
      <c r="L93" s="239"/>
    </row>
    <row r="94" spans="1:12" hidden="1" x14ac:dyDescent="0.25">
      <c r="A94" s="237"/>
      <c r="J94" s="12">
        <v>68</v>
      </c>
      <c r="L94" s="239"/>
    </row>
    <row r="95" spans="1:12" hidden="1" x14ac:dyDescent="0.25">
      <c r="A95" s="237"/>
      <c r="J95" s="12">
        <v>69</v>
      </c>
      <c r="L95" s="239"/>
    </row>
    <row r="96" spans="1:12" hidden="1" x14ac:dyDescent="0.25">
      <c r="A96" s="237"/>
      <c r="J96" s="12">
        <v>70</v>
      </c>
      <c r="L96" s="239"/>
    </row>
    <row r="97" spans="1:12" hidden="1" x14ac:dyDescent="0.25">
      <c r="A97" s="237"/>
      <c r="J97" s="12">
        <v>71</v>
      </c>
      <c r="K97" s="238" t="s">
        <v>300</v>
      </c>
      <c r="L97" s="239"/>
    </row>
    <row r="98" spans="1:12" hidden="1" x14ac:dyDescent="0.25">
      <c r="A98" s="237"/>
      <c r="J98" s="12">
        <v>72</v>
      </c>
      <c r="L98" s="239"/>
    </row>
    <row r="99" spans="1:12" hidden="1" x14ac:dyDescent="0.25">
      <c r="A99" s="237"/>
      <c r="J99" s="12">
        <v>73</v>
      </c>
    </row>
    <row r="100" spans="1:12" hidden="1" x14ac:dyDescent="0.25">
      <c r="A100" s="237"/>
      <c r="J100" s="12">
        <v>74</v>
      </c>
    </row>
    <row r="101" spans="1:12" hidden="1" x14ac:dyDescent="0.25">
      <c r="A101" s="237"/>
      <c r="J101" s="12">
        <v>75</v>
      </c>
    </row>
    <row r="102" spans="1:12" hidden="1" x14ac:dyDescent="0.25">
      <c r="A102" s="237"/>
      <c r="J102" s="12">
        <v>76</v>
      </c>
    </row>
    <row r="103" spans="1:12" hidden="1" x14ac:dyDescent="0.25">
      <c r="A103" s="237"/>
      <c r="J103" s="12">
        <v>77</v>
      </c>
    </row>
    <row r="104" spans="1:12" hidden="1" x14ac:dyDescent="0.25">
      <c r="A104" s="237"/>
      <c r="J104" s="12">
        <v>78</v>
      </c>
    </row>
    <row r="105" spans="1:12" hidden="1" x14ac:dyDescent="0.25">
      <c r="A105" s="237"/>
      <c r="J105" s="12">
        <v>79</v>
      </c>
    </row>
    <row r="106" spans="1:12" hidden="1" x14ac:dyDescent="0.25">
      <c r="A106" s="237"/>
      <c r="J106" s="12">
        <v>80</v>
      </c>
    </row>
    <row r="107" spans="1:12" hidden="1" x14ac:dyDescent="0.25">
      <c r="A107" s="237"/>
      <c r="J107" s="12">
        <v>81</v>
      </c>
    </row>
    <row r="108" spans="1:12" hidden="1" x14ac:dyDescent="0.25">
      <c r="A108" s="237"/>
      <c r="J108" s="12">
        <v>82</v>
      </c>
      <c r="K108" s="238" t="s">
        <v>301</v>
      </c>
    </row>
    <row r="109" spans="1:12" hidden="1" x14ac:dyDescent="0.25">
      <c r="A109" s="237"/>
      <c r="J109" s="12">
        <v>83</v>
      </c>
    </row>
    <row r="110" spans="1:12" hidden="1" x14ac:dyDescent="0.25">
      <c r="A110" s="237"/>
      <c r="J110" s="12">
        <v>84</v>
      </c>
    </row>
    <row r="111" spans="1:12" hidden="1" x14ac:dyDescent="0.25">
      <c r="A111" s="237"/>
      <c r="J111" s="12">
        <v>85</v>
      </c>
    </row>
    <row r="112" spans="1:12" hidden="1" x14ac:dyDescent="0.25">
      <c r="A112" s="237"/>
      <c r="J112" s="12">
        <v>86</v>
      </c>
    </row>
    <row r="113" spans="1:11" hidden="1" x14ac:dyDescent="0.25">
      <c r="A113" s="237"/>
      <c r="J113" s="12">
        <v>87</v>
      </c>
    </row>
    <row r="114" spans="1:11" hidden="1" x14ac:dyDescent="0.25">
      <c r="A114" s="237"/>
      <c r="J114" s="12">
        <v>88</v>
      </c>
    </row>
    <row r="115" spans="1:11" hidden="1" x14ac:dyDescent="0.25">
      <c r="A115" s="237"/>
      <c r="J115" s="12">
        <v>89</v>
      </c>
    </row>
    <row r="116" spans="1:11" hidden="1" x14ac:dyDescent="0.25">
      <c r="A116" s="237"/>
      <c r="J116" s="12">
        <v>90</v>
      </c>
    </row>
    <row r="117" spans="1:11" hidden="1" x14ac:dyDescent="0.25">
      <c r="A117" s="237"/>
      <c r="J117" s="12">
        <v>91</v>
      </c>
    </row>
    <row r="118" spans="1:11" hidden="1" x14ac:dyDescent="0.25">
      <c r="A118" s="237"/>
      <c r="J118" s="12">
        <v>92</v>
      </c>
    </row>
    <row r="119" spans="1:11" hidden="1" x14ac:dyDescent="0.25">
      <c r="A119" s="237"/>
      <c r="J119" s="12">
        <v>93</v>
      </c>
      <c r="K119" s="238" t="s">
        <v>302</v>
      </c>
    </row>
    <row r="120" spans="1:11" hidden="1" x14ac:dyDescent="0.25">
      <c r="A120" s="237"/>
      <c r="J120" s="12">
        <v>94</v>
      </c>
      <c r="K120" s="12">
        <v>1</v>
      </c>
    </row>
    <row r="121" spans="1:11" hidden="1" x14ac:dyDescent="0.25">
      <c r="A121" s="237"/>
      <c r="J121" s="12">
        <v>95</v>
      </c>
      <c r="K121" s="12">
        <v>2</v>
      </c>
    </row>
    <row r="122" spans="1:11" hidden="1" x14ac:dyDescent="0.25">
      <c r="A122" s="237"/>
      <c r="J122" s="12">
        <v>96</v>
      </c>
      <c r="K122" s="12">
        <v>3</v>
      </c>
    </row>
    <row r="123" spans="1:11" hidden="1" x14ac:dyDescent="0.25">
      <c r="A123" s="237"/>
      <c r="J123" s="12">
        <v>97</v>
      </c>
      <c r="K123" s="12">
        <v>4</v>
      </c>
    </row>
    <row r="124" spans="1:11" hidden="1" x14ac:dyDescent="0.25">
      <c r="A124" s="237"/>
      <c r="J124" s="12">
        <v>98</v>
      </c>
      <c r="K124" s="12">
        <v>5</v>
      </c>
    </row>
    <row r="125" spans="1:11" hidden="1" x14ac:dyDescent="0.25">
      <c r="A125" s="237"/>
      <c r="J125" s="12">
        <v>99</v>
      </c>
      <c r="K125" s="12">
        <v>6</v>
      </c>
    </row>
    <row r="126" spans="1:11" hidden="1" x14ac:dyDescent="0.25">
      <c r="A126" s="237"/>
      <c r="J126" s="12">
        <v>100</v>
      </c>
      <c r="K126" s="12">
        <v>7</v>
      </c>
    </row>
    <row r="127" spans="1:11" hidden="1" x14ac:dyDescent="0.25">
      <c r="A127" s="237"/>
      <c r="J127" s="12">
        <v>101</v>
      </c>
      <c r="K127" s="12">
        <v>8</v>
      </c>
    </row>
    <row r="128" spans="1:11" hidden="1" x14ac:dyDescent="0.25">
      <c r="A128" s="237"/>
      <c r="J128" s="12">
        <v>102</v>
      </c>
      <c r="K128" s="12">
        <v>9</v>
      </c>
    </row>
    <row r="129" spans="1:11" hidden="1" x14ac:dyDescent="0.25">
      <c r="A129" s="237"/>
      <c r="J129" s="12">
        <v>103</v>
      </c>
      <c r="K129" s="12">
        <v>10</v>
      </c>
    </row>
    <row r="130" spans="1:11" hidden="1" x14ac:dyDescent="0.25">
      <c r="A130" s="237"/>
      <c r="J130" s="12">
        <v>104</v>
      </c>
      <c r="K130" s="12">
        <v>11</v>
      </c>
    </row>
    <row r="131" spans="1:11" hidden="1" x14ac:dyDescent="0.25">
      <c r="A131" s="237"/>
      <c r="J131" s="12">
        <v>105</v>
      </c>
      <c r="K131" s="12">
        <v>12</v>
      </c>
    </row>
    <row r="132" spans="1:11" hidden="1" x14ac:dyDescent="0.25">
      <c r="A132" s="237"/>
      <c r="J132" s="12">
        <v>106</v>
      </c>
      <c r="K132" s="12">
        <v>13</v>
      </c>
    </row>
    <row r="133" spans="1:11" hidden="1" x14ac:dyDescent="0.25">
      <c r="A133" s="237"/>
      <c r="J133" s="12">
        <v>107</v>
      </c>
      <c r="K133" s="12">
        <v>14</v>
      </c>
    </row>
    <row r="134" spans="1:11" hidden="1" x14ac:dyDescent="0.25">
      <c r="A134" s="237"/>
      <c r="J134" s="12">
        <v>108</v>
      </c>
      <c r="K134" s="12">
        <v>15</v>
      </c>
    </row>
    <row r="135" spans="1:11" hidden="1" x14ac:dyDescent="0.25">
      <c r="A135" s="237"/>
      <c r="J135" s="12">
        <v>109</v>
      </c>
      <c r="K135" s="12">
        <v>16</v>
      </c>
    </row>
    <row r="136" spans="1:11" hidden="1" x14ac:dyDescent="0.25">
      <c r="A136" s="237"/>
      <c r="J136" s="12">
        <v>110</v>
      </c>
      <c r="K136" s="12">
        <v>17</v>
      </c>
    </row>
    <row r="137" spans="1:11" hidden="1" x14ac:dyDescent="0.25">
      <c r="A137" s="237"/>
      <c r="J137" s="12">
        <v>111</v>
      </c>
      <c r="K137" s="12">
        <v>18</v>
      </c>
    </row>
    <row r="138" spans="1:11" hidden="1" x14ac:dyDescent="0.25">
      <c r="A138" s="237"/>
      <c r="J138" s="12">
        <v>112</v>
      </c>
      <c r="K138" s="12">
        <v>19</v>
      </c>
    </row>
    <row r="139" spans="1:11" hidden="1" x14ac:dyDescent="0.25">
      <c r="A139" s="237"/>
      <c r="J139" s="12">
        <v>113</v>
      </c>
      <c r="K139" s="12">
        <v>20</v>
      </c>
    </row>
    <row r="140" spans="1:11" hidden="1" x14ac:dyDescent="0.25">
      <c r="A140" s="237"/>
      <c r="J140" s="12">
        <v>114</v>
      </c>
      <c r="K140" s="12">
        <v>21</v>
      </c>
    </row>
    <row r="141" spans="1:11" hidden="1" x14ac:dyDescent="0.25">
      <c r="A141" s="237"/>
      <c r="J141" s="12">
        <v>115</v>
      </c>
      <c r="K141" s="12">
        <v>22</v>
      </c>
    </row>
    <row r="142" spans="1:11" hidden="1" x14ac:dyDescent="0.25">
      <c r="A142" s="237"/>
      <c r="J142" s="12">
        <v>116</v>
      </c>
      <c r="K142" s="12">
        <v>23</v>
      </c>
    </row>
    <row r="143" spans="1:11" hidden="1" x14ac:dyDescent="0.25">
      <c r="A143" s="237"/>
      <c r="J143" s="12">
        <v>117</v>
      </c>
      <c r="K143" s="12">
        <v>24</v>
      </c>
    </row>
    <row r="144" spans="1:11" hidden="1" x14ac:dyDescent="0.25">
      <c r="A144" s="237"/>
      <c r="J144" s="12">
        <v>118</v>
      </c>
      <c r="K144" s="12">
        <v>25</v>
      </c>
    </row>
    <row r="145" spans="1:11" hidden="1" x14ac:dyDescent="0.25">
      <c r="A145" s="237"/>
      <c r="J145" s="12">
        <v>119</v>
      </c>
      <c r="K145" s="12">
        <v>26</v>
      </c>
    </row>
    <row r="146" spans="1:11" hidden="1" x14ac:dyDescent="0.25">
      <c r="A146" s="237"/>
      <c r="J146" s="12">
        <v>120</v>
      </c>
      <c r="K146" s="12">
        <v>27</v>
      </c>
    </row>
    <row r="147" spans="1:11" hidden="1" x14ac:dyDescent="0.25">
      <c r="A147" s="237"/>
      <c r="J147" s="12">
        <v>121</v>
      </c>
      <c r="K147" s="12">
        <v>28</v>
      </c>
    </row>
    <row r="148" spans="1:11" hidden="1" x14ac:dyDescent="0.25">
      <c r="A148" s="237"/>
      <c r="J148" s="12">
        <v>122</v>
      </c>
      <c r="K148" s="12">
        <v>29</v>
      </c>
    </row>
    <row r="149" spans="1:11" hidden="1" x14ac:dyDescent="0.25">
      <c r="A149" s="237"/>
      <c r="J149" s="12">
        <v>123</v>
      </c>
      <c r="K149" s="12">
        <v>30</v>
      </c>
    </row>
    <row r="150" spans="1:11" hidden="1" x14ac:dyDescent="0.25">
      <c r="A150" s="237"/>
      <c r="J150" s="12">
        <v>124</v>
      </c>
      <c r="K150" s="12">
        <v>31</v>
      </c>
    </row>
    <row r="151" spans="1:11" hidden="1" x14ac:dyDescent="0.25">
      <c r="A151" s="237"/>
      <c r="J151" s="12">
        <v>125</v>
      </c>
      <c r="K151" s="12">
        <v>32</v>
      </c>
    </row>
    <row r="152" spans="1:11" hidden="1" x14ac:dyDescent="0.25">
      <c r="A152" s="237"/>
      <c r="K152" s="12">
        <v>33</v>
      </c>
    </row>
    <row r="153" spans="1:11" hidden="1" x14ac:dyDescent="0.25">
      <c r="A153" s="237"/>
      <c r="K153" s="12">
        <v>34</v>
      </c>
    </row>
    <row r="154" spans="1:11" hidden="1" x14ac:dyDescent="0.25">
      <c r="A154" s="237"/>
      <c r="K154" s="12">
        <v>35</v>
      </c>
    </row>
    <row r="155" spans="1:11" hidden="1" x14ac:dyDescent="0.25">
      <c r="A155" s="237"/>
      <c r="K155" s="12">
        <v>36</v>
      </c>
    </row>
    <row r="156" spans="1:11" hidden="1" x14ac:dyDescent="0.25">
      <c r="A156" s="237"/>
      <c r="K156" s="12">
        <v>37</v>
      </c>
    </row>
    <row r="157" spans="1:11" hidden="1" x14ac:dyDescent="0.25">
      <c r="A157" s="237"/>
      <c r="K157" s="12">
        <v>38</v>
      </c>
    </row>
    <row r="158" spans="1:11" hidden="1" x14ac:dyDescent="0.25">
      <c r="A158" s="237"/>
      <c r="K158" s="12">
        <v>39</v>
      </c>
    </row>
    <row r="159" spans="1:11" hidden="1" x14ac:dyDescent="0.25">
      <c r="A159" s="237"/>
      <c r="K159" s="12">
        <v>40</v>
      </c>
    </row>
    <row r="160" spans="1:11" hidden="1" x14ac:dyDescent="0.25">
      <c r="A160" s="237"/>
      <c r="K160" s="12">
        <v>41</v>
      </c>
    </row>
    <row r="161" spans="1:11" hidden="1" x14ac:dyDescent="0.25">
      <c r="A161" s="237"/>
      <c r="K161" s="12">
        <v>42</v>
      </c>
    </row>
    <row r="162" spans="1:11" hidden="1" x14ac:dyDescent="0.25">
      <c r="A162" s="237"/>
      <c r="K162" s="12">
        <v>43</v>
      </c>
    </row>
    <row r="163" spans="1:11" hidden="1" x14ac:dyDescent="0.25">
      <c r="A163" s="237"/>
      <c r="K163" s="12">
        <v>44</v>
      </c>
    </row>
    <row r="164" spans="1:11" hidden="1" x14ac:dyDescent="0.25">
      <c r="A164" s="237"/>
      <c r="K164" s="12">
        <v>45</v>
      </c>
    </row>
    <row r="165" spans="1:11" hidden="1" x14ac:dyDescent="0.25">
      <c r="A165" s="237"/>
      <c r="K165" s="12">
        <v>46</v>
      </c>
    </row>
    <row r="166" spans="1:11" hidden="1" x14ac:dyDescent="0.25">
      <c r="A166" s="237"/>
      <c r="K166" s="12">
        <v>47</v>
      </c>
    </row>
    <row r="167" spans="1:11" hidden="1" x14ac:dyDescent="0.25">
      <c r="A167" s="237"/>
      <c r="K167" s="12">
        <v>48</v>
      </c>
    </row>
    <row r="168" spans="1:11" hidden="1" x14ac:dyDescent="0.25">
      <c r="A168" s="237"/>
      <c r="K168" s="12">
        <v>49</v>
      </c>
    </row>
    <row r="169" spans="1:11" hidden="1" x14ac:dyDescent="0.25">
      <c r="A169" s="237"/>
      <c r="K169" s="12">
        <v>50</v>
      </c>
    </row>
    <row r="170" spans="1:11" hidden="1" x14ac:dyDescent="0.25">
      <c r="A170" s="237"/>
      <c r="K170" s="12">
        <v>51</v>
      </c>
    </row>
    <row r="171" spans="1:11" hidden="1" x14ac:dyDescent="0.25">
      <c r="A171" s="237"/>
      <c r="K171" s="12">
        <v>52</v>
      </c>
    </row>
    <row r="172" spans="1:11" hidden="1" x14ac:dyDescent="0.25">
      <c r="A172" s="237"/>
      <c r="K172" s="12">
        <v>53</v>
      </c>
    </row>
    <row r="173" spans="1:11" hidden="1" x14ac:dyDescent="0.25">
      <c r="A173" s="237"/>
      <c r="K173" s="12">
        <v>54</v>
      </c>
    </row>
    <row r="174" spans="1:11" hidden="1" x14ac:dyDescent="0.25">
      <c r="A174" s="237"/>
      <c r="K174" s="12">
        <v>55</v>
      </c>
    </row>
    <row r="175" spans="1:11" hidden="1" x14ac:dyDescent="0.25">
      <c r="A175" s="237"/>
      <c r="K175" s="12">
        <v>56</v>
      </c>
    </row>
    <row r="176" spans="1:11" hidden="1" x14ac:dyDescent="0.25">
      <c r="A176" s="237"/>
      <c r="K176" s="12">
        <v>57</v>
      </c>
    </row>
    <row r="177" spans="1:11" hidden="1" x14ac:dyDescent="0.25">
      <c r="A177" s="237"/>
      <c r="K177" s="12">
        <v>58</v>
      </c>
    </row>
    <row r="178" spans="1:11" hidden="1" x14ac:dyDescent="0.25">
      <c r="A178" s="237"/>
      <c r="K178" s="12">
        <v>59</v>
      </c>
    </row>
    <row r="179" spans="1:11" hidden="1" x14ac:dyDescent="0.25">
      <c r="A179" s="237"/>
      <c r="K179" s="12">
        <v>60</v>
      </c>
    </row>
    <row r="180" spans="1:11" hidden="1" x14ac:dyDescent="0.25">
      <c r="A180" s="237"/>
      <c r="K180" s="12">
        <v>61</v>
      </c>
    </row>
    <row r="181" spans="1:11" hidden="1" x14ac:dyDescent="0.25">
      <c r="A181" s="237"/>
      <c r="K181" s="12">
        <v>62</v>
      </c>
    </row>
    <row r="182" spans="1:11" hidden="1" x14ac:dyDescent="0.25">
      <c r="A182" s="237"/>
      <c r="K182" s="12">
        <v>63</v>
      </c>
    </row>
    <row r="183" spans="1:11" hidden="1" x14ac:dyDescent="0.25">
      <c r="A183" s="237"/>
      <c r="K183" s="12">
        <v>64</v>
      </c>
    </row>
    <row r="184" spans="1:11" hidden="1" x14ac:dyDescent="0.25">
      <c r="A184" s="237"/>
      <c r="K184" s="12">
        <v>65</v>
      </c>
    </row>
    <row r="185" spans="1:11" hidden="1" x14ac:dyDescent="0.25">
      <c r="A185" s="237"/>
      <c r="K185" s="12">
        <v>66</v>
      </c>
    </row>
    <row r="186" spans="1:11" hidden="1" x14ac:dyDescent="0.25">
      <c r="A186" s="237"/>
      <c r="K186" s="12">
        <v>67</v>
      </c>
    </row>
    <row r="187" spans="1:11" hidden="1" x14ac:dyDescent="0.25">
      <c r="A187" s="237"/>
      <c r="K187" s="12">
        <v>68</v>
      </c>
    </row>
    <row r="188" spans="1:11" hidden="1" x14ac:dyDescent="0.25">
      <c r="A188" s="237"/>
      <c r="K188" s="12">
        <v>69</v>
      </c>
    </row>
    <row r="189" spans="1:11" hidden="1" x14ac:dyDescent="0.25">
      <c r="A189" s="237"/>
      <c r="K189" s="12">
        <v>70</v>
      </c>
    </row>
    <row r="190" spans="1:11" hidden="1" x14ac:dyDescent="0.25">
      <c r="A190" s="237"/>
      <c r="K190" s="12">
        <v>71</v>
      </c>
    </row>
    <row r="191" spans="1:11" hidden="1" x14ac:dyDescent="0.25">
      <c r="A191" s="237"/>
      <c r="K191" s="12">
        <v>72</v>
      </c>
    </row>
    <row r="192" spans="1:11" hidden="1" x14ac:dyDescent="0.25">
      <c r="A192" s="237"/>
      <c r="K192" s="12">
        <v>73</v>
      </c>
    </row>
    <row r="193" spans="1:11" hidden="1" x14ac:dyDescent="0.25">
      <c r="A193" s="237"/>
      <c r="K193" s="12">
        <v>74</v>
      </c>
    </row>
    <row r="194" spans="1:11" hidden="1" x14ac:dyDescent="0.25">
      <c r="A194" s="237"/>
      <c r="K194" s="12">
        <v>75</v>
      </c>
    </row>
    <row r="195" spans="1:11" hidden="1" x14ac:dyDescent="0.25">
      <c r="A195" s="237"/>
      <c r="K195" s="12">
        <v>76</v>
      </c>
    </row>
    <row r="196" spans="1:11" hidden="1" x14ac:dyDescent="0.25">
      <c r="A196" s="237"/>
      <c r="K196" s="12">
        <v>77</v>
      </c>
    </row>
    <row r="197" spans="1:11" hidden="1" x14ac:dyDescent="0.25">
      <c r="A197" s="237"/>
      <c r="K197" s="12">
        <v>78</v>
      </c>
    </row>
    <row r="198" spans="1:11" hidden="1" x14ac:dyDescent="0.25">
      <c r="A198" s="237"/>
      <c r="K198" s="12">
        <v>79</v>
      </c>
    </row>
    <row r="199" spans="1:11" hidden="1" x14ac:dyDescent="0.25">
      <c r="A199" s="237"/>
      <c r="K199" s="12">
        <v>80</v>
      </c>
    </row>
    <row r="200" spans="1:11" hidden="1" x14ac:dyDescent="0.25">
      <c r="A200" s="237"/>
      <c r="K200" s="12">
        <v>81</v>
      </c>
    </row>
    <row r="201" spans="1:11" hidden="1" x14ac:dyDescent="0.25">
      <c r="A201" s="237"/>
      <c r="K201" s="12">
        <v>82</v>
      </c>
    </row>
    <row r="202" spans="1:11" hidden="1" x14ac:dyDescent="0.25">
      <c r="A202" s="237"/>
      <c r="K202" s="12">
        <v>83</v>
      </c>
    </row>
    <row r="203" spans="1:11" hidden="1" x14ac:dyDescent="0.25">
      <c r="A203" s="237"/>
      <c r="K203" s="12">
        <v>84</v>
      </c>
    </row>
    <row r="204" spans="1:11" hidden="1" x14ac:dyDescent="0.25">
      <c r="A204" s="237"/>
      <c r="K204" s="12">
        <v>85</v>
      </c>
    </row>
    <row r="205" spans="1:11" hidden="1" x14ac:dyDescent="0.25">
      <c r="A205" s="237"/>
      <c r="K205" s="12">
        <v>86</v>
      </c>
    </row>
    <row r="206" spans="1:11" hidden="1" x14ac:dyDescent="0.25">
      <c r="A206" s="237"/>
      <c r="K206" s="12">
        <v>87</v>
      </c>
    </row>
    <row r="207" spans="1:11" hidden="1" x14ac:dyDescent="0.25">
      <c r="A207" s="237"/>
      <c r="K207" s="12">
        <v>88</v>
      </c>
    </row>
    <row r="208" spans="1:11" hidden="1" x14ac:dyDescent="0.25">
      <c r="A208" s="237"/>
      <c r="K208" s="12">
        <v>89</v>
      </c>
    </row>
    <row r="209" spans="1:11" hidden="1" x14ac:dyDescent="0.25">
      <c r="A209" s="237"/>
      <c r="K209" s="12">
        <v>90</v>
      </c>
    </row>
    <row r="210" spans="1:11" hidden="1" x14ac:dyDescent="0.25">
      <c r="A210" s="237"/>
      <c r="K210" s="12">
        <v>91</v>
      </c>
    </row>
    <row r="211" spans="1:11" hidden="1" x14ac:dyDescent="0.25">
      <c r="A211" s="237"/>
      <c r="K211" s="12">
        <v>92</v>
      </c>
    </row>
    <row r="212" spans="1:11" hidden="1" x14ac:dyDescent="0.25">
      <c r="A212" s="237"/>
      <c r="K212" s="12">
        <v>93</v>
      </c>
    </row>
    <row r="213" spans="1:11" hidden="1" x14ac:dyDescent="0.25">
      <c r="A213" s="237"/>
      <c r="K213" s="12">
        <v>94</v>
      </c>
    </row>
    <row r="214" spans="1:11" hidden="1" x14ac:dyDescent="0.25">
      <c r="A214" s="237"/>
      <c r="K214" s="12">
        <v>95</v>
      </c>
    </row>
    <row r="215" spans="1:11" hidden="1" x14ac:dyDescent="0.25">
      <c r="A215" s="237"/>
      <c r="K215" s="12">
        <v>96</v>
      </c>
    </row>
    <row r="216" spans="1:11" hidden="1" x14ac:dyDescent="0.25">
      <c r="A216" s="237"/>
      <c r="K216" s="12">
        <v>97</v>
      </c>
    </row>
    <row r="217" spans="1:11" hidden="1" x14ac:dyDescent="0.25">
      <c r="A217" s="237"/>
      <c r="K217" s="12">
        <v>98</v>
      </c>
    </row>
    <row r="218" spans="1:11" hidden="1" x14ac:dyDescent="0.25">
      <c r="A218" s="237"/>
      <c r="K218" s="12">
        <v>99</v>
      </c>
    </row>
    <row r="219" spans="1:11" hidden="1" x14ac:dyDescent="0.25">
      <c r="A219" s="237"/>
      <c r="K219" s="12">
        <v>100</v>
      </c>
    </row>
    <row r="220" spans="1:11" hidden="1" x14ac:dyDescent="0.25">
      <c r="A220" s="237"/>
    </row>
    <row r="221" spans="1:11" hidden="1" x14ac:dyDescent="0.25">
      <c r="A221" s="237"/>
    </row>
    <row r="222" spans="1:11" hidden="1" x14ac:dyDescent="0.25">
      <c r="A222" s="237"/>
    </row>
    <row r="223" spans="1:11" hidden="1" x14ac:dyDescent="0.25">
      <c r="A223" s="237"/>
    </row>
    <row r="224" spans="1:11" hidden="1" x14ac:dyDescent="0.25">
      <c r="A224" s="237"/>
    </row>
    <row r="225" spans="1:7" hidden="1" x14ac:dyDescent="0.25">
      <c r="A225" s="237"/>
    </row>
    <row r="226" spans="1:7" hidden="1" x14ac:dyDescent="0.25">
      <c r="A226" s="237"/>
    </row>
    <row r="227" spans="1:7" hidden="1" x14ac:dyDescent="0.25">
      <c r="A227" s="237"/>
    </row>
    <row r="228" spans="1:7" hidden="1" x14ac:dyDescent="0.25">
      <c r="A228" s="237"/>
    </row>
    <row r="229" spans="1:7" hidden="1" x14ac:dyDescent="0.25">
      <c r="A229" s="237"/>
    </row>
    <row r="230" spans="1:7" hidden="1" x14ac:dyDescent="0.25">
      <c r="A230" s="237"/>
    </row>
    <row r="231" spans="1:7" hidden="1" x14ac:dyDescent="0.25">
      <c r="A231" s="237"/>
    </row>
    <row r="232" spans="1:7" hidden="1" x14ac:dyDescent="0.25">
      <c r="A232" s="237"/>
    </row>
    <row r="233" spans="1:7" hidden="1" x14ac:dyDescent="0.25">
      <c r="A233" s="237"/>
    </row>
    <row r="234" spans="1:7" hidden="1" x14ac:dyDescent="0.25">
      <c r="A234" s="237"/>
    </row>
    <row r="235" spans="1:7" hidden="1" x14ac:dyDescent="0.25">
      <c r="A235" s="237"/>
    </row>
    <row r="236" spans="1:7" hidden="1" x14ac:dyDescent="0.25">
      <c r="A236" s="237"/>
    </row>
    <row r="237" spans="1:7" hidden="1" x14ac:dyDescent="0.25">
      <c r="A237" s="237"/>
    </row>
    <row r="238" spans="1:7" hidden="1" x14ac:dyDescent="0.25">
      <c r="A238" s="237"/>
    </row>
    <row r="239" spans="1:7" hidden="1" x14ac:dyDescent="0.25">
      <c r="A239" s="237"/>
    </row>
    <row r="240" spans="1:7" hidden="1" x14ac:dyDescent="0.25">
      <c r="A240" s="237"/>
      <c r="B240" s="12"/>
      <c r="C240" s="12"/>
      <c r="D240" s="12"/>
      <c r="E240" s="12"/>
      <c r="F240" s="12"/>
      <c r="G240" s="12"/>
    </row>
    <row r="241" spans="1:1" s="12" customFormat="1" hidden="1" x14ac:dyDescent="0.25">
      <c r="A241" s="237"/>
    </row>
    <row r="242" spans="1:1" s="12" customFormat="1" hidden="1" x14ac:dyDescent="0.25">
      <c r="A242" s="237"/>
    </row>
    <row r="243" spans="1:1" s="12" customFormat="1" hidden="1" x14ac:dyDescent="0.25">
      <c r="A243" s="237"/>
    </row>
    <row r="244" spans="1:1" s="12" customFormat="1" hidden="1" x14ac:dyDescent="0.25">
      <c r="A244" s="237"/>
    </row>
    <row r="245" spans="1:1" s="12" customFormat="1" hidden="1" x14ac:dyDescent="0.25">
      <c r="A245" s="237"/>
    </row>
    <row r="246" spans="1:1" s="12" customFormat="1" hidden="1" x14ac:dyDescent="0.25">
      <c r="A246" s="237"/>
    </row>
    <row r="247" spans="1:1" s="12" customFormat="1" hidden="1" x14ac:dyDescent="0.25">
      <c r="A247" s="237"/>
    </row>
    <row r="248" spans="1:1" s="12" customFormat="1" hidden="1" x14ac:dyDescent="0.25">
      <c r="A248" s="237"/>
    </row>
    <row r="249" spans="1:1" s="12" customFormat="1" hidden="1" x14ac:dyDescent="0.25">
      <c r="A249" s="237"/>
    </row>
    <row r="250" spans="1:1" s="12" customFormat="1" hidden="1" x14ac:dyDescent="0.25">
      <c r="A250" s="237"/>
    </row>
    <row r="251" spans="1:1" s="12" customFormat="1" hidden="1" x14ac:dyDescent="0.25">
      <c r="A251" s="237"/>
    </row>
    <row r="252" spans="1:1" s="12" customFormat="1" hidden="1" x14ac:dyDescent="0.25">
      <c r="A252" s="237"/>
    </row>
    <row r="253" spans="1:1" s="12" customFormat="1" hidden="1" x14ac:dyDescent="0.25">
      <c r="A253" s="237"/>
    </row>
    <row r="254" spans="1:1" s="12" customFormat="1" hidden="1" x14ac:dyDescent="0.25">
      <c r="A254" s="237"/>
    </row>
    <row r="255" spans="1:1" s="12" customFormat="1" hidden="1" x14ac:dyDescent="0.25">
      <c r="A255" s="237"/>
    </row>
    <row r="256" spans="1:1" s="12" customFormat="1" hidden="1" x14ac:dyDescent="0.25">
      <c r="A256" s="237"/>
    </row>
    <row r="257" spans="1:1" s="12" customFormat="1" hidden="1" x14ac:dyDescent="0.25">
      <c r="A257" s="237"/>
    </row>
    <row r="258" spans="1:1" s="12" customFormat="1" hidden="1" x14ac:dyDescent="0.25">
      <c r="A258" s="237"/>
    </row>
    <row r="259" spans="1:1" s="12" customFormat="1" hidden="1" x14ac:dyDescent="0.25">
      <c r="A259" s="237"/>
    </row>
    <row r="260" spans="1:1" s="12" customFormat="1" hidden="1" x14ac:dyDescent="0.25">
      <c r="A260" s="237"/>
    </row>
    <row r="261" spans="1:1" s="12" customFormat="1" hidden="1" x14ac:dyDescent="0.25">
      <c r="A261" s="237"/>
    </row>
    <row r="262" spans="1:1" s="12" customFormat="1" x14ac:dyDescent="0.25"/>
    <row r="263" spans="1:1" s="12" customFormat="1" x14ac:dyDescent="0.25"/>
    <row r="264" spans="1:1" s="12" customFormat="1" x14ac:dyDescent="0.25"/>
    <row r="265" spans="1:1" s="12" customFormat="1" x14ac:dyDescent="0.25"/>
    <row r="266" spans="1:1" s="12" customFormat="1" x14ac:dyDescent="0.25"/>
    <row r="267" spans="1:1" s="12" customFormat="1" x14ac:dyDescent="0.25"/>
    <row r="268" spans="1:1" s="12" customFormat="1" x14ac:dyDescent="0.25"/>
    <row r="269" spans="1:1" s="12" customFormat="1" x14ac:dyDescent="0.25"/>
    <row r="270" spans="1:1" s="12" customFormat="1" x14ac:dyDescent="0.25"/>
    <row r="271" spans="1:1" s="12" customFormat="1" x14ac:dyDescent="0.25"/>
    <row r="272" spans="1:1" s="12" customFormat="1" x14ac:dyDescent="0.25"/>
    <row r="273" s="12" customFormat="1" x14ac:dyDescent="0.25"/>
    <row r="274" s="12" customFormat="1" x14ac:dyDescent="0.25"/>
    <row r="275" s="12" customFormat="1" x14ac:dyDescent="0.25"/>
    <row r="276" s="12" customFormat="1" x14ac:dyDescent="0.25"/>
    <row r="277" s="12" customFormat="1" x14ac:dyDescent="0.25"/>
    <row r="278" s="12" customFormat="1" x14ac:dyDescent="0.25"/>
    <row r="279" s="12" customFormat="1" x14ac:dyDescent="0.25"/>
    <row r="280" s="12" customFormat="1" x14ac:dyDescent="0.25"/>
    <row r="281" s="12" customFormat="1" x14ac:dyDescent="0.25"/>
    <row r="282" s="12" customFormat="1" x14ac:dyDescent="0.25"/>
    <row r="283" s="12" customFormat="1" x14ac:dyDescent="0.25"/>
    <row r="284" s="12" customFormat="1" x14ac:dyDescent="0.25"/>
    <row r="285" s="12" customFormat="1" x14ac:dyDescent="0.25"/>
    <row r="286" s="12" customFormat="1" x14ac:dyDescent="0.25"/>
    <row r="287" s="12" customFormat="1" x14ac:dyDescent="0.25"/>
    <row r="288" s="12" customFormat="1" x14ac:dyDescent="0.25"/>
    <row r="289" s="12" customFormat="1" x14ac:dyDescent="0.25"/>
    <row r="290" s="12" customFormat="1" x14ac:dyDescent="0.25"/>
    <row r="291" s="12" customFormat="1" x14ac:dyDescent="0.25"/>
    <row r="292" s="12" customFormat="1" x14ac:dyDescent="0.25"/>
    <row r="293" s="12" customFormat="1" x14ac:dyDescent="0.25"/>
    <row r="294" s="12" customFormat="1" x14ac:dyDescent="0.25"/>
    <row r="295" s="12" customFormat="1" x14ac:dyDescent="0.25"/>
    <row r="296" s="12" customFormat="1" x14ac:dyDescent="0.25"/>
    <row r="297" s="12" customFormat="1" x14ac:dyDescent="0.25"/>
    <row r="298" s="12" customFormat="1" x14ac:dyDescent="0.25"/>
    <row r="299" s="12" customFormat="1" x14ac:dyDescent="0.25"/>
    <row r="300" s="12" customFormat="1" x14ac:dyDescent="0.25"/>
    <row r="301" s="12" customFormat="1" x14ac:dyDescent="0.25"/>
    <row r="302" s="12" customFormat="1" x14ac:dyDescent="0.25"/>
    <row r="303" s="12" customFormat="1" x14ac:dyDescent="0.25"/>
    <row r="304" s="12" customFormat="1" x14ac:dyDescent="0.25"/>
    <row r="305" s="12" customFormat="1" x14ac:dyDescent="0.25"/>
    <row r="306" s="12" customFormat="1" x14ac:dyDescent="0.25"/>
    <row r="307" s="12" customFormat="1" x14ac:dyDescent="0.25"/>
    <row r="308" s="12" customFormat="1" x14ac:dyDescent="0.25"/>
    <row r="309" s="12" customFormat="1" x14ac:dyDescent="0.25"/>
    <row r="310" s="12" customFormat="1" x14ac:dyDescent="0.25"/>
    <row r="311" s="12" customFormat="1" x14ac:dyDescent="0.25"/>
    <row r="312" s="12" customFormat="1" x14ac:dyDescent="0.25"/>
    <row r="313" s="12" customFormat="1" x14ac:dyDescent="0.25"/>
    <row r="314" s="12" customFormat="1" x14ac:dyDescent="0.25"/>
    <row r="315" s="12" customFormat="1" x14ac:dyDescent="0.25"/>
    <row r="316" s="12" customFormat="1" x14ac:dyDescent="0.25"/>
    <row r="317" s="12" customFormat="1" x14ac:dyDescent="0.25"/>
    <row r="318" s="12" customFormat="1" x14ac:dyDescent="0.25"/>
    <row r="319" s="12" customFormat="1" x14ac:dyDescent="0.25"/>
    <row r="320" s="12" customFormat="1" x14ac:dyDescent="0.25"/>
    <row r="321" s="12" customFormat="1" x14ac:dyDescent="0.25"/>
    <row r="322" s="12" customFormat="1" x14ac:dyDescent="0.25"/>
    <row r="323" s="12" customFormat="1" x14ac:dyDescent="0.25"/>
    <row r="324" s="12" customFormat="1" x14ac:dyDescent="0.25"/>
    <row r="325" s="12" customFormat="1" x14ac:dyDescent="0.25"/>
    <row r="326" s="12" customFormat="1" x14ac:dyDescent="0.25"/>
    <row r="327" s="12" customFormat="1" x14ac:dyDescent="0.25"/>
    <row r="328" s="12" customFormat="1" x14ac:dyDescent="0.25"/>
    <row r="329" s="12" customFormat="1" x14ac:dyDescent="0.25"/>
    <row r="330" s="12" customFormat="1" x14ac:dyDescent="0.25"/>
    <row r="331" s="12" customFormat="1" x14ac:dyDescent="0.25"/>
    <row r="332" s="12" customFormat="1" x14ac:dyDescent="0.25"/>
    <row r="333" s="12" customFormat="1" x14ac:dyDescent="0.25"/>
    <row r="334" s="12" customFormat="1" x14ac:dyDescent="0.25"/>
    <row r="335" s="12" customFormat="1" x14ac:dyDescent="0.25"/>
    <row r="336" s="12" customFormat="1" x14ac:dyDescent="0.25"/>
    <row r="337" s="12" customFormat="1" x14ac:dyDescent="0.25"/>
    <row r="338" s="12" customFormat="1" x14ac:dyDescent="0.25"/>
    <row r="339" s="12" customFormat="1" x14ac:dyDescent="0.25"/>
    <row r="340" s="12" customFormat="1" x14ac:dyDescent="0.25"/>
    <row r="341" s="12" customFormat="1" x14ac:dyDescent="0.25"/>
    <row r="342" s="12" customFormat="1" x14ac:dyDescent="0.25"/>
    <row r="343" s="12" customFormat="1" x14ac:dyDescent="0.25"/>
    <row r="344" s="12" customFormat="1" x14ac:dyDescent="0.25"/>
    <row r="345" s="12" customFormat="1" x14ac:dyDescent="0.25"/>
    <row r="346" s="12" customFormat="1" x14ac:dyDescent="0.25"/>
    <row r="347" s="12" customFormat="1" x14ac:dyDescent="0.25"/>
    <row r="348" s="12" customFormat="1" x14ac:dyDescent="0.25"/>
    <row r="349" s="12" customFormat="1" x14ac:dyDescent="0.25"/>
    <row r="350" s="12" customFormat="1" x14ac:dyDescent="0.25"/>
    <row r="351" s="12" customFormat="1" x14ac:dyDescent="0.25"/>
    <row r="352" s="12" customFormat="1" x14ac:dyDescent="0.25"/>
    <row r="353" s="12" customFormat="1" x14ac:dyDescent="0.25"/>
    <row r="354" s="12" customFormat="1" x14ac:dyDescent="0.25"/>
    <row r="355" s="12" customFormat="1" x14ac:dyDescent="0.25"/>
    <row r="356" s="12" customFormat="1" x14ac:dyDescent="0.25"/>
    <row r="357" s="12" customFormat="1" x14ac:dyDescent="0.25"/>
    <row r="358" s="12" customFormat="1" x14ac:dyDescent="0.25"/>
    <row r="359" s="12" customFormat="1" x14ac:dyDescent="0.25"/>
    <row r="360" s="12" customFormat="1" x14ac:dyDescent="0.25"/>
    <row r="361" s="12" customFormat="1" x14ac:dyDescent="0.25"/>
    <row r="362" s="12" customFormat="1" x14ac:dyDescent="0.25"/>
    <row r="363" s="12" customFormat="1" x14ac:dyDescent="0.25"/>
    <row r="364" s="12" customFormat="1" x14ac:dyDescent="0.25"/>
    <row r="365" s="12" customFormat="1" x14ac:dyDescent="0.25"/>
    <row r="366" s="12" customFormat="1" x14ac:dyDescent="0.25"/>
    <row r="367" s="12" customFormat="1" x14ac:dyDescent="0.25"/>
    <row r="368" s="12" customFormat="1" x14ac:dyDescent="0.25"/>
    <row r="369" s="12" customFormat="1" x14ac:dyDescent="0.25"/>
    <row r="370" s="12" customFormat="1" x14ac:dyDescent="0.25"/>
    <row r="371" s="12" customFormat="1" x14ac:dyDescent="0.25"/>
    <row r="372" s="12" customFormat="1" x14ac:dyDescent="0.25"/>
    <row r="373" s="12" customFormat="1" x14ac:dyDescent="0.25"/>
    <row r="374" s="12" customFormat="1" x14ac:dyDescent="0.25"/>
    <row r="375" s="12" customFormat="1" x14ac:dyDescent="0.25"/>
    <row r="376" s="12" customFormat="1" x14ac:dyDescent="0.25"/>
    <row r="377" s="12" customFormat="1" x14ac:dyDescent="0.25"/>
    <row r="378" s="12" customFormat="1" x14ac:dyDescent="0.25"/>
    <row r="379" s="12" customFormat="1" x14ac:dyDescent="0.25"/>
    <row r="380" s="12" customFormat="1" x14ac:dyDescent="0.25"/>
    <row r="381" s="12" customFormat="1" x14ac:dyDescent="0.25"/>
    <row r="382" s="12" customFormat="1" x14ac:dyDescent="0.25"/>
    <row r="383" s="12" customFormat="1" x14ac:dyDescent="0.25"/>
    <row r="384" s="12" customFormat="1" x14ac:dyDescent="0.25"/>
    <row r="385" s="12" customFormat="1" x14ac:dyDescent="0.25"/>
    <row r="386" s="12" customFormat="1" x14ac:dyDescent="0.25"/>
    <row r="387" s="12" customFormat="1" x14ac:dyDescent="0.25"/>
    <row r="388" s="12" customFormat="1" x14ac:dyDescent="0.25"/>
    <row r="389" s="12" customFormat="1" x14ac:dyDescent="0.25"/>
    <row r="390" s="12" customFormat="1" x14ac:dyDescent="0.25"/>
    <row r="391" s="12" customFormat="1" x14ac:dyDescent="0.25"/>
    <row r="392" s="12" customFormat="1" x14ac:dyDescent="0.25"/>
    <row r="393" s="12" customFormat="1" x14ac:dyDescent="0.25"/>
    <row r="394" s="12" customFormat="1" x14ac:dyDescent="0.25"/>
    <row r="395" s="12" customFormat="1" x14ac:dyDescent="0.25"/>
    <row r="396" s="12" customFormat="1" x14ac:dyDescent="0.25"/>
    <row r="397" s="12" customFormat="1" x14ac:dyDescent="0.25"/>
    <row r="398" s="12" customFormat="1" x14ac:dyDescent="0.25"/>
    <row r="399" s="12" customFormat="1" x14ac:dyDescent="0.25"/>
    <row r="400" s="12" customFormat="1" x14ac:dyDescent="0.25"/>
    <row r="401" s="12" customFormat="1" x14ac:dyDescent="0.25"/>
    <row r="402" s="12" customFormat="1" x14ac:dyDescent="0.25"/>
    <row r="403" s="12" customFormat="1" x14ac:dyDescent="0.25"/>
    <row r="404" s="12" customFormat="1" x14ac:dyDescent="0.25"/>
    <row r="405" s="12" customFormat="1" x14ac:dyDescent="0.25"/>
    <row r="406" s="12" customFormat="1" x14ac:dyDescent="0.25"/>
    <row r="407" s="12" customFormat="1" x14ac:dyDescent="0.25"/>
    <row r="408" s="12" customFormat="1" x14ac:dyDescent="0.25"/>
    <row r="409" s="12" customFormat="1" x14ac:dyDescent="0.25"/>
    <row r="410" s="12" customFormat="1" x14ac:dyDescent="0.25"/>
    <row r="411" s="12" customFormat="1" x14ac:dyDescent="0.25"/>
    <row r="412" s="12" customFormat="1" x14ac:dyDescent="0.25"/>
    <row r="413" s="12" customFormat="1" x14ac:dyDescent="0.25"/>
    <row r="414" s="12" customFormat="1" x14ac:dyDescent="0.25"/>
    <row r="415" s="12" customFormat="1" x14ac:dyDescent="0.25"/>
    <row r="416" s="12" customFormat="1" x14ac:dyDescent="0.25"/>
    <row r="417" s="12" customFormat="1" x14ac:dyDescent="0.25"/>
    <row r="418" s="12" customFormat="1" x14ac:dyDescent="0.25"/>
    <row r="419" s="12" customFormat="1" x14ac:dyDescent="0.25"/>
    <row r="420" s="12" customFormat="1" x14ac:dyDescent="0.25"/>
    <row r="421" s="12" customFormat="1" x14ac:dyDescent="0.25"/>
    <row r="422" s="12" customFormat="1" x14ac:dyDescent="0.25"/>
    <row r="423" s="12" customFormat="1" x14ac:dyDescent="0.25"/>
    <row r="424" s="12" customFormat="1" x14ac:dyDescent="0.25"/>
    <row r="425" s="12" customFormat="1" x14ac:dyDescent="0.25"/>
    <row r="426" s="12" customFormat="1" x14ac:dyDescent="0.25"/>
    <row r="427" s="12" customFormat="1" x14ac:dyDescent="0.25"/>
    <row r="428" s="12" customFormat="1" x14ac:dyDescent="0.25"/>
    <row r="429" s="12" customFormat="1" x14ac:dyDescent="0.25"/>
    <row r="430" s="12" customFormat="1" x14ac:dyDescent="0.25"/>
    <row r="431" s="12" customFormat="1" x14ac:dyDescent="0.25"/>
    <row r="432" s="12" customFormat="1" x14ac:dyDescent="0.25"/>
    <row r="433" s="12" customFormat="1" x14ac:dyDescent="0.25"/>
    <row r="434" s="12" customFormat="1" x14ac:dyDescent="0.25"/>
    <row r="435" s="12" customFormat="1" x14ac:dyDescent="0.25"/>
    <row r="436" s="12" customFormat="1" x14ac:dyDescent="0.25"/>
    <row r="437" s="12" customFormat="1" x14ac:dyDescent="0.25"/>
    <row r="438" s="12" customFormat="1" x14ac:dyDescent="0.25"/>
    <row r="439" s="12" customFormat="1" x14ac:dyDescent="0.25"/>
    <row r="440" s="12" customFormat="1" x14ac:dyDescent="0.25"/>
    <row r="441" s="12" customFormat="1" x14ac:dyDescent="0.25"/>
    <row r="442" s="12" customFormat="1" x14ac:dyDescent="0.25"/>
    <row r="443" s="12" customFormat="1" x14ac:dyDescent="0.25"/>
    <row r="444" s="12" customFormat="1" x14ac:dyDescent="0.25"/>
    <row r="445" s="12" customFormat="1" x14ac:dyDescent="0.25"/>
    <row r="446" s="12" customFormat="1" x14ac:dyDescent="0.25"/>
    <row r="447" s="12" customFormat="1" x14ac:dyDescent="0.25"/>
    <row r="448" s="12" customFormat="1" x14ac:dyDescent="0.25"/>
    <row r="449" s="12" customFormat="1" x14ac:dyDescent="0.25"/>
    <row r="450" s="12" customFormat="1" x14ac:dyDescent="0.25"/>
    <row r="451" s="12" customFormat="1" x14ac:dyDescent="0.25"/>
    <row r="452" s="12" customFormat="1" x14ac:dyDescent="0.25"/>
    <row r="453" s="12" customFormat="1" x14ac:dyDescent="0.25"/>
    <row r="454" s="12" customFormat="1" x14ac:dyDescent="0.25"/>
    <row r="455" s="12" customFormat="1" x14ac:dyDescent="0.25"/>
    <row r="456" s="12" customFormat="1" x14ac:dyDescent="0.25"/>
    <row r="457" s="12" customFormat="1" x14ac:dyDescent="0.25"/>
    <row r="458" s="12" customFormat="1" x14ac:dyDescent="0.25"/>
    <row r="459" s="12" customFormat="1" x14ac:dyDescent="0.25"/>
    <row r="460" s="12" customFormat="1" x14ac:dyDescent="0.25"/>
    <row r="461" s="12" customFormat="1" x14ac:dyDescent="0.25"/>
    <row r="462" s="12" customFormat="1" x14ac:dyDescent="0.25"/>
    <row r="463" s="12" customFormat="1" x14ac:dyDescent="0.25"/>
    <row r="464" s="12" customFormat="1" x14ac:dyDescent="0.25"/>
    <row r="465" s="12" customFormat="1" x14ac:dyDescent="0.25"/>
    <row r="466" s="12" customFormat="1" x14ac:dyDescent="0.25"/>
    <row r="467" s="12" customFormat="1" x14ac:dyDescent="0.25"/>
    <row r="468" s="12" customFormat="1" x14ac:dyDescent="0.25"/>
    <row r="469" s="12" customFormat="1" x14ac:dyDescent="0.25"/>
    <row r="470" s="12" customFormat="1" x14ac:dyDescent="0.25"/>
    <row r="471" s="12" customFormat="1" x14ac:dyDescent="0.25"/>
    <row r="472" s="12" customFormat="1" x14ac:dyDescent="0.25"/>
    <row r="473" s="12" customFormat="1" x14ac:dyDescent="0.25"/>
    <row r="474" s="12" customFormat="1" x14ac:dyDescent="0.25"/>
    <row r="475" s="12" customFormat="1" x14ac:dyDescent="0.25"/>
    <row r="476" s="12" customFormat="1" x14ac:dyDescent="0.25"/>
    <row r="477" s="12" customFormat="1" x14ac:dyDescent="0.25"/>
    <row r="478" s="12" customFormat="1" x14ac:dyDescent="0.25"/>
    <row r="479" s="12" customFormat="1" x14ac:dyDescent="0.25"/>
    <row r="480" s="12" customFormat="1" x14ac:dyDescent="0.25"/>
    <row r="481" s="12" customFormat="1" x14ac:dyDescent="0.25"/>
    <row r="482" s="12" customFormat="1" x14ac:dyDescent="0.25"/>
    <row r="483" s="12" customFormat="1" x14ac:dyDescent="0.25"/>
    <row r="484" s="12" customFormat="1" x14ac:dyDescent="0.25"/>
    <row r="485" s="12" customFormat="1" x14ac:dyDescent="0.25"/>
    <row r="486" s="12" customFormat="1" x14ac:dyDescent="0.25"/>
    <row r="487" s="12" customFormat="1" x14ac:dyDescent="0.25"/>
    <row r="488" s="12" customFormat="1" x14ac:dyDescent="0.25"/>
    <row r="489" s="12" customFormat="1" x14ac:dyDescent="0.25"/>
    <row r="490" s="12" customFormat="1" x14ac:dyDescent="0.25"/>
    <row r="491" s="12" customFormat="1" x14ac:dyDescent="0.25"/>
    <row r="492" s="12" customFormat="1" x14ac:dyDescent="0.25"/>
    <row r="493" s="12" customFormat="1" x14ac:dyDescent="0.25"/>
    <row r="494" s="12" customFormat="1" x14ac:dyDescent="0.25"/>
    <row r="495" s="12" customFormat="1" x14ac:dyDescent="0.25"/>
    <row r="496" s="12" customFormat="1" x14ac:dyDescent="0.25"/>
    <row r="497" s="12" customFormat="1" x14ac:dyDescent="0.25"/>
    <row r="498" s="12" customFormat="1" x14ac:dyDescent="0.25"/>
    <row r="499" s="12" customFormat="1" x14ac:dyDescent="0.25"/>
    <row r="500" s="12" customFormat="1" x14ac:dyDescent="0.25"/>
    <row r="501" s="12" customFormat="1" x14ac:dyDescent="0.25"/>
    <row r="502" s="12" customFormat="1" x14ac:dyDescent="0.25"/>
    <row r="503" s="12" customFormat="1" x14ac:dyDescent="0.25"/>
    <row r="504" s="12" customFormat="1" x14ac:dyDescent="0.25"/>
    <row r="505" s="12" customFormat="1" x14ac:dyDescent="0.25"/>
    <row r="506" s="12" customFormat="1" x14ac:dyDescent="0.25"/>
    <row r="507" s="12" customFormat="1" x14ac:dyDescent="0.25"/>
    <row r="508" s="12" customFormat="1" x14ac:dyDescent="0.25"/>
    <row r="509" s="12" customFormat="1" x14ac:dyDescent="0.25"/>
    <row r="510" s="12" customFormat="1" x14ac:dyDescent="0.25"/>
    <row r="511" s="12" customFormat="1" x14ac:dyDescent="0.25"/>
    <row r="512" s="12" customFormat="1" x14ac:dyDescent="0.25"/>
    <row r="513" s="12" customFormat="1" x14ac:dyDescent="0.25"/>
    <row r="514" s="12" customFormat="1" x14ac:dyDescent="0.25"/>
    <row r="515" s="12" customFormat="1" x14ac:dyDescent="0.25"/>
    <row r="516" s="12" customFormat="1" x14ac:dyDescent="0.25"/>
    <row r="517" s="12" customFormat="1" x14ac:dyDescent="0.25"/>
    <row r="518" s="12" customFormat="1" x14ac:dyDescent="0.25"/>
    <row r="519" s="12" customFormat="1" x14ac:dyDescent="0.25"/>
    <row r="520" s="12" customFormat="1" x14ac:dyDescent="0.25"/>
    <row r="521" s="12" customFormat="1" x14ac:dyDescent="0.25"/>
    <row r="522" s="12" customFormat="1" x14ac:dyDescent="0.25"/>
    <row r="523" s="12" customFormat="1" x14ac:dyDescent="0.25"/>
    <row r="524" s="12" customFormat="1" x14ac:dyDescent="0.25"/>
    <row r="525" s="12" customFormat="1" x14ac:dyDescent="0.25"/>
    <row r="526" s="12" customFormat="1" x14ac:dyDescent="0.25"/>
    <row r="527" s="12" customFormat="1" x14ac:dyDescent="0.25"/>
    <row r="528" s="12" customFormat="1" x14ac:dyDescent="0.25"/>
    <row r="529" s="12" customFormat="1" x14ac:dyDescent="0.25"/>
    <row r="530" s="12" customFormat="1" x14ac:dyDescent="0.25"/>
    <row r="531" s="12" customFormat="1" x14ac:dyDescent="0.25"/>
    <row r="532" s="12" customFormat="1" x14ac:dyDescent="0.25"/>
    <row r="533" s="12" customFormat="1" x14ac:dyDescent="0.25"/>
    <row r="534" s="12" customFormat="1" x14ac:dyDescent="0.25"/>
    <row r="535" s="12" customFormat="1" x14ac:dyDescent="0.25"/>
    <row r="536" s="12" customFormat="1" x14ac:dyDescent="0.25"/>
    <row r="537" s="12" customFormat="1" x14ac:dyDescent="0.25"/>
    <row r="538" s="12" customFormat="1" x14ac:dyDescent="0.25"/>
    <row r="539" s="12" customFormat="1" x14ac:dyDescent="0.25"/>
    <row r="540" s="12" customFormat="1" x14ac:dyDescent="0.25"/>
    <row r="541" s="12" customFormat="1" x14ac:dyDescent="0.25"/>
    <row r="542" s="12" customFormat="1" x14ac:dyDescent="0.25"/>
    <row r="543" s="12" customFormat="1" x14ac:dyDescent="0.25"/>
    <row r="544" s="12" customFormat="1" x14ac:dyDescent="0.25"/>
    <row r="545" s="12" customFormat="1" x14ac:dyDescent="0.25"/>
    <row r="546" s="12" customFormat="1" x14ac:dyDescent="0.25"/>
    <row r="547" s="12" customFormat="1" x14ac:dyDescent="0.25"/>
    <row r="548" s="12" customFormat="1" x14ac:dyDescent="0.25"/>
    <row r="549" s="12" customFormat="1" x14ac:dyDescent="0.25"/>
    <row r="550" s="12" customFormat="1" x14ac:dyDescent="0.25"/>
    <row r="551" s="12" customFormat="1" x14ac:dyDescent="0.25"/>
    <row r="552" s="12" customFormat="1" x14ac:dyDescent="0.25"/>
    <row r="553" s="12" customFormat="1" x14ac:dyDescent="0.25"/>
    <row r="554" s="12" customFormat="1" x14ac:dyDescent="0.25"/>
    <row r="555" s="12" customFormat="1" x14ac:dyDescent="0.25"/>
    <row r="556" s="12" customFormat="1" x14ac:dyDescent="0.25"/>
    <row r="557" s="12" customFormat="1" x14ac:dyDescent="0.25"/>
    <row r="558" s="12" customFormat="1" x14ac:dyDescent="0.25"/>
    <row r="559" s="12" customFormat="1" x14ac:dyDescent="0.25"/>
    <row r="560" s="12" customFormat="1" x14ac:dyDescent="0.25"/>
    <row r="561" s="12" customFormat="1" x14ac:dyDescent="0.25"/>
    <row r="562" s="12" customFormat="1" x14ac:dyDescent="0.25"/>
    <row r="563" s="12" customFormat="1" x14ac:dyDescent="0.25"/>
    <row r="564" s="12" customFormat="1" x14ac:dyDescent="0.25"/>
    <row r="565" s="12" customFormat="1" x14ac:dyDescent="0.25"/>
    <row r="566" s="12" customFormat="1" x14ac:dyDescent="0.25"/>
    <row r="567" s="12" customFormat="1" x14ac:dyDescent="0.25"/>
    <row r="568" s="12" customFormat="1" x14ac:dyDescent="0.25"/>
    <row r="569" s="12" customFormat="1" x14ac:dyDescent="0.25"/>
    <row r="570" s="12" customFormat="1" x14ac:dyDescent="0.25"/>
    <row r="571" s="12" customFormat="1" x14ac:dyDescent="0.25"/>
    <row r="572" s="12" customFormat="1" x14ac:dyDescent="0.25"/>
    <row r="573" s="12" customFormat="1" x14ac:dyDescent="0.25"/>
    <row r="574" s="12" customFormat="1" x14ac:dyDescent="0.25"/>
    <row r="575" s="12" customFormat="1" x14ac:dyDescent="0.25"/>
    <row r="576" s="12" customFormat="1" x14ac:dyDescent="0.25"/>
    <row r="577" s="12" customFormat="1" x14ac:dyDescent="0.25"/>
    <row r="578" s="12" customFormat="1" x14ac:dyDescent="0.25"/>
    <row r="579" s="12" customFormat="1" x14ac:dyDescent="0.25"/>
    <row r="580" s="12" customFormat="1" x14ac:dyDescent="0.25"/>
    <row r="581" s="12" customFormat="1" x14ac:dyDescent="0.25"/>
    <row r="582" s="12" customFormat="1" x14ac:dyDescent="0.25"/>
    <row r="583" s="12" customFormat="1" x14ac:dyDescent="0.25"/>
    <row r="584" s="12" customFormat="1" x14ac:dyDescent="0.25"/>
    <row r="585" s="12" customFormat="1" x14ac:dyDescent="0.25"/>
    <row r="586" s="12" customFormat="1" x14ac:dyDescent="0.25"/>
    <row r="587" s="12" customFormat="1" x14ac:dyDescent="0.25"/>
    <row r="588" s="12" customFormat="1" x14ac:dyDescent="0.25"/>
    <row r="589" s="12" customFormat="1" x14ac:dyDescent="0.25"/>
    <row r="590" s="12" customFormat="1" x14ac:dyDescent="0.25"/>
    <row r="591" s="12" customFormat="1" x14ac:dyDescent="0.25"/>
    <row r="592" s="12" customFormat="1" x14ac:dyDescent="0.25"/>
    <row r="593" s="12" customFormat="1" x14ac:dyDescent="0.25"/>
    <row r="594" s="12" customFormat="1" x14ac:dyDescent="0.25"/>
    <row r="595" s="12" customFormat="1" x14ac:dyDescent="0.25"/>
    <row r="596" s="12" customFormat="1" x14ac:dyDescent="0.25"/>
    <row r="597" s="12" customFormat="1" x14ac:dyDescent="0.25"/>
    <row r="598" s="12" customFormat="1" x14ac:dyDescent="0.25"/>
    <row r="599" s="12" customFormat="1" x14ac:dyDescent="0.25"/>
    <row r="600" s="12" customFormat="1" x14ac:dyDescent="0.25"/>
    <row r="601" s="12" customFormat="1" x14ac:dyDescent="0.25"/>
    <row r="602" s="12" customFormat="1" x14ac:dyDescent="0.25"/>
    <row r="603" s="12" customFormat="1" x14ac:dyDescent="0.25"/>
    <row r="604" s="12" customFormat="1" x14ac:dyDescent="0.25"/>
    <row r="605" s="12" customFormat="1" x14ac:dyDescent="0.25"/>
    <row r="606" s="12" customFormat="1" x14ac:dyDescent="0.25"/>
    <row r="607" s="12" customFormat="1" x14ac:dyDescent="0.25"/>
    <row r="608" s="12" customFormat="1" x14ac:dyDescent="0.25"/>
    <row r="609" s="12" customFormat="1" x14ac:dyDescent="0.25"/>
    <row r="610" s="12" customFormat="1" x14ac:dyDescent="0.25"/>
    <row r="611" s="12" customFormat="1" x14ac:dyDescent="0.25"/>
    <row r="612" s="12" customFormat="1" x14ac:dyDescent="0.25"/>
    <row r="613" s="12" customFormat="1" x14ac:dyDescent="0.25"/>
    <row r="614" s="12" customFormat="1" x14ac:dyDescent="0.25"/>
    <row r="615" s="12" customFormat="1" x14ac:dyDescent="0.25"/>
    <row r="616" s="12" customFormat="1" x14ac:dyDescent="0.25"/>
    <row r="617" s="12" customFormat="1" x14ac:dyDescent="0.25"/>
    <row r="618" s="12" customFormat="1" x14ac:dyDescent="0.25"/>
    <row r="619" s="12" customFormat="1" x14ac:dyDescent="0.25"/>
    <row r="620" s="12" customFormat="1" x14ac:dyDescent="0.25"/>
    <row r="621" s="12" customFormat="1" x14ac:dyDescent="0.25"/>
    <row r="622" s="12" customFormat="1" x14ac:dyDescent="0.25"/>
    <row r="623" s="12" customFormat="1" x14ac:dyDescent="0.25"/>
    <row r="624" s="12" customFormat="1" x14ac:dyDescent="0.25"/>
    <row r="625" s="12" customFormat="1" x14ac:dyDescent="0.25"/>
    <row r="626" s="12" customFormat="1" x14ac:dyDescent="0.25"/>
    <row r="627" s="12" customFormat="1" x14ac:dyDescent="0.25"/>
    <row r="628" s="12" customFormat="1" x14ac:dyDescent="0.25"/>
    <row r="629" s="12" customFormat="1" x14ac:dyDescent="0.25"/>
    <row r="630" s="12" customFormat="1" x14ac:dyDescent="0.25"/>
    <row r="631" s="12" customFormat="1" x14ac:dyDescent="0.25"/>
    <row r="632" s="12" customFormat="1" x14ac:dyDescent="0.25"/>
    <row r="633" s="12" customFormat="1" x14ac:dyDescent="0.25"/>
    <row r="634" s="12" customFormat="1" x14ac:dyDescent="0.25"/>
    <row r="635" s="12" customFormat="1" x14ac:dyDescent="0.25"/>
    <row r="636" s="12" customFormat="1" x14ac:dyDescent="0.25"/>
    <row r="637" s="12" customFormat="1" x14ac:dyDescent="0.25"/>
    <row r="638" s="12" customFormat="1" x14ac:dyDescent="0.25"/>
    <row r="639" s="12" customFormat="1" x14ac:dyDescent="0.25"/>
    <row r="640" s="12" customFormat="1" x14ac:dyDescent="0.25"/>
    <row r="641" s="12" customFormat="1" x14ac:dyDescent="0.25"/>
    <row r="642" s="12" customFormat="1" x14ac:dyDescent="0.25"/>
    <row r="643" s="12" customFormat="1" x14ac:dyDescent="0.25"/>
    <row r="644" s="12" customFormat="1" x14ac:dyDescent="0.25"/>
    <row r="645" s="12" customFormat="1" x14ac:dyDescent="0.25"/>
    <row r="646" s="12" customFormat="1" x14ac:dyDescent="0.25"/>
    <row r="647" s="12" customFormat="1" x14ac:dyDescent="0.25"/>
    <row r="648" s="12" customFormat="1" x14ac:dyDescent="0.25"/>
    <row r="649" s="12" customFormat="1" x14ac:dyDescent="0.25"/>
    <row r="650" s="12" customFormat="1" x14ac:dyDescent="0.25"/>
    <row r="651" s="12" customFormat="1" x14ac:dyDescent="0.25"/>
    <row r="652" s="12" customFormat="1" x14ac:dyDescent="0.25"/>
    <row r="653" s="12" customFormat="1" x14ac:dyDescent="0.25"/>
    <row r="654" s="12" customFormat="1" x14ac:dyDescent="0.25"/>
    <row r="655" s="12" customFormat="1" x14ac:dyDescent="0.25"/>
    <row r="656" s="12" customFormat="1" x14ac:dyDescent="0.25"/>
    <row r="657" s="12" customFormat="1" x14ac:dyDescent="0.25"/>
    <row r="658" s="12" customFormat="1" x14ac:dyDescent="0.25"/>
    <row r="659" s="12" customFormat="1" x14ac:dyDescent="0.25"/>
    <row r="660" s="12" customFormat="1" x14ac:dyDescent="0.25"/>
    <row r="661" s="12" customFormat="1" x14ac:dyDescent="0.25"/>
    <row r="662" s="12" customFormat="1" x14ac:dyDescent="0.25"/>
    <row r="663" s="12" customFormat="1" x14ac:dyDescent="0.25"/>
    <row r="664" s="12" customFormat="1" x14ac:dyDescent="0.25"/>
    <row r="665" s="12" customFormat="1" x14ac:dyDescent="0.25"/>
    <row r="666" s="12" customFormat="1" x14ac:dyDescent="0.25"/>
    <row r="667" s="12" customFormat="1" x14ac:dyDescent="0.25"/>
    <row r="668" s="12" customFormat="1" x14ac:dyDescent="0.25"/>
    <row r="669" s="12" customFormat="1" x14ac:dyDescent="0.25"/>
    <row r="670" s="12" customFormat="1" x14ac:dyDescent="0.25"/>
    <row r="671" s="12" customFormat="1" x14ac:dyDescent="0.25"/>
    <row r="672" s="12" customFormat="1" x14ac:dyDescent="0.25"/>
    <row r="673" s="12" customFormat="1" x14ac:dyDescent="0.25"/>
    <row r="674" s="12" customFormat="1" x14ac:dyDescent="0.25"/>
    <row r="675" s="12" customFormat="1" x14ac:dyDescent="0.25"/>
    <row r="676" s="12" customFormat="1" x14ac:dyDescent="0.25"/>
    <row r="677" s="12" customFormat="1" x14ac:dyDescent="0.25"/>
    <row r="678" s="12" customFormat="1" x14ac:dyDescent="0.25"/>
    <row r="679" s="12" customFormat="1" x14ac:dyDescent="0.25"/>
    <row r="680" s="12" customFormat="1" x14ac:dyDescent="0.25"/>
    <row r="681" s="12" customFormat="1" x14ac:dyDescent="0.25"/>
    <row r="682" s="12" customFormat="1" x14ac:dyDescent="0.25"/>
    <row r="683" s="12" customFormat="1" x14ac:dyDescent="0.25"/>
    <row r="684" s="12" customFormat="1" x14ac:dyDescent="0.25"/>
    <row r="685" s="12" customFormat="1" x14ac:dyDescent="0.25"/>
    <row r="686" s="12" customFormat="1" x14ac:dyDescent="0.25"/>
    <row r="687" s="12" customFormat="1" x14ac:dyDescent="0.25"/>
    <row r="688" s="12" customFormat="1" x14ac:dyDescent="0.25"/>
    <row r="689" s="12" customFormat="1" x14ac:dyDescent="0.25"/>
    <row r="690" s="12" customFormat="1" x14ac:dyDescent="0.25"/>
    <row r="691" s="12" customFormat="1" x14ac:dyDescent="0.25"/>
    <row r="692" s="12" customFormat="1" x14ac:dyDescent="0.25"/>
    <row r="693" s="12" customFormat="1" x14ac:dyDescent="0.25"/>
    <row r="694" s="12" customFormat="1" x14ac:dyDescent="0.25"/>
    <row r="695" s="12" customFormat="1" x14ac:dyDescent="0.25"/>
    <row r="696" s="12" customFormat="1" x14ac:dyDescent="0.25"/>
    <row r="697" s="12" customFormat="1" x14ac:dyDescent="0.25"/>
    <row r="698" s="12" customFormat="1" x14ac:dyDescent="0.25"/>
    <row r="699" s="12" customFormat="1" x14ac:dyDescent="0.25"/>
    <row r="700" s="12" customFormat="1" x14ac:dyDescent="0.25"/>
    <row r="701" s="12" customFormat="1" x14ac:dyDescent="0.25"/>
    <row r="702" s="12" customFormat="1" x14ac:dyDescent="0.25"/>
    <row r="703" s="12" customFormat="1" x14ac:dyDescent="0.25"/>
    <row r="704" s="12" customFormat="1" x14ac:dyDescent="0.25"/>
    <row r="705" s="12" customFormat="1" x14ac:dyDescent="0.25"/>
    <row r="706" s="12" customFormat="1" x14ac:dyDescent="0.25"/>
    <row r="707" s="12" customFormat="1" x14ac:dyDescent="0.25"/>
    <row r="708" s="12" customFormat="1" x14ac:dyDescent="0.25"/>
    <row r="709" s="12" customFormat="1" x14ac:dyDescent="0.25"/>
    <row r="710" s="12" customFormat="1" x14ac:dyDescent="0.25"/>
    <row r="711" s="12" customFormat="1" x14ac:dyDescent="0.25"/>
    <row r="712" s="12" customFormat="1" x14ac:dyDescent="0.25"/>
    <row r="713" s="12" customFormat="1" x14ac:dyDescent="0.25"/>
    <row r="714" s="12" customFormat="1" x14ac:dyDescent="0.25"/>
    <row r="715" s="12" customFormat="1" x14ac:dyDescent="0.25"/>
    <row r="716" s="12" customFormat="1" x14ac:dyDescent="0.25"/>
    <row r="717" s="12" customFormat="1" x14ac:dyDescent="0.25"/>
    <row r="718" s="12" customFormat="1" x14ac:dyDescent="0.25"/>
    <row r="719" s="12" customFormat="1" x14ac:dyDescent="0.25"/>
    <row r="720" s="12" customFormat="1" x14ac:dyDescent="0.25"/>
    <row r="721" s="12" customFormat="1" x14ac:dyDescent="0.25"/>
    <row r="722" s="12" customFormat="1" x14ac:dyDescent="0.25"/>
    <row r="723" s="12" customFormat="1" x14ac:dyDescent="0.25"/>
    <row r="724" s="12" customFormat="1" x14ac:dyDescent="0.25"/>
    <row r="725" s="12" customFormat="1" x14ac:dyDescent="0.25"/>
    <row r="726" s="12" customFormat="1" x14ac:dyDescent="0.25"/>
    <row r="727" s="12" customFormat="1" x14ac:dyDescent="0.25"/>
    <row r="728" s="12" customFormat="1" x14ac:dyDescent="0.25"/>
    <row r="729" s="12" customFormat="1" x14ac:dyDescent="0.25"/>
    <row r="730" s="12" customFormat="1" x14ac:dyDescent="0.25"/>
    <row r="731" s="12" customFormat="1" x14ac:dyDescent="0.25"/>
    <row r="732" s="12" customFormat="1" x14ac:dyDescent="0.25"/>
    <row r="733" s="12" customFormat="1" x14ac:dyDescent="0.25"/>
    <row r="734" s="12" customFormat="1" x14ac:dyDescent="0.25"/>
    <row r="735" s="12" customFormat="1" x14ac:dyDescent="0.25"/>
    <row r="736" s="12" customFormat="1" x14ac:dyDescent="0.25"/>
    <row r="737" s="12" customFormat="1" x14ac:dyDescent="0.25"/>
    <row r="738" s="12" customFormat="1" x14ac:dyDescent="0.25"/>
    <row r="739" s="12" customFormat="1" x14ac:dyDescent="0.25"/>
    <row r="740" s="12" customFormat="1" x14ac:dyDescent="0.25"/>
    <row r="741" s="12" customFormat="1" x14ac:dyDescent="0.25"/>
    <row r="742" s="12" customFormat="1" x14ac:dyDescent="0.25"/>
    <row r="743" s="12" customFormat="1" x14ac:dyDescent="0.25"/>
    <row r="744" s="12" customFormat="1" x14ac:dyDescent="0.25"/>
    <row r="745" s="12" customFormat="1" x14ac:dyDescent="0.25"/>
    <row r="746" s="12" customFormat="1" x14ac:dyDescent="0.25"/>
    <row r="747" s="12" customFormat="1" x14ac:dyDescent="0.25"/>
    <row r="748" s="12" customFormat="1" x14ac:dyDescent="0.25"/>
    <row r="749" s="12" customFormat="1" x14ac:dyDescent="0.25"/>
    <row r="750" s="12" customFormat="1" x14ac:dyDescent="0.25"/>
    <row r="751" s="12" customFormat="1" x14ac:dyDescent="0.25"/>
    <row r="752" s="12" customFormat="1" x14ac:dyDescent="0.25"/>
    <row r="753" s="12" customFormat="1" x14ac:dyDescent="0.25"/>
    <row r="754" s="12" customFormat="1" x14ac:dyDescent="0.25"/>
    <row r="755" s="12" customFormat="1" x14ac:dyDescent="0.25"/>
    <row r="756" s="12" customFormat="1" x14ac:dyDescent="0.25"/>
    <row r="757" s="12" customFormat="1" x14ac:dyDescent="0.25"/>
    <row r="758" s="12" customFormat="1" x14ac:dyDescent="0.25"/>
    <row r="759" s="12" customFormat="1" x14ac:dyDescent="0.25"/>
    <row r="760" s="12" customFormat="1" x14ac:dyDescent="0.25"/>
    <row r="761" s="12" customFormat="1" x14ac:dyDescent="0.25"/>
    <row r="762" s="12" customFormat="1" x14ac:dyDescent="0.25"/>
    <row r="763" s="12" customFormat="1" x14ac:dyDescent="0.25"/>
    <row r="764" s="12" customFormat="1" x14ac:dyDescent="0.25"/>
    <row r="765" s="12" customFormat="1" x14ac:dyDescent="0.25"/>
    <row r="766" s="12" customFormat="1" x14ac:dyDescent="0.25"/>
    <row r="767" s="12" customFormat="1" x14ac:dyDescent="0.25"/>
    <row r="768" s="12" customFormat="1" x14ac:dyDescent="0.25"/>
    <row r="769" s="12" customFormat="1" x14ac:dyDescent="0.25"/>
    <row r="770" s="12" customFormat="1" x14ac:dyDescent="0.25"/>
    <row r="771" s="12" customFormat="1" x14ac:dyDescent="0.25"/>
    <row r="772" s="12" customFormat="1" x14ac:dyDescent="0.25"/>
    <row r="773" s="12" customFormat="1" x14ac:dyDescent="0.25"/>
    <row r="774" s="12" customFormat="1" x14ac:dyDescent="0.25"/>
    <row r="775" s="12" customFormat="1" x14ac:dyDescent="0.25"/>
    <row r="776" s="12" customFormat="1" x14ac:dyDescent="0.25"/>
    <row r="777" s="12" customFormat="1" x14ac:dyDescent="0.25"/>
    <row r="778" s="12" customFormat="1" x14ac:dyDescent="0.25"/>
    <row r="779" s="12" customFormat="1" x14ac:dyDescent="0.25"/>
    <row r="780" s="12" customFormat="1" x14ac:dyDescent="0.25"/>
    <row r="781" s="12" customFormat="1" x14ac:dyDescent="0.25"/>
    <row r="782" s="12" customFormat="1" x14ac:dyDescent="0.25"/>
    <row r="783" s="12" customFormat="1" x14ac:dyDescent="0.25"/>
    <row r="784" s="12" customFormat="1" x14ac:dyDescent="0.25"/>
    <row r="785" s="12" customFormat="1" x14ac:dyDescent="0.25"/>
    <row r="786" s="12" customFormat="1" x14ac:dyDescent="0.25"/>
    <row r="787" s="12" customFormat="1" x14ac:dyDescent="0.25"/>
    <row r="788" s="12" customFormat="1" x14ac:dyDescent="0.25"/>
    <row r="789" s="12" customFormat="1" x14ac:dyDescent="0.25"/>
    <row r="790" s="12" customFormat="1" x14ac:dyDescent="0.25"/>
    <row r="791" s="12" customFormat="1" x14ac:dyDescent="0.25"/>
    <row r="792" s="12" customFormat="1" x14ac:dyDescent="0.25"/>
    <row r="793" s="12" customFormat="1" x14ac:dyDescent="0.25"/>
    <row r="794" s="12" customFormat="1" x14ac:dyDescent="0.25"/>
    <row r="795" s="12" customFormat="1" x14ac:dyDescent="0.25"/>
    <row r="796" s="12" customFormat="1" x14ac:dyDescent="0.25"/>
    <row r="797" s="12" customFormat="1" x14ac:dyDescent="0.25"/>
    <row r="798" s="12" customFormat="1" x14ac:dyDescent="0.25"/>
    <row r="799" s="12" customFormat="1" x14ac:dyDescent="0.25"/>
    <row r="800" s="12" customFormat="1" x14ac:dyDescent="0.25"/>
    <row r="801" s="12" customFormat="1" x14ac:dyDescent="0.25"/>
    <row r="802" s="12" customFormat="1" x14ac:dyDescent="0.25"/>
    <row r="803" s="12" customFormat="1" x14ac:dyDescent="0.25"/>
    <row r="804" s="12" customFormat="1" x14ac:dyDescent="0.25"/>
    <row r="805" s="12" customFormat="1" x14ac:dyDescent="0.25"/>
    <row r="806" s="12" customFormat="1" x14ac:dyDescent="0.25"/>
    <row r="807" s="12" customFormat="1" x14ac:dyDescent="0.25"/>
    <row r="808" s="12" customFormat="1" x14ac:dyDescent="0.25"/>
    <row r="809" s="12" customFormat="1" x14ac:dyDescent="0.25"/>
    <row r="810" s="12" customFormat="1" x14ac:dyDescent="0.25"/>
    <row r="811" s="12" customFormat="1" x14ac:dyDescent="0.25"/>
    <row r="812" s="12" customFormat="1" x14ac:dyDescent="0.25"/>
    <row r="813" s="12" customFormat="1" x14ac:dyDescent="0.25"/>
    <row r="814" s="12" customFormat="1" x14ac:dyDescent="0.25"/>
    <row r="815" s="12" customFormat="1" x14ac:dyDescent="0.25"/>
    <row r="816" s="12" customFormat="1" x14ac:dyDescent="0.25"/>
    <row r="817" s="12" customFormat="1" x14ac:dyDescent="0.25"/>
    <row r="818" s="12" customFormat="1" x14ac:dyDescent="0.25"/>
    <row r="819" s="12" customFormat="1" x14ac:dyDescent="0.25"/>
    <row r="820" s="12" customFormat="1" x14ac:dyDescent="0.25"/>
    <row r="821" s="12" customFormat="1" x14ac:dyDescent="0.25"/>
    <row r="822" s="12" customFormat="1" x14ac:dyDescent="0.25"/>
    <row r="823" s="12" customFormat="1" x14ac:dyDescent="0.25"/>
    <row r="824" s="12" customFormat="1" x14ac:dyDescent="0.25"/>
    <row r="825" s="12" customFormat="1" x14ac:dyDescent="0.25"/>
    <row r="826" s="12" customFormat="1" x14ac:dyDescent="0.25"/>
    <row r="827" s="12" customFormat="1" x14ac:dyDescent="0.25"/>
    <row r="828" s="12" customFormat="1" x14ac:dyDescent="0.25"/>
    <row r="829" s="12" customFormat="1" x14ac:dyDescent="0.25"/>
    <row r="830" s="12" customFormat="1" x14ac:dyDescent="0.25"/>
    <row r="831" s="12" customFormat="1" x14ac:dyDescent="0.25"/>
    <row r="832" s="12" customFormat="1" x14ac:dyDescent="0.25"/>
    <row r="833" s="12" customFormat="1" x14ac:dyDescent="0.25"/>
    <row r="834" s="12" customFormat="1" x14ac:dyDescent="0.25"/>
    <row r="835" s="12" customFormat="1" x14ac:dyDescent="0.25"/>
    <row r="836" s="12" customFormat="1" x14ac:dyDescent="0.25"/>
    <row r="837" s="12" customFormat="1" x14ac:dyDescent="0.25"/>
    <row r="838" s="12" customFormat="1" x14ac:dyDescent="0.25"/>
    <row r="839" s="12" customFormat="1" x14ac:dyDescent="0.25"/>
    <row r="840" s="12" customFormat="1" x14ac:dyDescent="0.25"/>
    <row r="841" s="12" customFormat="1" x14ac:dyDescent="0.25"/>
    <row r="842" s="12" customFormat="1" x14ac:dyDescent="0.25"/>
    <row r="843" s="12" customFormat="1" x14ac:dyDescent="0.25"/>
    <row r="844" s="12" customFormat="1" x14ac:dyDescent="0.25"/>
    <row r="845" s="12" customFormat="1" x14ac:dyDescent="0.25"/>
    <row r="846" s="12" customFormat="1" x14ac:dyDescent="0.25"/>
    <row r="847" s="12" customFormat="1" x14ac:dyDescent="0.25"/>
    <row r="848" s="12" customFormat="1" x14ac:dyDescent="0.25"/>
    <row r="849" s="12" customFormat="1" x14ac:dyDescent="0.25"/>
    <row r="850" s="12" customFormat="1" x14ac:dyDescent="0.25"/>
    <row r="851" s="12" customFormat="1" x14ac:dyDescent="0.25"/>
    <row r="852" s="12" customFormat="1" x14ac:dyDescent="0.25"/>
    <row r="853" s="12" customFormat="1" x14ac:dyDescent="0.25"/>
    <row r="854" s="12" customFormat="1" x14ac:dyDescent="0.25"/>
    <row r="855" s="12" customFormat="1" x14ac:dyDescent="0.25"/>
    <row r="856" s="12" customFormat="1" x14ac:dyDescent="0.25"/>
    <row r="857" s="12" customFormat="1" x14ac:dyDescent="0.25"/>
    <row r="858" s="12" customFormat="1" x14ac:dyDescent="0.25"/>
    <row r="859" s="12" customFormat="1" x14ac:dyDescent="0.25"/>
    <row r="860" s="12" customFormat="1" x14ac:dyDescent="0.25"/>
    <row r="861" s="12" customFormat="1" x14ac:dyDescent="0.25"/>
    <row r="862" s="12" customFormat="1" x14ac:dyDescent="0.25"/>
    <row r="863" s="12" customFormat="1" x14ac:dyDescent="0.25"/>
    <row r="864" s="12" customFormat="1" x14ac:dyDescent="0.25"/>
    <row r="865" s="12" customFormat="1" x14ac:dyDescent="0.25"/>
    <row r="866" s="12" customFormat="1" x14ac:dyDescent="0.25"/>
    <row r="867" s="12" customFormat="1" x14ac:dyDescent="0.25"/>
    <row r="868" s="12" customFormat="1" x14ac:dyDescent="0.25"/>
    <row r="869" s="12" customFormat="1" x14ac:dyDescent="0.25"/>
    <row r="870" s="12" customFormat="1" x14ac:dyDescent="0.25"/>
    <row r="871" s="12" customFormat="1" x14ac:dyDescent="0.25"/>
    <row r="872" s="12" customFormat="1" x14ac:dyDescent="0.25"/>
    <row r="873" s="12" customFormat="1" x14ac:dyDescent="0.25"/>
    <row r="874" s="12" customFormat="1" x14ac:dyDescent="0.25"/>
    <row r="875" s="12" customFormat="1" x14ac:dyDescent="0.25"/>
    <row r="876" s="12" customFormat="1" x14ac:dyDescent="0.25"/>
    <row r="877" s="12" customFormat="1" x14ac:dyDescent="0.25"/>
    <row r="878" s="12" customFormat="1" x14ac:dyDescent="0.25"/>
    <row r="879" s="12" customFormat="1" x14ac:dyDescent="0.25"/>
    <row r="880" s="12" customFormat="1" x14ac:dyDescent="0.25"/>
    <row r="881" s="12" customFormat="1" x14ac:dyDescent="0.25"/>
    <row r="882" s="12" customFormat="1" x14ac:dyDescent="0.25"/>
    <row r="883" s="12" customFormat="1" x14ac:dyDescent="0.25"/>
    <row r="884" s="12" customFormat="1" x14ac:dyDescent="0.25"/>
    <row r="885" s="12" customFormat="1" x14ac:dyDescent="0.25"/>
    <row r="886" s="12" customFormat="1" x14ac:dyDescent="0.25"/>
    <row r="887" s="12" customFormat="1" x14ac:dyDescent="0.25"/>
    <row r="888" s="12" customFormat="1" x14ac:dyDescent="0.25"/>
    <row r="889" s="12" customFormat="1" x14ac:dyDescent="0.25"/>
    <row r="890" s="12" customFormat="1" x14ac:dyDescent="0.25"/>
    <row r="891" s="12" customFormat="1" x14ac:dyDescent="0.25"/>
    <row r="892" s="12" customFormat="1" x14ac:dyDescent="0.25"/>
    <row r="893" s="12" customFormat="1" x14ac:dyDescent="0.25"/>
    <row r="894" s="12" customFormat="1" x14ac:dyDescent="0.25"/>
    <row r="895" s="12" customFormat="1" x14ac:dyDescent="0.25"/>
    <row r="896" s="12" customFormat="1" x14ac:dyDescent="0.25"/>
    <row r="897" s="12" customFormat="1" x14ac:dyDescent="0.25"/>
    <row r="898" s="12" customFormat="1" x14ac:dyDescent="0.25"/>
    <row r="899" s="12" customFormat="1" x14ac:dyDescent="0.25"/>
    <row r="900" s="12" customFormat="1" x14ac:dyDescent="0.25"/>
    <row r="901" s="12" customFormat="1" x14ac:dyDescent="0.25"/>
    <row r="902" s="12" customFormat="1" x14ac:dyDescent="0.25"/>
    <row r="903" s="12" customFormat="1" x14ac:dyDescent="0.25"/>
    <row r="904" s="12" customFormat="1" x14ac:dyDescent="0.25"/>
    <row r="905" s="12" customFormat="1" x14ac:dyDescent="0.25"/>
    <row r="906" s="12" customFormat="1" x14ac:dyDescent="0.25"/>
    <row r="907" s="12" customFormat="1" x14ac:dyDescent="0.25"/>
    <row r="908" s="12" customFormat="1" x14ac:dyDescent="0.25"/>
    <row r="909" s="12" customFormat="1" x14ac:dyDescent="0.25"/>
    <row r="910" s="12" customFormat="1" x14ac:dyDescent="0.25"/>
    <row r="911" s="12" customFormat="1" x14ac:dyDescent="0.25"/>
    <row r="912" s="12" customFormat="1" x14ac:dyDescent="0.25"/>
    <row r="913" s="12" customFormat="1" x14ac:dyDescent="0.25"/>
    <row r="914" s="12" customFormat="1" x14ac:dyDescent="0.25"/>
    <row r="915" s="12" customFormat="1" x14ac:dyDescent="0.25"/>
    <row r="916" s="12" customFormat="1" x14ac:dyDescent="0.25"/>
    <row r="917" s="12" customFormat="1" x14ac:dyDescent="0.25"/>
    <row r="918" s="12" customFormat="1" x14ac:dyDescent="0.25"/>
    <row r="919" s="12" customFormat="1" x14ac:dyDescent="0.25"/>
    <row r="920" s="12" customFormat="1" x14ac:dyDescent="0.25"/>
    <row r="921" s="12" customFormat="1" x14ac:dyDescent="0.25"/>
    <row r="922" s="12" customFormat="1" x14ac:dyDescent="0.25"/>
    <row r="923" s="12" customFormat="1" x14ac:dyDescent="0.25"/>
    <row r="924" s="12" customFormat="1" x14ac:dyDescent="0.25"/>
    <row r="925" s="12" customFormat="1" x14ac:dyDescent="0.25"/>
    <row r="926" s="12" customFormat="1" x14ac:dyDescent="0.25"/>
    <row r="927" s="12" customFormat="1" x14ac:dyDescent="0.25"/>
    <row r="928" s="12" customFormat="1" x14ac:dyDescent="0.25"/>
    <row r="929" s="12" customFormat="1" x14ac:dyDescent="0.25"/>
    <row r="930" s="12" customFormat="1" x14ac:dyDescent="0.25"/>
    <row r="931" s="12" customFormat="1" x14ac:dyDescent="0.25"/>
    <row r="932" s="12" customFormat="1" x14ac:dyDescent="0.25"/>
    <row r="933" s="12" customFormat="1" x14ac:dyDescent="0.25"/>
    <row r="934" s="12" customFormat="1" x14ac:dyDescent="0.25"/>
    <row r="935" s="12" customFormat="1" x14ac:dyDescent="0.25"/>
    <row r="936" s="12" customFormat="1" x14ac:dyDescent="0.25"/>
    <row r="937" s="12" customFormat="1" x14ac:dyDescent="0.25"/>
    <row r="938" s="12" customFormat="1" x14ac:dyDescent="0.25"/>
    <row r="939" s="12" customFormat="1" x14ac:dyDescent="0.25"/>
    <row r="940" s="12" customFormat="1" x14ac:dyDescent="0.25"/>
    <row r="941" s="12" customFormat="1" x14ac:dyDescent="0.25"/>
    <row r="942" s="12" customFormat="1" x14ac:dyDescent="0.25"/>
    <row r="943" s="12" customFormat="1" x14ac:dyDescent="0.25"/>
    <row r="944" s="12" customFormat="1" x14ac:dyDescent="0.25"/>
    <row r="945" spans="2:7" s="12" customFormat="1" x14ac:dyDescent="0.25"/>
    <row r="946" spans="2:7" s="12" customFormat="1" x14ac:dyDescent="0.25"/>
    <row r="947" spans="2:7" s="12" customFormat="1" x14ac:dyDescent="0.25"/>
    <row r="948" spans="2:7" s="12" customFormat="1" x14ac:dyDescent="0.25"/>
    <row r="949" spans="2:7" s="12" customFormat="1" x14ac:dyDescent="0.25"/>
    <row r="950" spans="2:7" s="12" customFormat="1" x14ac:dyDescent="0.25"/>
    <row r="951" spans="2:7" s="12" customFormat="1" x14ac:dyDescent="0.25"/>
    <row r="952" spans="2:7" s="12" customFormat="1" x14ac:dyDescent="0.25">
      <c r="B952"/>
      <c r="C952"/>
      <c r="D952"/>
      <c r="E952"/>
      <c r="F952"/>
      <c r="G952"/>
    </row>
  </sheetData>
  <sheetProtection algorithmName="SHA-512" hashValue="QkWRgwhcNH0K8dxw8dDlrVWN/6Kxj4YO7HN8BE1xh3P2JU07d+VZLDYkUlnA9DmowIxbgsPIayVC0BmxeKKp8w==" saltValue="SX6BE/GxWfiIC8NBDG6q6Q==" spinCount="100000" sheet="1" objects="1" scenarios="1"/>
  <mergeCells count="11">
    <mergeCell ref="C8:G8"/>
    <mergeCell ref="B3:G3"/>
    <mergeCell ref="C4:G4"/>
    <mergeCell ref="C5:G5"/>
    <mergeCell ref="C6:G6"/>
    <mergeCell ref="C7:G7"/>
    <mergeCell ref="B10:C10"/>
    <mergeCell ref="B11:C11"/>
    <mergeCell ref="B12:C12"/>
    <mergeCell ref="B16:G16"/>
    <mergeCell ref="B19:G19"/>
  </mergeCells>
  <conditionalFormatting sqref="F11">
    <cfRule type="cellIs" dxfId="22" priority="2" operator="equal">
      <formula>"Penelec - LCI"</formula>
    </cfRule>
  </conditionalFormatting>
  <conditionalFormatting sqref="J16">
    <cfRule type="containsText" dxfId="21" priority="1" operator="containsText" text="Double">
      <formula>NOT(ISERROR(SEARCH("Double",J16)))</formula>
    </cfRule>
  </conditionalFormatting>
  <dataValidations count="1">
    <dataValidation type="list" allowBlank="1" showInputMessage="1" showErrorMessage="1" sqref="F11" xr:uid="{7BBEAB13-B7DB-4B5C-B14C-37DA7D0A1FBF}">
      <formula1>$K$11:$K$12</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B1D3B-D9E6-4086-B668-A91745856BB9}">
  <sheetPr codeName="Sheet3"/>
  <dimension ref="A1:BM27"/>
  <sheetViews>
    <sheetView zoomScale="80" zoomScaleNormal="80" workbookViewId="0">
      <selection activeCell="G30" sqref="G30:G31"/>
    </sheetView>
  </sheetViews>
  <sheetFormatPr defaultColWidth="9.140625" defaultRowHeight="15" x14ac:dyDescent="0.25"/>
  <cols>
    <col min="1" max="1" width="2.7109375" style="12" customWidth="1"/>
    <col min="2" max="2" width="5.7109375" style="12" customWidth="1"/>
    <col min="3" max="3" width="35.85546875" style="12" customWidth="1"/>
    <col min="4" max="4" width="16.85546875" style="12" bestFit="1" customWidth="1"/>
    <col min="5" max="5" width="25.42578125" style="12" customWidth="1"/>
    <col min="6" max="6" width="14.85546875" style="12" bestFit="1" customWidth="1"/>
    <col min="7" max="7" width="16.28515625" style="12" customWidth="1"/>
    <col min="8" max="8" width="18.42578125" style="12" customWidth="1"/>
    <col min="9" max="9" width="12.42578125" style="12" customWidth="1"/>
    <col min="10" max="10" width="13.85546875" style="12" customWidth="1"/>
    <col min="11" max="11" width="23.28515625" style="12" customWidth="1"/>
    <col min="12" max="12" width="12.5703125" style="12" customWidth="1"/>
    <col min="13" max="13" width="21" style="12" customWidth="1"/>
    <col min="14" max="14" width="10.7109375" style="12" customWidth="1"/>
    <col min="15" max="15" width="28.85546875" style="12" bestFit="1" customWidth="1"/>
    <col min="16" max="16" width="12.5703125" style="12" customWidth="1"/>
    <col min="17" max="17" width="56.28515625" style="13" bestFit="1" customWidth="1"/>
    <col min="18" max="18" width="17.85546875" style="12" hidden="1" customWidth="1"/>
    <col min="19" max="29" width="5.5703125" style="12" hidden="1" customWidth="1"/>
    <col min="30" max="51" width="6.42578125" style="12" hidden="1" customWidth="1"/>
    <col min="52" max="55" width="10.7109375" style="12" customWidth="1"/>
    <col min="56" max="56" width="12.7109375" style="12" customWidth="1"/>
    <col min="57" max="57" width="10.7109375" style="12" customWidth="1"/>
    <col min="58" max="58" width="12" style="12" customWidth="1"/>
    <col min="59" max="59" width="14.28515625" style="12" customWidth="1"/>
    <col min="60" max="60" width="13" style="12" customWidth="1"/>
    <col min="61" max="61" width="13.7109375" style="12" customWidth="1"/>
    <col min="62" max="62" width="10.7109375" style="12" customWidth="1"/>
    <col min="63" max="65" width="15.7109375" style="12" customWidth="1"/>
    <col min="66" max="16384" width="9.140625" style="12"/>
  </cols>
  <sheetData>
    <row r="1" spans="1:65" ht="15" customHeight="1" x14ac:dyDescent="0.25">
      <c r="A1" s="11"/>
      <c r="K1" s="13"/>
      <c r="L1" s="13"/>
      <c r="M1" s="13"/>
      <c r="N1" s="13"/>
      <c r="O1" s="13"/>
      <c r="P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4"/>
      <c r="BL1" s="14"/>
      <c r="BM1" s="14"/>
    </row>
    <row r="2" spans="1:65" ht="9.75" customHeight="1" thickBot="1" x14ac:dyDescent="0.3">
      <c r="A2" s="11"/>
      <c r="K2" s="13"/>
      <c r="L2" s="13"/>
      <c r="M2" s="13"/>
      <c r="N2" s="13"/>
      <c r="O2" s="13"/>
      <c r="P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4"/>
      <c r="BL2" s="14"/>
      <c r="BM2" s="14"/>
    </row>
    <row r="3" spans="1:65" ht="15.75" thickBot="1" x14ac:dyDescent="0.3">
      <c r="A3" s="11"/>
      <c r="B3" s="250"/>
      <c r="C3" s="250"/>
      <c r="D3" s="250"/>
      <c r="E3" s="250"/>
      <c r="F3" s="250"/>
      <c r="G3" s="250"/>
      <c r="H3" s="250"/>
      <c r="I3" s="250"/>
      <c r="J3" s="250"/>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250"/>
      <c r="BF3" s="250"/>
      <c r="BG3" s="250"/>
      <c r="BH3" s="327" t="s">
        <v>163</v>
      </c>
      <c r="BI3" s="328"/>
      <c r="BJ3" s="260"/>
      <c r="BK3" s="258"/>
      <c r="BL3" s="14"/>
      <c r="BM3" s="14"/>
    </row>
    <row r="4" spans="1:65" ht="18.75" thickTop="1" thickBot="1" x14ac:dyDescent="0.35">
      <c r="A4" s="67"/>
      <c r="B4" s="252"/>
      <c r="C4" s="252"/>
      <c r="D4" s="252"/>
      <c r="E4" s="252"/>
      <c r="F4" s="252"/>
      <c r="G4" s="252"/>
      <c r="H4" s="252"/>
      <c r="I4" s="252"/>
      <c r="J4" s="252"/>
      <c r="K4" s="253"/>
      <c r="L4" s="253"/>
      <c r="M4" s="253"/>
      <c r="N4" s="253"/>
      <c r="O4" s="253"/>
      <c r="P4" s="253"/>
      <c r="Q4" s="254"/>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5"/>
      <c r="AW4" s="255"/>
      <c r="AX4" s="255"/>
      <c r="AY4" s="255"/>
      <c r="AZ4" s="255"/>
      <c r="BA4" s="255"/>
      <c r="BB4" s="255"/>
      <c r="BC4" s="255"/>
      <c r="BD4" s="255"/>
      <c r="BE4" s="250"/>
      <c r="BF4" s="250"/>
      <c r="BG4" s="284">
        <f>SUM(BG10:BG19)</f>
        <v>0</v>
      </c>
      <c r="BH4" s="284">
        <f>SUM(BH10:BH19)</f>
        <v>0</v>
      </c>
      <c r="BI4" s="285">
        <f>SUM(BI10:BI19)</f>
        <v>0</v>
      </c>
      <c r="BJ4" s="251"/>
      <c r="BK4" s="259"/>
      <c r="BL4" s="70"/>
      <c r="BM4" s="70"/>
    </row>
    <row r="5" spans="1:65" ht="25.5" customHeight="1" x14ac:dyDescent="0.25">
      <c r="A5" s="11"/>
      <c r="B5" s="252"/>
      <c r="C5" s="252"/>
      <c r="D5" s="252"/>
      <c r="E5" s="252"/>
      <c r="F5" s="252"/>
      <c r="G5" s="252"/>
      <c r="H5" s="252"/>
      <c r="I5" s="252"/>
      <c r="J5" s="252"/>
      <c r="K5" s="253"/>
      <c r="L5" s="253"/>
      <c r="M5" s="253"/>
      <c r="N5" s="253"/>
      <c r="O5" s="253"/>
      <c r="P5" s="253"/>
      <c r="Q5" s="254"/>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1"/>
      <c r="AW5" s="251"/>
      <c r="AX5" s="251"/>
      <c r="AY5" s="251"/>
      <c r="AZ5" s="251"/>
      <c r="BA5" s="251"/>
      <c r="BB5" s="251"/>
      <c r="BC5" s="251"/>
      <c r="BD5" s="251"/>
      <c r="BE5" s="251"/>
      <c r="BF5" s="251"/>
      <c r="BG5" s="251"/>
      <c r="BH5" s="251"/>
      <c r="BI5" s="251"/>
      <c r="BJ5" s="251"/>
      <c r="BK5" s="258"/>
      <c r="BL5" s="14"/>
      <c r="BM5" s="14"/>
    </row>
    <row r="6" spans="1:65" ht="18" thickBot="1" x14ac:dyDescent="0.3">
      <c r="A6" s="11"/>
      <c r="B6" s="252"/>
      <c r="C6" s="252"/>
      <c r="D6" s="252"/>
      <c r="E6" s="252"/>
      <c r="F6" s="252"/>
      <c r="G6" s="252"/>
      <c r="H6" s="252"/>
      <c r="I6" s="252"/>
      <c r="J6" s="252"/>
      <c r="K6" s="256"/>
      <c r="L6" s="256"/>
      <c r="M6" s="256"/>
      <c r="N6" s="256"/>
      <c r="O6" s="256"/>
      <c r="P6" s="256"/>
      <c r="Q6" s="257"/>
      <c r="R6" s="322" t="s">
        <v>316</v>
      </c>
      <c r="S6" s="322"/>
      <c r="T6" s="322"/>
      <c r="U6" s="322"/>
      <c r="V6" s="322"/>
      <c r="W6" s="322"/>
      <c r="X6" s="322"/>
      <c r="Y6" s="322"/>
      <c r="Z6" s="322"/>
      <c r="AA6" s="322"/>
      <c r="AB6" s="322"/>
      <c r="AC6" s="322"/>
      <c r="AD6" s="322"/>
      <c r="AE6" s="322"/>
      <c r="AF6" s="322"/>
      <c r="AG6" s="322"/>
      <c r="AH6" s="322"/>
      <c r="AI6" s="322"/>
      <c r="AJ6" s="322"/>
      <c r="AK6" s="322"/>
      <c r="AL6" s="322"/>
      <c r="AM6" s="322"/>
      <c r="AN6" s="322"/>
      <c r="AO6" s="322"/>
      <c r="AP6" s="322"/>
      <c r="AQ6" s="322"/>
      <c r="AR6" s="322"/>
      <c r="AS6" s="322"/>
      <c r="AT6" s="322"/>
      <c r="AU6" s="322"/>
      <c r="AV6" s="322"/>
      <c r="AW6" s="322"/>
      <c r="AX6" s="322"/>
      <c r="AY6" s="322"/>
      <c r="AZ6" s="256"/>
      <c r="BA6" s="256"/>
      <c r="BB6" s="251"/>
      <c r="BC6" s="251"/>
      <c r="BD6" s="251"/>
      <c r="BE6" s="251"/>
      <c r="BF6" s="251"/>
      <c r="BG6" s="251"/>
      <c r="BH6" s="251"/>
      <c r="BI6" s="251"/>
      <c r="BJ6" s="251"/>
      <c r="BK6" s="258"/>
      <c r="BL6" s="14"/>
      <c r="BM6" s="14"/>
    </row>
    <row r="7" spans="1:65" ht="18" thickBot="1" x14ac:dyDescent="0.35">
      <c r="A7" s="11"/>
      <c r="B7" s="261"/>
      <c r="C7" s="262"/>
      <c r="D7" s="262"/>
      <c r="E7" s="262"/>
      <c r="F7" s="263"/>
      <c r="G7" s="323" t="s">
        <v>120</v>
      </c>
      <c r="H7" s="324"/>
      <c r="I7" s="324"/>
      <c r="J7" s="324"/>
      <c r="K7" s="324"/>
      <c r="L7" s="324"/>
      <c r="M7" s="325"/>
      <c r="N7" s="325"/>
      <c r="O7" s="325"/>
      <c r="P7" s="326"/>
      <c r="Q7" s="132" t="s">
        <v>121</v>
      </c>
      <c r="R7" s="329" t="s">
        <v>164</v>
      </c>
      <c r="S7" s="330"/>
      <c r="T7" s="330"/>
      <c r="U7" s="330"/>
      <c r="V7" s="330"/>
      <c r="W7" s="330"/>
      <c r="X7" s="330"/>
      <c r="Y7" s="330"/>
      <c r="Z7" s="330"/>
      <c r="AA7" s="330"/>
      <c r="AB7" s="330"/>
      <c r="AC7" s="330"/>
      <c r="AD7" s="329" t="s">
        <v>165</v>
      </c>
      <c r="AE7" s="330"/>
      <c r="AF7" s="330"/>
      <c r="AG7" s="330"/>
      <c r="AH7" s="330"/>
      <c r="AI7" s="330"/>
      <c r="AJ7" s="330"/>
      <c r="AK7" s="330"/>
      <c r="AL7" s="330"/>
      <c r="AM7" s="330"/>
      <c r="AN7" s="331"/>
      <c r="AO7" s="329" t="s">
        <v>166</v>
      </c>
      <c r="AP7" s="330"/>
      <c r="AQ7" s="330"/>
      <c r="AR7" s="330"/>
      <c r="AS7" s="330"/>
      <c r="AT7" s="330"/>
      <c r="AU7" s="330"/>
      <c r="AV7" s="330"/>
      <c r="AW7" s="330"/>
      <c r="AX7" s="330"/>
      <c r="AY7" s="331"/>
      <c r="AZ7" s="323" t="s">
        <v>122</v>
      </c>
      <c r="BA7" s="324"/>
      <c r="BB7" s="324"/>
      <c r="BC7" s="325"/>
      <c r="BD7" s="325"/>
      <c r="BE7" s="325"/>
      <c r="BF7" s="326"/>
      <c r="BG7" s="332" t="s">
        <v>119</v>
      </c>
      <c r="BH7" s="333"/>
      <c r="BI7" s="334"/>
      <c r="BJ7" s="320" t="s">
        <v>291</v>
      </c>
      <c r="BK7" s="321"/>
      <c r="BL7" s="14"/>
      <c r="BM7" s="14"/>
    </row>
    <row r="8" spans="1:65" ht="57" customHeight="1" x14ac:dyDescent="0.25">
      <c r="A8" s="105"/>
      <c r="B8" s="106" t="s">
        <v>124</v>
      </c>
      <c r="C8" s="107" t="s">
        <v>271</v>
      </c>
      <c r="D8" s="110" t="s">
        <v>305</v>
      </c>
      <c r="E8" s="110" t="s">
        <v>125</v>
      </c>
      <c r="F8" s="108" t="s">
        <v>126</v>
      </c>
      <c r="G8" s="167" t="s">
        <v>127</v>
      </c>
      <c r="H8" s="109" t="s">
        <v>128</v>
      </c>
      <c r="I8" s="109" t="s">
        <v>129</v>
      </c>
      <c r="J8" s="109" t="s">
        <v>133</v>
      </c>
      <c r="K8" s="109" t="s">
        <v>135</v>
      </c>
      <c r="L8" s="162" t="s">
        <v>136</v>
      </c>
      <c r="M8" s="107" t="s">
        <v>137</v>
      </c>
      <c r="N8" s="108" t="s">
        <v>138</v>
      </c>
      <c r="O8" s="107" t="s">
        <v>164</v>
      </c>
      <c r="P8" s="108" t="s">
        <v>167</v>
      </c>
      <c r="Q8" s="106" t="s">
        <v>168</v>
      </c>
      <c r="R8" s="245" t="s">
        <v>169</v>
      </c>
      <c r="S8" s="244">
        <v>0</v>
      </c>
      <c r="T8" s="244">
        <v>0.1</v>
      </c>
      <c r="U8" s="244">
        <v>0.2</v>
      </c>
      <c r="V8" s="244">
        <v>0.3</v>
      </c>
      <c r="W8" s="244">
        <v>0.4</v>
      </c>
      <c r="X8" s="244">
        <v>0.5</v>
      </c>
      <c r="Y8" s="244">
        <v>0.6</v>
      </c>
      <c r="Z8" s="244">
        <v>0.7</v>
      </c>
      <c r="AA8" s="244">
        <v>0.8</v>
      </c>
      <c r="AB8" s="244">
        <v>0.9</v>
      </c>
      <c r="AC8" s="246">
        <v>1</v>
      </c>
      <c r="AD8" s="247">
        <v>0</v>
      </c>
      <c r="AE8" s="248">
        <v>0.1</v>
      </c>
      <c r="AF8" s="248">
        <v>0.2</v>
      </c>
      <c r="AG8" s="248">
        <v>0.3</v>
      </c>
      <c r="AH8" s="248">
        <v>0.4</v>
      </c>
      <c r="AI8" s="248">
        <v>0.5</v>
      </c>
      <c r="AJ8" s="248">
        <v>0.6</v>
      </c>
      <c r="AK8" s="248">
        <v>0.7</v>
      </c>
      <c r="AL8" s="248">
        <v>0.8</v>
      </c>
      <c r="AM8" s="248">
        <v>0.9</v>
      </c>
      <c r="AN8" s="249">
        <v>1</v>
      </c>
      <c r="AO8" s="247">
        <v>0</v>
      </c>
      <c r="AP8" s="248">
        <v>0.1</v>
      </c>
      <c r="AQ8" s="248">
        <v>0.2</v>
      </c>
      <c r="AR8" s="248">
        <v>0.3</v>
      </c>
      <c r="AS8" s="248">
        <v>0.4</v>
      </c>
      <c r="AT8" s="248">
        <v>0.5</v>
      </c>
      <c r="AU8" s="248">
        <v>0.6</v>
      </c>
      <c r="AV8" s="248">
        <v>0.7</v>
      </c>
      <c r="AW8" s="248">
        <v>0.8</v>
      </c>
      <c r="AX8" s="248">
        <v>0.9</v>
      </c>
      <c r="AY8" s="249">
        <v>1</v>
      </c>
      <c r="AZ8" s="107" t="s">
        <v>142</v>
      </c>
      <c r="BA8" s="109" t="s">
        <v>143</v>
      </c>
      <c r="BB8" s="162" t="s">
        <v>170</v>
      </c>
      <c r="BC8" s="107" t="s">
        <v>146</v>
      </c>
      <c r="BD8" s="108" t="s">
        <v>147</v>
      </c>
      <c r="BE8" s="107" t="s">
        <v>149</v>
      </c>
      <c r="BF8" s="108" t="s">
        <v>150</v>
      </c>
      <c r="BG8" s="167" t="s">
        <v>317</v>
      </c>
      <c r="BH8" s="109" t="s">
        <v>151</v>
      </c>
      <c r="BI8" s="108" t="s">
        <v>152</v>
      </c>
      <c r="BJ8" s="108" t="s">
        <v>310</v>
      </c>
      <c r="BK8" s="108" t="s">
        <v>291</v>
      </c>
      <c r="BL8" s="105"/>
      <c r="BM8" s="105"/>
    </row>
    <row r="9" spans="1:65" x14ac:dyDescent="0.25">
      <c r="A9" s="11"/>
      <c r="B9" s="112" t="s">
        <v>155</v>
      </c>
      <c r="C9" s="113"/>
      <c r="D9" s="133"/>
      <c r="E9" s="133" t="s">
        <v>171</v>
      </c>
      <c r="F9" s="114" t="s">
        <v>157</v>
      </c>
      <c r="G9" s="135" t="s">
        <v>158</v>
      </c>
      <c r="H9" s="115" t="s">
        <v>159</v>
      </c>
      <c r="I9" s="115">
        <v>10</v>
      </c>
      <c r="J9" s="116">
        <v>0.90500000000000003</v>
      </c>
      <c r="K9" s="115">
        <f>IFERROR(VLOOKUP(F9,Lookups!$B$7:$E$11,4,FALSE),"")</f>
        <v>0.76</v>
      </c>
      <c r="L9" s="163"/>
      <c r="M9" s="119" t="str">
        <f>IFERROR(INDEX(Motor_HOU,MATCH(CONCATENATE(#REF!," ",#REF!),Lookups!$AA$7:$AA$152,0),MATCH(F9,Lookups!$AB$6:$AF$6,0)),"N/A")</f>
        <v>N/A</v>
      </c>
      <c r="N9" s="118"/>
      <c r="O9" s="136" t="s">
        <v>172</v>
      </c>
      <c r="P9" s="137">
        <v>0.9</v>
      </c>
      <c r="Q9" s="138" t="s">
        <v>173</v>
      </c>
      <c r="R9" s="139" t="str">
        <f>IFERROR(VLOOKUP(F9,Lookups!$B$7:$D$11,3,FALSE),"")</f>
        <v>VFD Fan</v>
      </c>
      <c r="S9" s="140">
        <f>IFERROR(INDEX(VFD_Load_Profiles,MATCH($O9,Lookups!$AT$7:$AT$18,0),MATCH('3.3.2 VFD Improvements'!S$8,Lookups!$AU$6:$BE$6,0)),"")</f>
        <v>0</v>
      </c>
      <c r="T9" s="140">
        <f>IFERROR(INDEX(VFD_Load_Profiles,MATCH($O9,Lookups!$AT$7:$AT$18,0),MATCH('3.3.2 VFD Improvements'!T$8,Lookups!$AU$6:$BE$6,0)),"")</f>
        <v>0</v>
      </c>
      <c r="U9" s="140">
        <f>IFERROR(INDEX(VFD_Load_Profiles,MATCH($O9,Lookups!$AT$7:$AT$18,0),MATCH('3.3.2 VFD Improvements'!U$8,Lookups!$AU$6:$BE$6,0)),"")</f>
        <v>0</v>
      </c>
      <c r="V9" s="140">
        <f>IFERROR(INDEX(VFD_Load_Profiles,MATCH($O9,Lookups!$AT$7:$AT$18,0),MATCH('3.3.2 VFD Improvements'!V$8,Lookups!$AU$6:$BE$6,0)),"")</f>
        <v>0</v>
      </c>
      <c r="W9" s="140">
        <f>IFERROR(INDEX(VFD_Load_Profiles,MATCH($O9,Lookups!$AT$7:$AT$18,0),MATCH('3.3.2 VFD Improvements'!W$8,Lookups!$AU$6:$BE$6,0)),"")</f>
        <v>0</v>
      </c>
      <c r="X9" s="140">
        <f>IFERROR(INDEX(VFD_Load_Profiles,MATCH($O9,Lookups!$AT$7:$AT$18,0),MATCH('3.3.2 VFD Improvements'!X$8,Lookups!$AU$6:$BE$6,0)),"")</f>
        <v>0.1</v>
      </c>
      <c r="Y9" s="140">
        <f>IFERROR(INDEX(VFD_Load_Profiles,MATCH($O9,Lookups!$AT$7:$AT$18,0),MATCH('3.3.2 VFD Improvements'!Y$8,Lookups!$AU$6:$BE$6,0)),"")</f>
        <v>0.2</v>
      </c>
      <c r="Z9" s="140">
        <f>IFERROR(INDEX(VFD_Load_Profiles,MATCH($O9,Lookups!$AT$7:$AT$18,0),MATCH('3.3.2 VFD Improvements'!Z$8,Lookups!$AU$6:$BE$6,0)),"")</f>
        <v>0.3</v>
      </c>
      <c r="AA9" s="140">
        <f>IFERROR(INDEX(VFD_Load_Profiles,MATCH($O9,Lookups!$AT$7:$AT$18,0),MATCH('3.3.2 VFD Improvements'!AA$8,Lookups!$AU$6:$BE$6,0)),"")</f>
        <v>0.2</v>
      </c>
      <c r="AB9" s="140">
        <f>IFERROR(INDEX(VFD_Load_Profiles,MATCH($O9,Lookups!$AT$7:$AT$18,0),MATCH('3.3.2 VFD Improvements'!AB$8,Lookups!$AU$6:$BE$6,0)),"")</f>
        <v>0.15</v>
      </c>
      <c r="AC9" s="141">
        <f>IFERROR(INDEX(VFD_Load_Profiles,MATCH($O9,Lookups!$AT$7:$AT$18,0),MATCH('3.3.2 VFD Improvements'!AC$8,Lookups!$AU$6:$BE$6,0)),"")</f>
        <v>0.05</v>
      </c>
      <c r="AD9" s="184">
        <f>IFERROR(INDEX(VFD_Power_Profiles,MATCH($Q9,Lookups!$AT$27:$AT$36,0),MATCH('3.3.2 VFD Improvements'!AD$8,Lookups!$AU$6:$BE$6,0)),"")</f>
        <v>1</v>
      </c>
      <c r="AE9" s="117">
        <f>IFERROR(INDEX(VFD_Power_Profiles,MATCH($Q9,Lookups!$AT$27:$AT$36,0),MATCH('3.3.2 VFD Improvements'!AE$8,Lookups!$AU$6:$BE$6,0)),"")</f>
        <v>1</v>
      </c>
      <c r="AF9" s="117">
        <f>IFERROR(INDEX(VFD_Power_Profiles,MATCH($Q9,Lookups!$AT$27:$AT$36,0),MATCH('3.3.2 VFD Improvements'!AF$8,Lookups!$AU$6:$BE$6,0)),"")</f>
        <v>1</v>
      </c>
      <c r="AG9" s="117">
        <f>IFERROR(INDEX(VFD_Power_Profiles,MATCH($Q9,Lookups!$AT$27:$AT$36,0),MATCH('3.3.2 VFD Improvements'!AG$8,Lookups!$AU$6:$BE$6,0)),"")</f>
        <v>1</v>
      </c>
      <c r="AH9" s="117">
        <f>IFERROR(INDEX(VFD_Power_Profiles,MATCH($Q9,Lookups!$AT$27:$AT$36,0),MATCH('3.3.2 VFD Improvements'!AH$8,Lookups!$AU$6:$BE$6,0)),"")</f>
        <v>1</v>
      </c>
      <c r="AI9" s="117">
        <f>IFERROR(INDEX(VFD_Power_Profiles,MATCH($Q9,Lookups!$AT$27:$AT$36,0),MATCH('3.3.2 VFD Improvements'!AI$8,Lookups!$AU$6:$BE$6,0)),"")</f>
        <v>1</v>
      </c>
      <c r="AJ9" s="117">
        <f>IFERROR(INDEX(VFD_Power_Profiles,MATCH($Q9,Lookups!$AT$27:$AT$36,0),MATCH('3.3.2 VFD Improvements'!AJ$8,Lookups!$AU$6:$BE$6,0)),"")</f>
        <v>1</v>
      </c>
      <c r="AK9" s="117">
        <f>IFERROR(INDEX(VFD_Power_Profiles,MATCH($Q9,Lookups!$AT$27:$AT$36,0),MATCH('3.3.2 VFD Improvements'!AK$8,Lookups!$AU$6:$BE$6,0)),"")</f>
        <v>1</v>
      </c>
      <c r="AL9" s="117">
        <f>IFERROR(INDEX(VFD_Power_Profiles,MATCH($Q9,Lookups!$AT$27:$AT$36,0),MATCH('3.3.2 VFD Improvements'!AL$8,Lookups!$AU$6:$BE$6,0)),"")</f>
        <v>1</v>
      </c>
      <c r="AM9" s="117">
        <f>IFERROR(INDEX(VFD_Power_Profiles,MATCH($Q9,Lookups!$AT$27:$AT$36,0),MATCH('3.3.2 VFD Improvements'!AM$8,Lookups!$AU$6:$BE$6,0)),"")</f>
        <v>1</v>
      </c>
      <c r="AN9" s="196">
        <f>IFERROR(INDEX(VFD_Power_Profiles,MATCH($Q9,Lookups!$AT$27:$AT$36,0),MATCH('3.3.2 VFD Improvements'!AN$8,Lookups!$AU$6:$BE$6,0)),"")</f>
        <v>1</v>
      </c>
      <c r="AO9" s="184">
        <f>IFERROR(INDEX(VFD_Power_Profiles,MATCH($R9,Lookups!$AT$27:$AT$34,0),MATCH('3.3.2 VFD Improvements'!AO$8,Lookups!$AU$6:$BE$6,0)),"")</f>
        <v>4.7500000000000001E-2</v>
      </c>
      <c r="AP9" s="117">
        <f>IFERROR(INDEX(VFD_Power_Profiles,MATCH($R9,Lookups!$AT$27:$AT$34,0),MATCH('3.3.2 VFD Improvements'!AP$8,Lookups!$AU$6:$BE$6,0)),"")</f>
        <v>4.7500000000000001E-2</v>
      </c>
      <c r="AQ9" s="117">
        <f>IFERROR(INDEX(VFD_Power_Profiles,MATCH($R9,Lookups!$AT$27:$AT$34,0),MATCH('3.3.2 VFD Improvements'!AQ$8,Lookups!$AU$6:$BE$6,0)),"")</f>
        <v>5.3699999999999998E-2</v>
      </c>
      <c r="AR9" s="117">
        <f>IFERROR(INDEX(VFD_Power_Profiles,MATCH($R9,Lookups!$AT$27:$AT$34,0),MATCH('3.3.2 VFD Improvements'!AR$8,Lookups!$AU$6:$BE$6,0)),"")</f>
        <v>0.08</v>
      </c>
      <c r="AS9" s="117">
        <f>IFERROR(INDEX(VFD_Power_Profiles,MATCH($R9,Lookups!$AT$27:$AT$34,0),MATCH('3.3.2 VFD Improvements'!AS$8,Lookups!$AU$6:$BE$6,0)),"")</f>
        <v>0.12890000000000001</v>
      </c>
      <c r="AT9" s="117">
        <f>IFERROR(INDEX(VFD_Power_Profiles,MATCH($R9,Lookups!$AT$27:$AT$34,0),MATCH('3.3.2 VFD Improvements'!AT$8,Lookups!$AU$6:$BE$6,0)),"")</f>
        <v>0.20269999999999999</v>
      </c>
      <c r="AU9" s="117">
        <f>IFERROR(INDEX(VFD_Power_Profiles,MATCH($R9,Lookups!$AT$27:$AT$34,0),MATCH('3.3.2 VFD Improvements'!AU$8,Lookups!$AU$6:$BE$6,0)),"")</f>
        <v>0.30380000000000001</v>
      </c>
      <c r="AV9" s="117">
        <f>IFERROR(INDEX(VFD_Power_Profiles,MATCH($R9,Lookups!$AT$27:$AT$34,0),MATCH('3.3.2 VFD Improvements'!AV$8,Lookups!$AU$6:$BE$6,0)),"")</f>
        <v>0.43459999999999999</v>
      </c>
      <c r="AW9" s="117">
        <f>IFERROR(INDEX(VFD_Power_Profiles,MATCH($R9,Lookups!$AT$27:$AT$34,0),MATCH('3.3.2 VFD Improvements'!AW$8,Lookups!$AU$6:$BE$6,0)),"")</f>
        <v>0.59750000000000003</v>
      </c>
      <c r="AX9" s="117">
        <f>IFERROR(INDEX(VFD_Power_Profiles,MATCH($R9,Lookups!$AT$27:$AT$34,0),MATCH('3.3.2 VFD Improvements'!AX$8,Lookups!$AU$6:$BE$6,0)),"")</f>
        <v>0.79500000000000004</v>
      </c>
      <c r="AY9" s="196">
        <f>IFERROR(INDEX(VFD_Power_Profiles,MATCH($R9,Lookups!$AT$27:$AT$34,0),MATCH('3.3.2 VFD Improvements'!AY$8,Lookups!$AU$6:$BE$6,0)),"")</f>
        <v>1.0293000000000001</v>
      </c>
      <c r="AZ9" s="119" t="str">
        <f t="shared" ref="AZ9:AZ19" si="0">IFERROR(IF(N9&gt;0,N9,M9),"")</f>
        <v>N/A</v>
      </c>
      <c r="BA9" s="184">
        <f>IFERROR(IF(L9&gt;0,L9,K9),"")</f>
        <v>0.76</v>
      </c>
      <c r="BB9" s="168">
        <f>IFERROR(I9*BA9*0.746/J9,"")</f>
        <v>6.2647513812154694</v>
      </c>
      <c r="BC9" s="142">
        <f>IFERROR(BB9*INDEX(AD9:AN9,,MATCH(P9,$AD$8:$AN$8,0)),"")</f>
        <v>6.2647513812154694</v>
      </c>
      <c r="BD9" s="118" t="str">
        <f t="shared" ref="BD9:BD19" si="1">IFERROR(SUMPRODUCT(S9:AC9,AD9:AN9)*BB9*AZ9,"")</f>
        <v/>
      </c>
      <c r="BE9" s="142">
        <f>IFERROR(BB9*INDEX(AO9:AY9,,MATCH(P9,$AO$8:$AY$8,0)),"")</f>
        <v>4.980477348066298</v>
      </c>
      <c r="BF9" s="118" t="str">
        <f t="shared" ref="BF9:BF19" si="2">IFERROR(SUMPRODUCT(S9:AC9,AO9:AY9)*BB9*AZ9,"")</f>
        <v/>
      </c>
      <c r="BG9" s="279"/>
      <c r="BH9" s="120">
        <f t="shared" ref="BH9" si="3">IFERROR(BC9-BE9,"")</f>
        <v>1.2842740331491713</v>
      </c>
      <c r="BI9" s="118" t="str">
        <f t="shared" ref="BI9" si="4">IFERROR(BD9-BF9,"")</f>
        <v/>
      </c>
      <c r="BJ9" s="118"/>
      <c r="BK9" s="241"/>
      <c r="BL9" s="14"/>
      <c r="BM9" s="14"/>
    </row>
    <row r="10" spans="1:65" x14ac:dyDescent="0.25">
      <c r="A10" s="11"/>
      <c r="B10" s="112">
        <v>1</v>
      </c>
      <c r="C10" s="17"/>
      <c r="D10" s="61"/>
      <c r="E10" s="61"/>
      <c r="F10" s="19"/>
      <c r="G10" s="53"/>
      <c r="H10" s="18"/>
      <c r="I10" s="18"/>
      <c r="J10" s="240" t="str">
        <f>IFERROR(VLOOKUP(I10, Lookups!$G$10:$O$37, 4, FALSE), "")</f>
        <v/>
      </c>
      <c r="K10" s="166" t="str">
        <f>IFERROR(IF(OR(ISNUMBER(SEARCH("Process",F10)),C10="Other"),"ENTER Load Factor →",VLOOKUP(F10,Lookups!$B$7:$E$11,4,FALSE)),"")</f>
        <v/>
      </c>
      <c r="L10" s="164"/>
      <c r="M10" s="122" t="str">
        <f>IFERROR(IF(OR(ISNUMBER(SEARCH("Process",F10)),C10="Other"),"ENTER Run Hours →",INDEX(Motor_HOU,MATCH(CONCATENATE(D10," ",C10),Lookups!$AA$7:$AA$152,0),MATCH(F10,Lookups!$AB$6:$AF$6,0))),"N/A")</f>
        <v>N/A</v>
      </c>
      <c r="N10" s="182"/>
      <c r="O10" s="149"/>
      <c r="P10" s="63"/>
      <c r="Q10" s="150"/>
      <c r="R10" s="143" t="str">
        <f>IFERROR(VLOOKUP(F10,Lookups!$B$7:$D$13,3,FALSE),"")</f>
        <v/>
      </c>
      <c r="S10" s="144" t="str">
        <f>IFERROR(INDEX(VFD_Load_Profiles,MATCH($O10,Lookups!$AT$7:$AT$18,0),MATCH('3.3.2 VFD Improvements'!S$8,Lookups!$AU$6:$BE$6,0)),"")</f>
        <v/>
      </c>
      <c r="T10" s="144" t="str">
        <f>IFERROR(INDEX(VFD_Load_Profiles,MATCH($O10,Lookups!$AT$7:$AT$18,0),MATCH('3.3.2 VFD Improvements'!T$8,Lookups!$AU$6:$BE$6,0)),"")</f>
        <v/>
      </c>
      <c r="U10" s="144" t="str">
        <f>IFERROR(INDEX(VFD_Load_Profiles,MATCH($O10,Lookups!$AT$7:$AT$18,0),MATCH('3.3.2 VFD Improvements'!U$8,Lookups!$AU$6:$BE$6,0)),"")</f>
        <v/>
      </c>
      <c r="V10" s="144" t="str">
        <f>IFERROR(INDEX(VFD_Load_Profiles,MATCH($O10,Lookups!$AT$7:$AT$18,0),MATCH('3.3.2 VFD Improvements'!V$8,Lookups!$AU$6:$BE$6,0)),"")</f>
        <v/>
      </c>
      <c r="W10" s="144" t="str">
        <f>IFERROR(INDEX(VFD_Load_Profiles,MATCH($O10,Lookups!$AT$7:$AT$18,0),MATCH('3.3.2 VFD Improvements'!W$8,Lookups!$AU$6:$BE$6,0)),"")</f>
        <v/>
      </c>
      <c r="X10" s="144" t="str">
        <f>IFERROR(INDEX(VFD_Load_Profiles,MATCH($O10,Lookups!$AT$7:$AT$18,0),MATCH('3.3.2 VFD Improvements'!X$8,Lookups!$AU$6:$BE$6,0)),"")</f>
        <v/>
      </c>
      <c r="Y10" s="144" t="str">
        <f>IFERROR(INDEX(VFD_Load_Profiles,MATCH($O10,Lookups!$AT$7:$AT$18,0),MATCH('3.3.2 VFD Improvements'!Y$8,Lookups!$AU$6:$BE$6,0)),"")</f>
        <v/>
      </c>
      <c r="Z10" s="144" t="str">
        <f>IFERROR(INDEX(VFD_Load_Profiles,MATCH($O10,Lookups!$AT$7:$AT$18,0),MATCH('3.3.2 VFD Improvements'!Z$8,Lookups!$AU$6:$BE$6,0)),"")</f>
        <v/>
      </c>
      <c r="AA10" s="144" t="str">
        <f>IFERROR(INDEX(VFD_Load_Profiles,MATCH($O10,Lookups!$AT$7:$AT$18,0),MATCH('3.3.2 VFD Improvements'!AA$8,Lookups!$AU$6:$BE$6,0)),"")</f>
        <v/>
      </c>
      <c r="AB10" s="144" t="str">
        <f>IFERROR(INDEX(VFD_Load_Profiles,MATCH($O10,Lookups!$AT$7:$AT$18,0),MATCH('3.3.2 VFD Improvements'!AB$8,Lookups!$AU$6:$BE$6,0)),"")</f>
        <v/>
      </c>
      <c r="AC10" s="145" t="str">
        <f>IFERROR(INDEX(VFD_Load_Profiles,MATCH($O10,Lookups!$AT$7:$AT$18,0),MATCH('3.3.2 VFD Improvements'!AC$8,Lookups!$AU$6:$BE$6,0)),"")</f>
        <v/>
      </c>
      <c r="AD10" s="124" t="str">
        <f>IFERROR(INDEX(VFD_Power_Profiles,MATCH($Q10,Lookups!$AT$27:$AT$36,0),MATCH('3.3.2 VFD Improvements'!AD$8,Lookups!$AU$6:$BE$6,0)),"")</f>
        <v/>
      </c>
      <c r="AE10" s="121" t="str">
        <f>IFERROR(INDEX(VFD_Power_Profiles,MATCH($Q10,Lookups!$AT$27:$AT$36,0),MATCH('3.3.2 VFD Improvements'!AE$8,Lookups!$AU$6:$BE$6,0)),"")</f>
        <v/>
      </c>
      <c r="AF10" s="121" t="str">
        <f>IFERROR(INDEX(VFD_Power_Profiles,MATCH($Q10,Lookups!$AT$27:$AT$36,0),MATCH('3.3.2 VFD Improvements'!AF$8,Lookups!$AU$6:$BE$6,0)),"")</f>
        <v/>
      </c>
      <c r="AG10" s="121" t="str">
        <f>IFERROR(INDEX(VFD_Power_Profiles,MATCH($Q10,Lookups!$AT$27:$AT$36,0),MATCH('3.3.2 VFD Improvements'!AG$8,Lookups!$AU$6:$BE$6,0)),"")</f>
        <v/>
      </c>
      <c r="AH10" s="121" t="str">
        <f>IFERROR(INDEX(VFD_Power_Profiles,MATCH($Q10,Lookups!$AT$27:$AT$36,0),MATCH('3.3.2 VFD Improvements'!AH$8,Lookups!$AU$6:$BE$6,0)),"")</f>
        <v/>
      </c>
      <c r="AI10" s="121" t="str">
        <f>IFERROR(INDEX(VFD_Power_Profiles,MATCH($Q10,Lookups!$AT$27:$AT$36,0),MATCH('3.3.2 VFD Improvements'!AI$8,Lookups!$AU$6:$BE$6,0)),"")</f>
        <v/>
      </c>
      <c r="AJ10" s="121" t="str">
        <f>IFERROR(INDEX(VFD_Power_Profiles,MATCH($Q10,Lookups!$AT$27:$AT$36,0),MATCH('3.3.2 VFD Improvements'!AJ$8,Lookups!$AU$6:$BE$6,0)),"")</f>
        <v/>
      </c>
      <c r="AK10" s="121" t="str">
        <f>IFERROR(INDEX(VFD_Power_Profiles,MATCH($Q10,Lookups!$AT$27:$AT$36,0),MATCH('3.3.2 VFD Improvements'!AK$8,Lookups!$AU$6:$BE$6,0)),"")</f>
        <v/>
      </c>
      <c r="AL10" s="121" t="str">
        <f>IFERROR(INDEX(VFD_Power_Profiles,MATCH($Q10,Lookups!$AT$27:$AT$36,0),MATCH('3.3.2 VFD Improvements'!AL$8,Lookups!$AU$6:$BE$6,0)),"")</f>
        <v/>
      </c>
      <c r="AM10" s="121" t="str">
        <f>IFERROR(INDEX(VFD_Power_Profiles,MATCH($Q10,Lookups!$AT$27:$AT$36,0),MATCH('3.3.2 VFD Improvements'!AM$8,Lookups!$AU$6:$BE$6,0)),"")</f>
        <v/>
      </c>
      <c r="AN10" s="169" t="str">
        <f>IFERROR(INDEX(VFD_Power_Profiles,MATCH($Q10,Lookups!$AT$27:$AT$36,0),MATCH('3.3.2 VFD Improvements'!AN$8,Lookups!$AU$6:$BE$6,0)),"")</f>
        <v/>
      </c>
      <c r="AO10" s="124" t="str">
        <f>IFERROR(INDEX(VFD_Power_Profiles,MATCH($R10,Lookups!$AT$27:$AT$34,0),MATCH('3.3.2 VFD Improvements'!AO$8,Lookups!$AU$6:$BE$6,0)),"")</f>
        <v/>
      </c>
      <c r="AP10" s="121" t="str">
        <f>IFERROR(INDEX(VFD_Power_Profiles,MATCH($R10,Lookups!$AT$27:$AT$34,0),MATCH('3.3.2 VFD Improvements'!AP$8,Lookups!$AU$6:$BE$6,0)),"")</f>
        <v/>
      </c>
      <c r="AQ10" s="121" t="str">
        <f>IFERROR(INDEX(VFD_Power_Profiles,MATCH($R10,Lookups!$AT$27:$AT$34,0),MATCH('3.3.2 VFD Improvements'!AQ$8,Lookups!$AU$6:$BE$6,0)),"")</f>
        <v/>
      </c>
      <c r="AR10" s="121" t="str">
        <f>IFERROR(INDEX(VFD_Power_Profiles,MATCH($R10,Lookups!$AT$27:$AT$34,0),MATCH('3.3.2 VFD Improvements'!AR$8,Lookups!$AU$6:$BE$6,0)),"")</f>
        <v/>
      </c>
      <c r="AS10" s="121" t="str">
        <f>IFERROR(INDEX(VFD_Power_Profiles,MATCH($R10,Lookups!$AT$27:$AT$34,0),MATCH('3.3.2 VFD Improvements'!AS$8,Lookups!$AU$6:$BE$6,0)),"")</f>
        <v/>
      </c>
      <c r="AT10" s="121" t="str">
        <f>IFERROR(INDEX(VFD_Power_Profiles,MATCH($R10,Lookups!$AT$27:$AT$34,0),MATCH('3.3.2 VFD Improvements'!AT$8,Lookups!$AU$6:$BE$6,0)),"")</f>
        <v/>
      </c>
      <c r="AU10" s="121" t="str">
        <f>IFERROR(INDEX(VFD_Power_Profiles,MATCH($R10,Lookups!$AT$27:$AT$34,0),MATCH('3.3.2 VFD Improvements'!AU$8,Lookups!$AU$6:$BE$6,0)),"")</f>
        <v/>
      </c>
      <c r="AV10" s="121" t="str">
        <f>IFERROR(INDEX(VFD_Power_Profiles,MATCH($R10,Lookups!$AT$27:$AT$34,0),MATCH('3.3.2 VFD Improvements'!AV$8,Lookups!$AU$6:$BE$6,0)),"")</f>
        <v/>
      </c>
      <c r="AW10" s="121" t="str">
        <f>IFERROR(INDEX(VFD_Power_Profiles,MATCH($R10,Lookups!$AT$27:$AT$34,0),MATCH('3.3.2 VFD Improvements'!AW$8,Lookups!$AU$6:$BE$6,0)),"")</f>
        <v/>
      </c>
      <c r="AX10" s="121" t="str">
        <f>IFERROR(INDEX(VFD_Power_Profiles,MATCH($R10,Lookups!$AT$27:$AT$34,0),MATCH('3.3.2 VFD Improvements'!AX$8,Lookups!$AU$6:$BE$6,0)),"")</f>
        <v/>
      </c>
      <c r="AY10" s="169" t="str">
        <f>IFERROR(INDEX(VFD_Power_Profiles,MATCH($R10,Lookups!$AT$27:$AT$34,0),MATCH('3.3.2 VFD Improvements'!AY$8,Lookups!$AU$6:$BE$6,0)),"")</f>
        <v/>
      </c>
      <c r="AZ10" s="122" t="str">
        <f t="shared" si="0"/>
        <v>N/A</v>
      </c>
      <c r="BA10" s="123" t="str">
        <f t="shared" ref="BA10:BA19" si="5">IFERROR(IF(L10&gt;0,L10,K10),"")</f>
        <v/>
      </c>
      <c r="BB10" s="169" t="str">
        <f t="shared" ref="BB10:BB19" si="6">IFERROR(I10*BA10*0.746/J10,"")</f>
        <v/>
      </c>
      <c r="BC10" s="124" t="str">
        <f t="shared" ref="BC10:BC19" si="7">IFERROR(BB10*INDEX(AD10:AN10,,MATCH(P10,$AD$8:$AN$8,0)),"")</f>
        <v/>
      </c>
      <c r="BD10" s="125" t="str">
        <f t="shared" si="1"/>
        <v/>
      </c>
      <c r="BE10" s="124" t="str">
        <f t="shared" ref="BE10:BE19" si="8">IFERROR(BB10*INDEX(AO10:AY10,,MATCH(P10,$AO$8:$AY$8,0)),"")</f>
        <v/>
      </c>
      <c r="BF10" s="125" t="str">
        <f t="shared" si="2"/>
        <v/>
      </c>
      <c r="BG10" s="280" t="str">
        <f>IFERROR(ROUND(BB10-BE10,6),"")</f>
        <v/>
      </c>
      <c r="BH10" s="277" t="str">
        <f>IFERROR(ROUND(BC10-BE10,6),"")</f>
        <v/>
      </c>
      <c r="BI10" s="278" t="str">
        <f>IFERROR(ROUND(BD10-BF10,4),"")</f>
        <v/>
      </c>
      <c r="BJ10" s="242" t="str">
        <f>IFERROR(_xlfn.XLOOKUP(F10,Lookups!$B$7:$B$13,Lookups!$F$7:$F$13),"")</f>
        <v/>
      </c>
      <c r="BK10" s="242">
        <f t="shared" ref="BK10:BK18" si="9">IF(BI10="",0,I10*BJ10)</f>
        <v>0</v>
      </c>
      <c r="BL10" s="14"/>
      <c r="BM10" s="14"/>
    </row>
    <row r="11" spans="1:65" x14ac:dyDescent="0.25">
      <c r="A11" s="11"/>
      <c r="B11" s="112">
        <v>2</v>
      </c>
      <c r="C11" s="17"/>
      <c r="D11" s="61"/>
      <c r="E11" s="61"/>
      <c r="F11" s="19"/>
      <c r="G11" s="53"/>
      <c r="H11" s="18"/>
      <c r="I11" s="18"/>
      <c r="J11" s="240" t="str">
        <f>IFERROR(VLOOKUP(I11, Lookups!$G$10:$O$37, 4, FALSE), "")</f>
        <v/>
      </c>
      <c r="K11" s="166" t="str">
        <f>IFERROR(IF(OR(ISNUMBER(SEARCH("Process",F11)),C11="Other"),"ENTER Load Factor →",VLOOKUP(F11,Lookups!$B$7:$E$11,4,FALSE)),"")</f>
        <v/>
      </c>
      <c r="L11" s="164"/>
      <c r="M11" s="122" t="str">
        <f>IFERROR(IF(OR(ISNUMBER(SEARCH("Process",F11)),C11="Other"),"ENTER Run Hours →",INDEX(Motor_HOU,MATCH(CONCATENATE(D11," ",C11),Lookups!$AA$7:$AA$152,0),MATCH(F11,Lookups!$AB$6:$AF$6,0))),"N/A")</f>
        <v>N/A</v>
      </c>
      <c r="N11" s="182"/>
      <c r="O11" s="149"/>
      <c r="P11" s="63"/>
      <c r="Q11" s="150"/>
      <c r="R11" s="143" t="str">
        <f>IFERROR(VLOOKUP(F11,Lookups!$B$7:$D$13,3,FALSE),"")</f>
        <v/>
      </c>
      <c r="S11" s="144" t="str">
        <f>IFERROR(INDEX(VFD_Load_Profiles,MATCH($O11,Lookups!$AT$7:$AT$18,0),MATCH('3.3.2 VFD Improvements'!S$8,Lookups!$AU$6:$BE$6,0)),"")</f>
        <v/>
      </c>
      <c r="T11" s="144" t="str">
        <f>IFERROR(INDEX(VFD_Load_Profiles,MATCH($O11,Lookups!$AT$7:$AT$18,0),MATCH('3.3.2 VFD Improvements'!T$8,Lookups!$AU$6:$BE$6,0)),"")</f>
        <v/>
      </c>
      <c r="U11" s="144" t="str">
        <f>IFERROR(INDEX(VFD_Load_Profiles,MATCH($O11,Lookups!$AT$7:$AT$18,0),MATCH('3.3.2 VFD Improvements'!U$8,Lookups!$AU$6:$BE$6,0)),"")</f>
        <v/>
      </c>
      <c r="V11" s="144" t="str">
        <f>IFERROR(INDEX(VFD_Load_Profiles,MATCH($O11,Lookups!$AT$7:$AT$18,0),MATCH('3.3.2 VFD Improvements'!V$8,Lookups!$AU$6:$BE$6,0)),"")</f>
        <v/>
      </c>
      <c r="W11" s="144" t="str">
        <f>IFERROR(INDEX(VFD_Load_Profiles,MATCH($O11,Lookups!$AT$7:$AT$18,0),MATCH('3.3.2 VFD Improvements'!W$8,Lookups!$AU$6:$BE$6,0)),"")</f>
        <v/>
      </c>
      <c r="X11" s="144" t="str">
        <f>IFERROR(INDEX(VFD_Load_Profiles,MATCH($O11,Lookups!$AT$7:$AT$18,0),MATCH('3.3.2 VFD Improvements'!X$8,Lookups!$AU$6:$BE$6,0)),"")</f>
        <v/>
      </c>
      <c r="Y11" s="144" t="str">
        <f>IFERROR(INDEX(VFD_Load_Profiles,MATCH($O11,Lookups!$AT$7:$AT$18,0),MATCH('3.3.2 VFD Improvements'!Y$8,Lookups!$AU$6:$BE$6,0)),"")</f>
        <v/>
      </c>
      <c r="Z11" s="144" t="str">
        <f>IFERROR(INDEX(VFD_Load_Profiles,MATCH($O11,Lookups!$AT$7:$AT$18,0),MATCH('3.3.2 VFD Improvements'!Z$8,Lookups!$AU$6:$BE$6,0)),"")</f>
        <v/>
      </c>
      <c r="AA11" s="144" t="str">
        <f>IFERROR(INDEX(VFD_Load_Profiles,MATCH($O11,Lookups!$AT$7:$AT$18,0),MATCH('3.3.2 VFD Improvements'!AA$8,Lookups!$AU$6:$BE$6,0)),"")</f>
        <v/>
      </c>
      <c r="AB11" s="144" t="str">
        <f>IFERROR(INDEX(VFD_Load_Profiles,MATCH($O11,Lookups!$AT$7:$AT$18,0),MATCH('3.3.2 VFD Improvements'!AB$8,Lookups!$AU$6:$BE$6,0)),"")</f>
        <v/>
      </c>
      <c r="AC11" s="145" t="str">
        <f>IFERROR(INDEX(VFD_Load_Profiles,MATCH($O11,Lookups!$AT$7:$AT$18,0),MATCH('3.3.2 VFD Improvements'!AC$8,Lookups!$AU$6:$BE$6,0)),"")</f>
        <v/>
      </c>
      <c r="AD11" s="124" t="str">
        <f>IFERROR(INDEX(VFD_Power_Profiles,MATCH($Q11,Lookups!$AT$27:$AT$36,0),MATCH('3.3.2 VFD Improvements'!AD$8,Lookups!$AU$6:$BE$6,0)),"")</f>
        <v/>
      </c>
      <c r="AE11" s="121" t="str">
        <f>IFERROR(INDEX(VFD_Power_Profiles,MATCH($Q11,Lookups!$AT$27:$AT$36,0),MATCH('3.3.2 VFD Improvements'!AE$8,Lookups!$AU$6:$BE$6,0)),"")</f>
        <v/>
      </c>
      <c r="AF11" s="121" t="str">
        <f>IFERROR(INDEX(VFD_Power_Profiles,MATCH($Q11,Lookups!$AT$27:$AT$36,0),MATCH('3.3.2 VFD Improvements'!AF$8,Lookups!$AU$6:$BE$6,0)),"")</f>
        <v/>
      </c>
      <c r="AG11" s="121" t="str">
        <f>IFERROR(INDEX(VFD_Power_Profiles,MATCH($Q11,Lookups!$AT$27:$AT$36,0),MATCH('3.3.2 VFD Improvements'!AG$8,Lookups!$AU$6:$BE$6,0)),"")</f>
        <v/>
      </c>
      <c r="AH11" s="121" t="str">
        <f>IFERROR(INDEX(VFD_Power_Profiles,MATCH($Q11,Lookups!$AT$27:$AT$36,0),MATCH('3.3.2 VFD Improvements'!AH$8,Lookups!$AU$6:$BE$6,0)),"")</f>
        <v/>
      </c>
      <c r="AI11" s="121" t="str">
        <f>IFERROR(INDEX(VFD_Power_Profiles,MATCH($Q11,Lookups!$AT$27:$AT$36,0),MATCH('3.3.2 VFD Improvements'!AI$8,Lookups!$AU$6:$BE$6,0)),"")</f>
        <v/>
      </c>
      <c r="AJ11" s="121" t="str">
        <f>IFERROR(INDEX(VFD_Power_Profiles,MATCH($Q11,Lookups!$AT$27:$AT$36,0),MATCH('3.3.2 VFD Improvements'!AJ$8,Lookups!$AU$6:$BE$6,0)),"")</f>
        <v/>
      </c>
      <c r="AK11" s="121" t="str">
        <f>IFERROR(INDEX(VFD_Power_Profiles,MATCH($Q11,Lookups!$AT$27:$AT$36,0),MATCH('3.3.2 VFD Improvements'!AK$8,Lookups!$AU$6:$BE$6,0)),"")</f>
        <v/>
      </c>
      <c r="AL11" s="121" t="str">
        <f>IFERROR(INDEX(VFD_Power_Profiles,MATCH($Q11,Lookups!$AT$27:$AT$36,0),MATCH('3.3.2 VFD Improvements'!AL$8,Lookups!$AU$6:$BE$6,0)),"")</f>
        <v/>
      </c>
      <c r="AM11" s="121" t="str">
        <f>IFERROR(INDEX(VFD_Power_Profiles,MATCH($Q11,Lookups!$AT$27:$AT$36,0),MATCH('3.3.2 VFD Improvements'!AM$8,Lookups!$AU$6:$BE$6,0)),"")</f>
        <v/>
      </c>
      <c r="AN11" s="169" t="str">
        <f>IFERROR(INDEX(VFD_Power_Profiles,MATCH($Q11,Lookups!$AT$27:$AT$36,0),MATCH('3.3.2 VFD Improvements'!AN$8,Lookups!$AU$6:$BE$6,0)),"")</f>
        <v/>
      </c>
      <c r="AO11" s="124" t="str">
        <f>IFERROR(INDEX(VFD_Power_Profiles,MATCH($R11,Lookups!$AT$27:$AT$34,0),MATCH('3.3.2 VFD Improvements'!AO$8,Lookups!$AU$6:$BE$6,0)),"")</f>
        <v/>
      </c>
      <c r="AP11" s="121" t="str">
        <f>IFERROR(INDEX(VFD_Power_Profiles,MATCH($R11,Lookups!$AT$27:$AT$34,0),MATCH('3.3.2 VFD Improvements'!AP$8,Lookups!$AU$6:$BE$6,0)),"")</f>
        <v/>
      </c>
      <c r="AQ11" s="121" t="str">
        <f>IFERROR(INDEX(VFD_Power_Profiles,MATCH($R11,Lookups!$AT$27:$AT$34,0),MATCH('3.3.2 VFD Improvements'!AQ$8,Lookups!$AU$6:$BE$6,0)),"")</f>
        <v/>
      </c>
      <c r="AR11" s="121" t="str">
        <f>IFERROR(INDEX(VFD_Power_Profiles,MATCH($R11,Lookups!$AT$27:$AT$34,0),MATCH('3.3.2 VFD Improvements'!AR$8,Lookups!$AU$6:$BE$6,0)),"")</f>
        <v/>
      </c>
      <c r="AS11" s="121" t="str">
        <f>IFERROR(INDEX(VFD_Power_Profiles,MATCH($R11,Lookups!$AT$27:$AT$34,0),MATCH('3.3.2 VFD Improvements'!AS$8,Lookups!$AU$6:$BE$6,0)),"")</f>
        <v/>
      </c>
      <c r="AT11" s="121" t="str">
        <f>IFERROR(INDEX(VFD_Power_Profiles,MATCH($R11,Lookups!$AT$27:$AT$34,0),MATCH('3.3.2 VFD Improvements'!AT$8,Lookups!$AU$6:$BE$6,0)),"")</f>
        <v/>
      </c>
      <c r="AU11" s="121" t="str">
        <f>IFERROR(INDEX(VFD_Power_Profiles,MATCH($R11,Lookups!$AT$27:$AT$34,0),MATCH('3.3.2 VFD Improvements'!AU$8,Lookups!$AU$6:$BE$6,0)),"")</f>
        <v/>
      </c>
      <c r="AV11" s="121" t="str">
        <f>IFERROR(INDEX(VFD_Power_Profiles,MATCH($R11,Lookups!$AT$27:$AT$34,0),MATCH('3.3.2 VFD Improvements'!AV$8,Lookups!$AU$6:$BE$6,0)),"")</f>
        <v/>
      </c>
      <c r="AW11" s="121" t="str">
        <f>IFERROR(INDEX(VFD_Power_Profiles,MATCH($R11,Lookups!$AT$27:$AT$34,0),MATCH('3.3.2 VFD Improvements'!AW$8,Lookups!$AU$6:$BE$6,0)),"")</f>
        <v/>
      </c>
      <c r="AX11" s="121" t="str">
        <f>IFERROR(INDEX(VFD_Power_Profiles,MATCH($R11,Lookups!$AT$27:$AT$34,0),MATCH('3.3.2 VFD Improvements'!AX$8,Lookups!$AU$6:$BE$6,0)),"")</f>
        <v/>
      </c>
      <c r="AY11" s="169" t="str">
        <f>IFERROR(INDEX(VFD_Power_Profiles,MATCH($R11,Lookups!$AT$27:$AT$34,0),MATCH('3.3.2 VFD Improvements'!AY$8,Lookups!$AU$6:$BE$6,0)),"")</f>
        <v/>
      </c>
      <c r="AZ11" s="122" t="str">
        <f t="shared" si="0"/>
        <v>N/A</v>
      </c>
      <c r="BA11" s="123" t="str">
        <f t="shared" si="5"/>
        <v/>
      </c>
      <c r="BB11" s="169" t="str">
        <f t="shared" si="6"/>
        <v/>
      </c>
      <c r="BC11" s="124" t="str">
        <f t="shared" si="7"/>
        <v/>
      </c>
      <c r="BD11" s="125" t="str">
        <f t="shared" si="1"/>
        <v/>
      </c>
      <c r="BE11" s="124" t="str">
        <f t="shared" si="8"/>
        <v/>
      </c>
      <c r="BF11" s="125" t="str">
        <f t="shared" si="2"/>
        <v/>
      </c>
      <c r="BG11" s="280" t="str">
        <f t="shared" ref="BG11:BG19" si="10">IFERROR(ROUND(BB11-BE11,6),"")</f>
        <v/>
      </c>
      <c r="BH11" s="277" t="str">
        <f t="shared" ref="BH11:BH19" si="11">IFERROR(ROUND(BC11-BE11,6),"")</f>
        <v/>
      </c>
      <c r="BI11" s="278" t="str">
        <f t="shared" ref="BI11:BI19" si="12">IFERROR(ROUND(BD11-BF11,4),"")</f>
        <v/>
      </c>
      <c r="BJ11" s="242" t="str">
        <f>IFERROR(_xlfn.XLOOKUP(F11,Lookups!$B$7:$B$13,Lookups!$F$7:$F$13),"")</f>
        <v/>
      </c>
      <c r="BK11" s="242">
        <f t="shared" si="9"/>
        <v>0</v>
      </c>
      <c r="BL11" s="14"/>
      <c r="BM11" s="14"/>
    </row>
    <row r="12" spans="1:65" x14ac:dyDescent="0.25">
      <c r="A12" s="11"/>
      <c r="B12" s="112">
        <v>3</v>
      </c>
      <c r="C12" s="17"/>
      <c r="D12" s="61"/>
      <c r="E12" s="61"/>
      <c r="F12" s="19"/>
      <c r="G12" s="53"/>
      <c r="H12" s="18"/>
      <c r="I12" s="18"/>
      <c r="J12" s="240" t="str">
        <f>IFERROR(VLOOKUP(I12, Lookups!$G$10:$O$37, 4, FALSE), "")</f>
        <v/>
      </c>
      <c r="K12" s="166" t="str">
        <f>IFERROR(IF(OR(ISNUMBER(SEARCH("Process",F12)),C12="Other"),"ENTER Load Factor →",VLOOKUP(F12,Lookups!$B$7:$E$11,4,FALSE)),"")</f>
        <v/>
      </c>
      <c r="L12" s="164"/>
      <c r="M12" s="122" t="str">
        <f>IFERROR(IF(OR(ISNUMBER(SEARCH("Process",F12)),C12="Other"),"ENTER Run Hours →",INDEX(Motor_HOU,MATCH(CONCATENATE(D12," ",C12),Lookups!$AA$7:$AA$152,0),MATCH(F12,Lookups!$AB$6:$AF$6,0))),"N/A")</f>
        <v>N/A</v>
      </c>
      <c r="N12" s="182"/>
      <c r="O12" s="149"/>
      <c r="P12" s="63"/>
      <c r="Q12" s="150"/>
      <c r="R12" s="143" t="str">
        <f>IFERROR(VLOOKUP(F12,Lookups!$B$7:$D$13,3,FALSE),"")</f>
        <v/>
      </c>
      <c r="S12" s="144" t="str">
        <f>IFERROR(INDEX(VFD_Load_Profiles,MATCH($O12,Lookups!$AT$7:$AT$18,0),MATCH('3.3.2 VFD Improvements'!S$8,Lookups!$AU$6:$BE$6,0)),"")</f>
        <v/>
      </c>
      <c r="T12" s="144" t="str">
        <f>IFERROR(INDEX(VFD_Load_Profiles,MATCH($O12,Lookups!$AT$7:$AT$18,0),MATCH('3.3.2 VFD Improvements'!T$8,Lookups!$AU$6:$BE$6,0)),"")</f>
        <v/>
      </c>
      <c r="U12" s="144" t="str">
        <f>IFERROR(INDEX(VFD_Load_Profiles,MATCH($O12,Lookups!$AT$7:$AT$18,0),MATCH('3.3.2 VFD Improvements'!U$8,Lookups!$AU$6:$BE$6,0)),"")</f>
        <v/>
      </c>
      <c r="V12" s="144" t="str">
        <f>IFERROR(INDEX(VFD_Load_Profiles,MATCH($O12,Lookups!$AT$7:$AT$18,0),MATCH('3.3.2 VFD Improvements'!V$8,Lookups!$AU$6:$BE$6,0)),"")</f>
        <v/>
      </c>
      <c r="W12" s="144" t="str">
        <f>IFERROR(INDEX(VFD_Load_Profiles,MATCH($O12,Lookups!$AT$7:$AT$18,0),MATCH('3.3.2 VFD Improvements'!W$8,Lookups!$AU$6:$BE$6,0)),"")</f>
        <v/>
      </c>
      <c r="X12" s="144" t="str">
        <f>IFERROR(INDEX(VFD_Load_Profiles,MATCH($O12,Lookups!$AT$7:$AT$18,0),MATCH('3.3.2 VFD Improvements'!X$8,Lookups!$AU$6:$BE$6,0)),"")</f>
        <v/>
      </c>
      <c r="Y12" s="144" t="str">
        <f>IFERROR(INDEX(VFD_Load_Profiles,MATCH($O12,Lookups!$AT$7:$AT$18,0),MATCH('3.3.2 VFD Improvements'!Y$8,Lookups!$AU$6:$BE$6,0)),"")</f>
        <v/>
      </c>
      <c r="Z12" s="144" t="str">
        <f>IFERROR(INDEX(VFD_Load_Profiles,MATCH($O12,Lookups!$AT$7:$AT$18,0),MATCH('3.3.2 VFD Improvements'!Z$8,Lookups!$AU$6:$BE$6,0)),"")</f>
        <v/>
      </c>
      <c r="AA12" s="144" t="str">
        <f>IFERROR(INDEX(VFD_Load_Profiles,MATCH($O12,Lookups!$AT$7:$AT$18,0),MATCH('3.3.2 VFD Improvements'!AA$8,Lookups!$AU$6:$BE$6,0)),"")</f>
        <v/>
      </c>
      <c r="AB12" s="144" t="str">
        <f>IFERROR(INDEX(VFD_Load_Profiles,MATCH($O12,Lookups!$AT$7:$AT$18,0),MATCH('3.3.2 VFD Improvements'!AB$8,Lookups!$AU$6:$BE$6,0)),"")</f>
        <v/>
      </c>
      <c r="AC12" s="145" t="str">
        <f>IFERROR(INDEX(VFD_Load_Profiles,MATCH($O12,Lookups!$AT$7:$AT$18,0),MATCH('3.3.2 VFD Improvements'!AC$8,Lookups!$AU$6:$BE$6,0)),"")</f>
        <v/>
      </c>
      <c r="AD12" s="124" t="str">
        <f>IFERROR(INDEX(VFD_Power_Profiles,MATCH($Q12,Lookups!$AT$27:$AT$36,0),MATCH('3.3.2 VFD Improvements'!AD$8,Lookups!$AU$6:$BE$6,0)),"")</f>
        <v/>
      </c>
      <c r="AE12" s="121" t="str">
        <f>IFERROR(INDEX(VFD_Power_Profiles,MATCH($Q12,Lookups!$AT$27:$AT$36,0),MATCH('3.3.2 VFD Improvements'!AE$8,Lookups!$AU$6:$BE$6,0)),"")</f>
        <v/>
      </c>
      <c r="AF12" s="121" t="str">
        <f>IFERROR(INDEX(VFD_Power_Profiles,MATCH($Q12,Lookups!$AT$27:$AT$36,0),MATCH('3.3.2 VFD Improvements'!AF$8,Lookups!$AU$6:$BE$6,0)),"")</f>
        <v/>
      </c>
      <c r="AG12" s="121" t="str">
        <f>IFERROR(INDEX(VFD_Power_Profiles,MATCH($Q12,Lookups!$AT$27:$AT$36,0),MATCH('3.3.2 VFD Improvements'!AG$8,Lookups!$AU$6:$BE$6,0)),"")</f>
        <v/>
      </c>
      <c r="AH12" s="121" t="str">
        <f>IFERROR(INDEX(VFD_Power_Profiles,MATCH($Q12,Lookups!$AT$27:$AT$36,0),MATCH('3.3.2 VFD Improvements'!AH$8,Lookups!$AU$6:$BE$6,0)),"")</f>
        <v/>
      </c>
      <c r="AI12" s="121" t="str">
        <f>IFERROR(INDEX(VFD_Power_Profiles,MATCH($Q12,Lookups!$AT$27:$AT$36,0),MATCH('3.3.2 VFD Improvements'!AI$8,Lookups!$AU$6:$BE$6,0)),"")</f>
        <v/>
      </c>
      <c r="AJ12" s="121" t="str">
        <f>IFERROR(INDEX(VFD_Power_Profiles,MATCH($Q12,Lookups!$AT$27:$AT$36,0),MATCH('3.3.2 VFD Improvements'!AJ$8,Lookups!$AU$6:$BE$6,0)),"")</f>
        <v/>
      </c>
      <c r="AK12" s="121" t="str">
        <f>IFERROR(INDEX(VFD_Power_Profiles,MATCH($Q12,Lookups!$AT$27:$AT$36,0),MATCH('3.3.2 VFD Improvements'!AK$8,Lookups!$AU$6:$BE$6,0)),"")</f>
        <v/>
      </c>
      <c r="AL12" s="121" t="str">
        <f>IFERROR(INDEX(VFD_Power_Profiles,MATCH($Q12,Lookups!$AT$27:$AT$36,0),MATCH('3.3.2 VFD Improvements'!AL$8,Lookups!$AU$6:$BE$6,0)),"")</f>
        <v/>
      </c>
      <c r="AM12" s="121" t="str">
        <f>IFERROR(INDEX(VFD_Power_Profiles,MATCH($Q12,Lookups!$AT$27:$AT$36,0),MATCH('3.3.2 VFD Improvements'!AM$8,Lookups!$AU$6:$BE$6,0)),"")</f>
        <v/>
      </c>
      <c r="AN12" s="169" t="str">
        <f>IFERROR(INDEX(VFD_Power_Profiles,MATCH($Q12,Lookups!$AT$27:$AT$36,0),MATCH('3.3.2 VFD Improvements'!AN$8,Lookups!$AU$6:$BE$6,0)),"")</f>
        <v/>
      </c>
      <c r="AO12" s="124" t="str">
        <f>IFERROR(INDEX(VFD_Power_Profiles,MATCH($R12,Lookups!$AT$27:$AT$34,0),MATCH('3.3.2 VFD Improvements'!AO$8,Lookups!$AU$6:$BE$6,0)),"")</f>
        <v/>
      </c>
      <c r="AP12" s="121" t="str">
        <f>IFERROR(INDEX(VFD_Power_Profiles,MATCH($R12,Lookups!$AT$27:$AT$34,0),MATCH('3.3.2 VFD Improvements'!AP$8,Lookups!$AU$6:$BE$6,0)),"")</f>
        <v/>
      </c>
      <c r="AQ12" s="121" t="str">
        <f>IFERROR(INDEX(VFD_Power_Profiles,MATCH($R12,Lookups!$AT$27:$AT$34,0),MATCH('3.3.2 VFD Improvements'!AQ$8,Lookups!$AU$6:$BE$6,0)),"")</f>
        <v/>
      </c>
      <c r="AR12" s="121" t="str">
        <f>IFERROR(INDEX(VFD_Power_Profiles,MATCH($R12,Lookups!$AT$27:$AT$34,0),MATCH('3.3.2 VFD Improvements'!AR$8,Lookups!$AU$6:$BE$6,0)),"")</f>
        <v/>
      </c>
      <c r="AS12" s="121" t="str">
        <f>IFERROR(INDEX(VFD_Power_Profiles,MATCH($R12,Lookups!$AT$27:$AT$34,0),MATCH('3.3.2 VFD Improvements'!AS$8,Lookups!$AU$6:$BE$6,0)),"")</f>
        <v/>
      </c>
      <c r="AT12" s="121" t="str">
        <f>IFERROR(INDEX(VFD_Power_Profiles,MATCH($R12,Lookups!$AT$27:$AT$34,0),MATCH('3.3.2 VFD Improvements'!AT$8,Lookups!$AU$6:$BE$6,0)),"")</f>
        <v/>
      </c>
      <c r="AU12" s="121" t="str">
        <f>IFERROR(INDEX(VFD_Power_Profiles,MATCH($R12,Lookups!$AT$27:$AT$34,0),MATCH('3.3.2 VFD Improvements'!AU$8,Lookups!$AU$6:$BE$6,0)),"")</f>
        <v/>
      </c>
      <c r="AV12" s="121" t="str">
        <f>IFERROR(INDEX(VFD_Power_Profiles,MATCH($R12,Lookups!$AT$27:$AT$34,0),MATCH('3.3.2 VFD Improvements'!AV$8,Lookups!$AU$6:$BE$6,0)),"")</f>
        <v/>
      </c>
      <c r="AW12" s="121" t="str">
        <f>IFERROR(INDEX(VFD_Power_Profiles,MATCH($R12,Lookups!$AT$27:$AT$34,0),MATCH('3.3.2 VFD Improvements'!AW$8,Lookups!$AU$6:$BE$6,0)),"")</f>
        <v/>
      </c>
      <c r="AX12" s="121" t="str">
        <f>IFERROR(INDEX(VFD_Power_Profiles,MATCH($R12,Lookups!$AT$27:$AT$34,0),MATCH('3.3.2 VFD Improvements'!AX$8,Lookups!$AU$6:$BE$6,0)),"")</f>
        <v/>
      </c>
      <c r="AY12" s="169" t="str">
        <f>IFERROR(INDEX(VFD_Power_Profiles,MATCH($R12,Lookups!$AT$27:$AT$34,0),MATCH('3.3.2 VFD Improvements'!AY$8,Lookups!$AU$6:$BE$6,0)),"")</f>
        <v/>
      </c>
      <c r="AZ12" s="122" t="str">
        <f t="shared" si="0"/>
        <v>N/A</v>
      </c>
      <c r="BA12" s="123" t="str">
        <f t="shared" si="5"/>
        <v/>
      </c>
      <c r="BB12" s="169" t="str">
        <f t="shared" si="6"/>
        <v/>
      </c>
      <c r="BC12" s="124" t="str">
        <f t="shared" si="7"/>
        <v/>
      </c>
      <c r="BD12" s="125" t="str">
        <f t="shared" si="1"/>
        <v/>
      </c>
      <c r="BE12" s="124" t="str">
        <f t="shared" si="8"/>
        <v/>
      </c>
      <c r="BF12" s="125" t="str">
        <f t="shared" si="2"/>
        <v/>
      </c>
      <c r="BG12" s="280" t="str">
        <f t="shared" si="10"/>
        <v/>
      </c>
      <c r="BH12" s="277" t="str">
        <f t="shared" si="11"/>
        <v/>
      </c>
      <c r="BI12" s="278" t="str">
        <f t="shared" si="12"/>
        <v/>
      </c>
      <c r="BJ12" s="242" t="str">
        <f>IFERROR(_xlfn.XLOOKUP(F12,Lookups!$B$7:$B$13,Lookups!$F$7:$F$13),"")</f>
        <v/>
      </c>
      <c r="BK12" s="242">
        <f t="shared" si="9"/>
        <v>0</v>
      </c>
      <c r="BL12" s="14"/>
      <c r="BM12" s="14"/>
    </row>
    <row r="13" spans="1:65" x14ac:dyDescent="0.25">
      <c r="A13" s="11"/>
      <c r="B13" s="112">
        <v>4</v>
      </c>
      <c r="C13" s="17"/>
      <c r="D13" s="61"/>
      <c r="E13" s="61"/>
      <c r="F13" s="19"/>
      <c r="G13" s="53"/>
      <c r="H13" s="18"/>
      <c r="I13" s="18"/>
      <c r="J13" s="240" t="str">
        <f>IFERROR(VLOOKUP(I13, Lookups!$G$10:$O$37, 4, FALSE), "")</f>
        <v/>
      </c>
      <c r="K13" s="166" t="str">
        <f>IFERROR(IF(OR(ISNUMBER(SEARCH("Process",F13)),C13="Other"),"ENTER Load Factor →",VLOOKUP(F13,Lookups!$B$7:$E$11,4,FALSE)),"")</f>
        <v/>
      </c>
      <c r="L13" s="164"/>
      <c r="M13" s="122" t="str">
        <f>IFERROR(IF(OR(ISNUMBER(SEARCH("Process",F13)),C13="Other"),"ENTER Run Hours →",INDEX(Motor_HOU,MATCH(CONCATENATE(D13," ",C13),Lookups!$AA$7:$AA$152,0),MATCH(F13,Lookups!$AB$6:$AF$6,0))),"N/A")</f>
        <v>N/A</v>
      </c>
      <c r="N13" s="182"/>
      <c r="O13" s="149"/>
      <c r="P13" s="63"/>
      <c r="Q13" s="150"/>
      <c r="R13" s="143" t="str">
        <f>IFERROR(VLOOKUP(F13,Lookups!$B$7:$D$13,3,FALSE),"")</f>
        <v/>
      </c>
      <c r="S13" s="144" t="str">
        <f>IFERROR(INDEX(VFD_Load_Profiles,MATCH($O13,Lookups!$AT$7:$AT$18,0),MATCH('3.3.2 VFD Improvements'!S$8,Lookups!$AU$6:$BE$6,0)),"")</f>
        <v/>
      </c>
      <c r="T13" s="144" t="str">
        <f>IFERROR(INDEX(VFD_Load_Profiles,MATCH($O13,Lookups!$AT$7:$AT$18,0),MATCH('3.3.2 VFD Improvements'!T$8,Lookups!$AU$6:$BE$6,0)),"")</f>
        <v/>
      </c>
      <c r="U13" s="144" t="str">
        <f>IFERROR(INDEX(VFD_Load_Profiles,MATCH($O13,Lookups!$AT$7:$AT$18,0),MATCH('3.3.2 VFD Improvements'!U$8,Lookups!$AU$6:$BE$6,0)),"")</f>
        <v/>
      </c>
      <c r="V13" s="144" t="str">
        <f>IFERROR(INDEX(VFD_Load_Profiles,MATCH($O13,Lookups!$AT$7:$AT$18,0),MATCH('3.3.2 VFD Improvements'!V$8,Lookups!$AU$6:$BE$6,0)),"")</f>
        <v/>
      </c>
      <c r="W13" s="144" t="str">
        <f>IFERROR(INDEX(VFD_Load_Profiles,MATCH($O13,Lookups!$AT$7:$AT$18,0),MATCH('3.3.2 VFD Improvements'!W$8,Lookups!$AU$6:$BE$6,0)),"")</f>
        <v/>
      </c>
      <c r="X13" s="144" t="str">
        <f>IFERROR(INDEX(VFD_Load_Profiles,MATCH($O13,Lookups!$AT$7:$AT$18,0),MATCH('3.3.2 VFD Improvements'!X$8,Lookups!$AU$6:$BE$6,0)),"")</f>
        <v/>
      </c>
      <c r="Y13" s="144" t="str">
        <f>IFERROR(INDEX(VFD_Load_Profiles,MATCH($O13,Lookups!$AT$7:$AT$18,0),MATCH('3.3.2 VFD Improvements'!Y$8,Lookups!$AU$6:$BE$6,0)),"")</f>
        <v/>
      </c>
      <c r="Z13" s="144" t="str">
        <f>IFERROR(INDEX(VFD_Load_Profiles,MATCH($O13,Lookups!$AT$7:$AT$18,0),MATCH('3.3.2 VFD Improvements'!Z$8,Lookups!$AU$6:$BE$6,0)),"")</f>
        <v/>
      </c>
      <c r="AA13" s="144" t="str">
        <f>IFERROR(INDEX(VFD_Load_Profiles,MATCH($O13,Lookups!$AT$7:$AT$18,0),MATCH('3.3.2 VFD Improvements'!AA$8,Lookups!$AU$6:$BE$6,0)),"")</f>
        <v/>
      </c>
      <c r="AB13" s="144" t="str">
        <f>IFERROR(INDEX(VFD_Load_Profiles,MATCH($O13,Lookups!$AT$7:$AT$18,0),MATCH('3.3.2 VFD Improvements'!AB$8,Lookups!$AU$6:$BE$6,0)),"")</f>
        <v/>
      </c>
      <c r="AC13" s="145" t="str">
        <f>IFERROR(INDEX(VFD_Load_Profiles,MATCH($O13,Lookups!$AT$7:$AT$18,0),MATCH('3.3.2 VFD Improvements'!AC$8,Lookups!$AU$6:$BE$6,0)),"")</f>
        <v/>
      </c>
      <c r="AD13" s="124" t="str">
        <f>IFERROR(INDEX(VFD_Power_Profiles,MATCH($Q13,Lookups!$AT$27:$AT$36,0),MATCH('3.3.2 VFD Improvements'!AD$8,Lookups!$AU$6:$BE$6,0)),"")</f>
        <v/>
      </c>
      <c r="AE13" s="121" t="str">
        <f>IFERROR(INDEX(VFD_Power_Profiles,MATCH($Q13,Lookups!$AT$27:$AT$36,0),MATCH('3.3.2 VFD Improvements'!AE$8,Lookups!$AU$6:$BE$6,0)),"")</f>
        <v/>
      </c>
      <c r="AF13" s="121" t="str">
        <f>IFERROR(INDEX(VFD_Power_Profiles,MATCH($Q13,Lookups!$AT$27:$AT$36,0),MATCH('3.3.2 VFD Improvements'!AF$8,Lookups!$AU$6:$BE$6,0)),"")</f>
        <v/>
      </c>
      <c r="AG13" s="121" t="str">
        <f>IFERROR(INDEX(VFD_Power_Profiles,MATCH($Q13,Lookups!$AT$27:$AT$36,0),MATCH('3.3.2 VFD Improvements'!AG$8,Lookups!$AU$6:$BE$6,0)),"")</f>
        <v/>
      </c>
      <c r="AH13" s="121" t="str">
        <f>IFERROR(INDEX(VFD_Power_Profiles,MATCH($Q13,Lookups!$AT$27:$AT$36,0),MATCH('3.3.2 VFD Improvements'!AH$8,Lookups!$AU$6:$BE$6,0)),"")</f>
        <v/>
      </c>
      <c r="AI13" s="121" t="str">
        <f>IFERROR(INDEX(VFD_Power_Profiles,MATCH($Q13,Lookups!$AT$27:$AT$36,0),MATCH('3.3.2 VFD Improvements'!AI$8,Lookups!$AU$6:$BE$6,0)),"")</f>
        <v/>
      </c>
      <c r="AJ13" s="121" t="str">
        <f>IFERROR(INDEX(VFD_Power_Profiles,MATCH($Q13,Lookups!$AT$27:$AT$36,0),MATCH('3.3.2 VFD Improvements'!AJ$8,Lookups!$AU$6:$BE$6,0)),"")</f>
        <v/>
      </c>
      <c r="AK13" s="121" t="str">
        <f>IFERROR(INDEX(VFD_Power_Profiles,MATCH($Q13,Lookups!$AT$27:$AT$36,0),MATCH('3.3.2 VFD Improvements'!AK$8,Lookups!$AU$6:$BE$6,0)),"")</f>
        <v/>
      </c>
      <c r="AL13" s="121" t="str">
        <f>IFERROR(INDEX(VFD_Power_Profiles,MATCH($Q13,Lookups!$AT$27:$AT$36,0),MATCH('3.3.2 VFD Improvements'!AL$8,Lookups!$AU$6:$BE$6,0)),"")</f>
        <v/>
      </c>
      <c r="AM13" s="121" t="str">
        <f>IFERROR(INDEX(VFD_Power_Profiles,MATCH($Q13,Lookups!$AT$27:$AT$36,0),MATCH('3.3.2 VFD Improvements'!AM$8,Lookups!$AU$6:$BE$6,0)),"")</f>
        <v/>
      </c>
      <c r="AN13" s="169" t="str">
        <f>IFERROR(INDEX(VFD_Power_Profiles,MATCH($Q13,Lookups!$AT$27:$AT$36,0),MATCH('3.3.2 VFD Improvements'!AN$8,Lookups!$AU$6:$BE$6,0)),"")</f>
        <v/>
      </c>
      <c r="AO13" s="124" t="str">
        <f>IFERROR(INDEX(VFD_Power_Profiles,MATCH($R13,Lookups!$AT$27:$AT$34,0),MATCH('3.3.2 VFD Improvements'!AO$8,Lookups!$AU$6:$BE$6,0)),"")</f>
        <v/>
      </c>
      <c r="AP13" s="121" t="str">
        <f>IFERROR(INDEX(VFD_Power_Profiles,MATCH($R13,Lookups!$AT$27:$AT$34,0),MATCH('3.3.2 VFD Improvements'!AP$8,Lookups!$AU$6:$BE$6,0)),"")</f>
        <v/>
      </c>
      <c r="AQ13" s="121" t="str">
        <f>IFERROR(INDEX(VFD_Power_Profiles,MATCH($R13,Lookups!$AT$27:$AT$34,0),MATCH('3.3.2 VFD Improvements'!AQ$8,Lookups!$AU$6:$BE$6,0)),"")</f>
        <v/>
      </c>
      <c r="AR13" s="121" t="str">
        <f>IFERROR(INDEX(VFD_Power_Profiles,MATCH($R13,Lookups!$AT$27:$AT$34,0),MATCH('3.3.2 VFD Improvements'!AR$8,Lookups!$AU$6:$BE$6,0)),"")</f>
        <v/>
      </c>
      <c r="AS13" s="121" t="str">
        <f>IFERROR(INDEX(VFD_Power_Profiles,MATCH($R13,Lookups!$AT$27:$AT$34,0),MATCH('3.3.2 VFD Improvements'!AS$8,Lookups!$AU$6:$BE$6,0)),"")</f>
        <v/>
      </c>
      <c r="AT13" s="121" t="str">
        <f>IFERROR(INDEX(VFD_Power_Profiles,MATCH($R13,Lookups!$AT$27:$AT$34,0),MATCH('3.3.2 VFD Improvements'!AT$8,Lookups!$AU$6:$BE$6,0)),"")</f>
        <v/>
      </c>
      <c r="AU13" s="121" t="str">
        <f>IFERROR(INDEX(VFD_Power_Profiles,MATCH($R13,Lookups!$AT$27:$AT$34,0),MATCH('3.3.2 VFD Improvements'!AU$8,Lookups!$AU$6:$BE$6,0)),"")</f>
        <v/>
      </c>
      <c r="AV13" s="121" t="str">
        <f>IFERROR(INDEX(VFD_Power_Profiles,MATCH($R13,Lookups!$AT$27:$AT$34,0),MATCH('3.3.2 VFD Improvements'!AV$8,Lookups!$AU$6:$BE$6,0)),"")</f>
        <v/>
      </c>
      <c r="AW13" s="121" t="str">
        <f>IFERROR(INDEX(VFD_Power_Profiles,MATCH($R13,Lookups!$AT$27:$AT$34,0),MATCH('3.3.2 VFD Improvements'!AW$8,Lookups!$AU$6:$BE$6,0)),"")</f>
        <v/>
      </c>
      <c r="AX13" s="121" t="str">
        <f>IFERROR(INDEX(VFD_Power_Profiles,MATCH($R13,Lookups!$AT$27:$AT$34,0),MATCH('3.3.2 VFD Improvements'!AX$8,Lookups!$AU$6:$BE$6,0)),"")</f>
        <v/>
      </c>
      <c r="AY13" s="169" t="str">
        <f>IFERROR(INDEX(VFD_Power_Profiles,MATCH($R13,Lookups!$AT$27:$AT$34,0),MATCH('3.3.2 VFD Improvements'!AY$8,Lookups!$AU$6:$BE$6,0)),"")</f>
        <v/>
      </c>
      <c r="AZ13" s="122" t="str">
        <f t="shared" si="0"/>
        <v>N/A</v>
      </c>
      <c r="BA13" s="123" t="str">
        <f t="shared" si="5"/>
        <v/>
      </c>
      <c r="BB13" s="169" t="str">
        <f t="shared" si="6"/>
        <v/>
      </c>
      <c r="BC13" s="124" t="str">
        <f t="shared" si="7"/>
        <v/>
      </c>
      <c r="BD13" s="125" t="str">
        <f t="shared" si="1"/>
        <v/>
      </c>
      <c r="BE13" s="124" t="str">
        <f t="shared" si="8"/>
        <v/>
      </c>
      <c r="BF13" s="125" t="str">
        <f t="shared" si="2"/>
        <v/>
      </c>
      <c r="BG13" s="280" t="str">
        <f t="shared" si="10"/>
        <v/>
      </c>
      <c r="BH13" s="277" t="str">
        <f t="shared" si="11"/>
        <v/>
      </c>
      <c r="BI13" s="278" t="str">
        <f t="shared" si="12"/>
        <v/>
      </c>
      <c r="BJ13" s="242" t="str">
        <f>IFERROR(_xlfn.XLOOKUP(F13,Lookups!$B$7:$B$13,Lookups!$F$7:$F$13),"")</f>
        <v/>
      </c>
      <c r="BK13" s="242">
        <f t="shared" si="9"/>
        <v>0</v>
      </c>
      <c r="BL13" s="14"/>
      <c r="BM13" s="14"/>
    </row>
    <row r="14" spans="1:65" x14ac:dyDescent="0.25">
      <c r="A14" s="11"/>
      <c r="B14" s="112">
        <v>5</v>
      </c>
      <c r="C14" s="17"/>
      <c r="D14" s="61"/>
      <c r="E14" s="61"/>
      <c r="F14" s="19"/>
      <c r="G14" s="53"/>
      <c r="H14" s="18"/>
      <c r="I14" s="18"/>
      <c r="J14" s="240" t="str">
        <f>IFERROR(VLOOKUP(I14, Lookups!$G$10:$O$37, 4, FALSE), "")</f>
        <v/>
      </c>
      <c r="K14" s="166" t="str">
        <f>IFERROR(IF(OR(ISNUMBER(SEARCH("Process",F14)),C14="Other"),"ENTER Load Factor →",VLOOKUP(F14,Lookups!$B$7:$E$11,4,FALSE)),"")</f>
        <v/>
      </c>
      <c r="L14" s="164"/>
      <c r="M14" s="122" t="str">
        <f>IFERROR(IF(OR(ISNUMBER(SEARCH("Process",F14)),C14="Other"),"ENTER Run Hours →",INDEX(Motor_HOU,MATCH(CONCATENATE(D14," ",C14),Lookups!$AA$7:$AA$152,0),MATCH(F14,Lookups!$AB$6:$AF$6,0))),"N/A")</f>
        <v>N/A</v>
      </c>
      <c r="N14" s="182"/>
      <c r="O14" s="149"/>
      <c r="P14" s="63"/>
      <c r="Q14" s="150"/>
      <c r="R14" s="143" t="str">
        <f>IFERROR(VLOOKUP(F14,Lookups!$B$7:$D$13,3,FALSE),"")</f>
        <v/>
      </c>
      <c r="S14" s="144" t="str">
        <f>IFERROR(INDEX(VFD_Load_Profiles,MATCH($O14,Lookups!$AT$7:$AT$18,0),MATCH('3.3.2 VFD Improvements'!S$8,Lookups!$AU$6:$BE$6,0)),"")</f>
        <v/>
      </c>
      <c r="T14" s="144" t="str">
        <f>IFERROR(INDEX(VFD_Load_Profiles,MATCH($O14,Lookups!$AT$7:$AT$18,0),MATCH('3.3.2 VFD Improvements'!T$8,Lookups!$AU$6:$BE$6,0)),"")</f>
        <v/>
      </c>
      <c r="U14" s="144" t="str">
        <f>IFERROR(INDEX(VFD_Load_Profiles,MATCH($O14,Lookups!$AT$7:$AT$18,0),MATCH('3.3.2 VFD Improvements'!U$8,Lookups!$AU$6:$BE$6,0)),"")</f>
        <v/>
      </c>
      <c r="V14" s="144" t="str">
        <f>IFERROR(INDEX(VFD_Load_Profiles,MATCH($O14,Lookups!$AT$7:$AT$18,0),MATCH('3.3.2 VFD Improvements'!V$8,Lookups!$AU$6:$BE$6,0)),"")</f>
        <v/>
      </c>
      <c r="W14" s="144" t="str">
        <f>IFERROR(INDEX(VFD_Load_Profiles,MATCH($O14,Lookups!$AT$7:$AT$18,0),MATCH('3.3.2 VFD Improvements'!W$8,Lookups!$AU$6:$BE$6,0)),"")</f>
        <v/>
      </c>
      <c r="X14" s="144" t="str">
        <f>IFERROR(INDEX(VFD_Load_Profiles,MATCH($O14,Lookups!$AT$7:$AT$18,0),MATCH('3.3.2 VFD Improvements'!X$8,Lookups!$AU$6:$BE$6,0)),"")</f>
        <v/>
      </c>
      <c r="Y14" s="144" t="str">
        <f>IFERROR(INDEX(VFD_Load_Profiles,MATCH($O14,Lookups!$AT$7:$AT$18,0),MATCH('3.3.2 VFD Improvements'!Y$8,Lookups!$AU$6:$BE$6,0)),"")</f>
        <v/>
      </c>
      <c r="Z14" s="144" t="str">
        <f>IFERROR(INDEX(VFD_Load_Profiles,MATCH($O14,Lookups!$AT$7:$AT$18,0),MATCH('3.3.2 VFD Improvements'!Z$8,Lookups!$AU$6:$BE$6,0)),"")</f>
        <v/>
      </c>
      <c r="AA14" s="144" t="str">
        <f>IFERROR(INDEX(VFD_Load_Profiles,MATCH($O14,Lookups!$AT$7:$AT$18,0),MATCH('3.3.2 VFD Improvements'!AA$8,Lookups!$AU$6:$BE$6,0)),"")</f>
        <v/>
      </c>
      <c r="AB14" s="144" t="str">
        <f>IFERROR(INDEX(VFD_Load_Profiles,MATCH($O14,Lookups!$AT$7:$AT$18,0),MATCH('3.3.2 VFD Improvements'!AB$8,Lookups!$AU$6:$BE$6,0)),"")</f>
        <v/>
      </c>
      <c r="AC14" s="145" t="str">
        <f>IFERROR(INDEX(VFD_Load_Profiles,MATCH($O14,Lookups!$AT$7:$AT$18,0),MATCH('3.3.2 VFD Improvements'!AC$8,Lookups!$AU$6:$BE$6,0)),"")</f>
        <v/>
      </c>
      <c r="AD14" s="124" t="str">
        <f>IFERROR(INDEX(VFD_Power_Profiles,MATCH($Q14,Lookups!$AT$27:$AT$36,0),MATCH('3.3.2 VFD Improvements'!AD$8,Lookups!$AU$6:$BE$6,0)),"")</f>
        <v/>
      </c>
      <c r="AE14" s="121" t="str">
        <f>IFERROR(INDEX(VFD_Power_Profiles,MATCH($Q14,Lookups!$AT$27:$AT$36,0),MATCH('3.3.2 VFD Improvements'!AE$8,Lookups!$AU$6:$BE$6,0)),"")</f>
        <v/>
      </c>
      <c r="AF14" s="121" t="str">
        <f>IFERROR(INDEX(VFD_Power_Profiles,MATCH($Q14,Lookups!$AT$27:$AT$36,0),MATCH('3.3.2 VFD Improvements'!AF$8,Lookups!$AU$6:$BE$6,0)),"")</f>
        <v/>
      </c>
      <c r="AG14" s="121" t="str">
        <f>IFERROR(INDEX(VFD_Power_Profiles,MATCH($Q14,Lookups!$AT$27:$AT$36,0),MATCH('3.3.2 VFD Improvements'!AG$8,Lookups!$AU$6:$BE$6,0)),"")</f>
        <v/>
      </c>
      <c r="AH14" s="121" t="str">
        <f>IFERROR(INDEX(VFD_Power_Profiles,MATCH($Q14,Lookups!$AT$27:$AT$36,0),MATCH('3.3.2 VFD Improvements'!AH$8,Lookups!$AU$6:$BE$6,0)),"")</f>
        <v/>
      </c>
      <c r="AI14" s="121" t="str">
        <f>IFERROR(INDEX(VFD_Power_Profiles,MATCH($Q14,Lookups!$AT$27:$AT$36,0),MATCH('3.3.2 VFD Improvements'!AI$8,Lookups!$AU$6:$BE$6,0)),"")</f>
        <v/>
      </c>
      <c r="AJ14" s="121" t="str">
        <f>IFERROR(INDEX(VFD_Power_Profiles,MATCH($Q14,Lookups!$AT$27:$AT$36,0),MATCH('3.3.2 VFD Improvements'!AJ$8,Lookups!$AU$6:$BE$6,0)),"")</f>
        <v/>
      </c>
      <c r="AK14" s="121" t="str">
        <f>IFERROR(INDEX(VFD_Power_Profiles,MATCH($Q14,Lookups!$AT$27:$AT$36,0),MATCH('3.3.2 VFD Improvements'!AK$8,Lookups!$AU$6:$BE$6,0)),"")</f>
        <v/>
      </c>
      <c r="AL14" s="121" t="str">
        <f>IFERROR(INDEX(VFD_Power_Profiles,MATCH($Q14,Lookups!$AT$27:$AT$36,0),MATCH('3.3.2 VFD Improvements'!AL$8,Lookups!$AU$6:$BE$6,0)),"")</f>
        <v/>
      </c>
      <c r="AM14" s="121" t="str">
        <f>IFERROR(INDEX(VFD_Power_Profiles,MATCH($Q14,Lookups!$AT$27:$AT$36,0),MATCH('3.3.2 VFD Improvements'!AM$8,Lookups!$AU$6:$BE$6,0)),"")</f>
        <v/>
      </c>
      <c r="AN14" s="169" t="str">
        <f>IFERROR(INDEX(VFD_Power_Profiles,MATCH($Q14,Lookups!$AT$27:$AT$36,0),MATCH('3.3.2 VFD Improvements'!AN$8,Lookups!$AU$6:$BE$6,0)),"")</f>
        <v/>
      </c>
      <c r="AO14" s="124" t="str">
        <f>IFERROR(INDEX(VFD_Power_Profiles,MATCH($R14,Lookups!$AT$27:$AT$34,0),MATCH('3.3.2 VFD Improvements'!AO$8,Lookups!$AU$6:$BE$6,0)),"")</f>
        <v/>
      </c>
      <c r="AP14" s="121" t="str">
        <f>IFERROR(INDEX(VFD_Power_Profiles,MATCH($R14,Lookups!$AT$27:$AT$34,0),MATCH('3.3.2 VFD Improvements'!AP$8,Lookups!$AU$6:$BE$6,0)),"")</f>
        <v/>
      </c>
      <c r="AQ14" s="121" t="str">
        <f>IFERROR(INDEX(VFD_Power_Profiles,MATCH($R14,Lookups!$AT$27:$AT$34,0),MATCH('3.3.2 VFD Improvements'!AQ$8,Lookups!$AU$6:$BE$6,0)),"")</f>
        <v/>
      </c>
      <c r="AR14" s="121" t="str">
        <f>IFERROR(INDEX(VFD_Power_Profiles,MATCH($R14,Lookups!$AT$27:$AT$34,0),MATCH('3.3.2 VFD Improvements'!AR$8,Lookups!$AU$6:$BE$6,0)),"")</f>
        <v/>
      </c>
      <c r="AS14" s="121" t="str">
        <f>IFERROR(INDEX(VFD_Power_Profiles,MATCH($R14,Lookups!$AT$27:$AT$34,0),MATCH('3.3.2 VFD Improvements'!AS$8,Lookups!$AU$6:$BE$6,0)),"")</f>
        <v/>
      </c>
      <c r="AT14" s="121" t="str">
        <f>IFERROR(INDEX(VFD_Power_Profiles,MATCH($R14,Lookups!$AT$27:$AT$34,0),MATCH('3.3.2 VFD Improvements'!AT$8,Lookups!$AU$6:$BE$6,0)),"")</f>
        <v/>
      </c>
      <c r="AU14" s="121" t="str">
        <f>IFERROR(INDEX(VFD_Power_Profiles,MATCH($R14,Lookups!$AT$27:$AT$34,0),MATCH('3.3.2 VFD Improvements'!AU$8,Lookups!$AU$6:$BE$6,0)),"")</f>
        <v/>
      </c>
      <c r="AV14" s="121" t="str">
        <f>IFERROR(INDEX(VFD_Power_Profiles,MATCH($R14,Lookups!$AT$27:$AT$34,0),MATCH('3.3.2 VFD Improvements'!AV$8,Lookups!$AU$6:$BE$6,0)),"")</f>
        <v/>
      </c>
      <c r="AW14" s="121" t="str">
        <f>IFERROR(INDEX(VFD_Power_Profiles,MATCH($R14,Lookups!$AT$27:$AT$34,0),MATCH('3.3.2 VFD Improvements'!AW$8,Lookups!$AU$6:$BE$6,0)),"")</f>
        <v/>
      </c>
      <c r="AX14" s="121" t="str">
        <f>IFERROR(INDEX(VFD_Power_Profiles,MATCH($R14,Lookups!$AT$27:$AT$34,0),MATCH('3.3.2 VFD Improvements'!AX$8,Lookups!$AU$6:$BE$6,0)),"")</f>
        <v/>
      </c>
      <c r="AY14" s="169" t="str">
        <f>IFERROR(INDEX(VFD_Power_Profiles,MATCH($R14,Lookups!$AT$27:$AT$34,0),MATCH('3.3.2 VFD Improvements'!AY$8,Lookups!$AU$6:$BE$6,0)),"")</f>
        <v/>
      </c>
      <c r="AZ14" s="122" t="str">
        <f t="shared" si="0"/>
        <v>N/A</v>
      </c>
      <c r="BA14" s="123" t="str">
        <f t="shared" si="5"/>
        <v/>
      </c>
      <c r="BB14" s="169" t="str">
        <f t="shared" si="6"/>
        <v/>
      </c>
      <c r="BC14" s="124" t="str">
        <f t="shared" si="7"/>
        <v/>
      </c>
      <c r="BD14" s="125" t="str">
        <f t="shared" si="1"/>
        <v/>
      </c>
      <c r="BE14" s="124" t="str">
        <f t="shared" si="8"/>
        <v/>
      </c>
      <c r="BF14" s="125" t="str">
        <f t="shared" si="2"/>
        <v/>
      </c>
      <c r="BG14" s="280" t="str">
        <f t="shared" si="10"/>
        <v/>
      </c>
      <c r="BH14" s="277" t="str">
        <f t="shared" si="11"/>
        <v/>
      </c>
      <c r="BI14" s="278" t="str">
        <f t="shared" si="12"/>
        <v/>
      </c>
      <c r="BJ14" s="242" t="str">
        <f>IFERROR(_xlfn.XLOOKUP(F14,Lookups!$B$7:$B$13,Lookups!$F$7:$F$13),"")</f>
        <v/>
      </c>
      <c r="BK14" s="242">
        <f t="shared" si="9"/>
        <v>0</v>
      </c>
      <c r="BL14" s="14"/>
      <c r="BM14" s="14"/>
    </row>
    <row r="15" spans="1:65" x14ac:dyDescent="0.25">
      <c r="A15" s="11"/>
      <c r="B15" s="112">
        <v>6</v>
      </c>
      <c r="C15" s="17"/>
      <c r="D15" s="61"/>
      <c r="E15" s="61"/>
      <c r="F15" s="19"/>
      <c r="G15" s="53"/>
      <c r="H15" s="18"/>
      <c r="I15" s="18"/>
      <c r="J15" s="240" t="str">
        <f>IFERROR(VLOOKUP(I15, Lookups!$G$10:$O$37, 4, FALSE), "")</f>
        <v/>
      </c>
      <c r="K15" s="166" t="str">
        <f>IFERROR(IF(OR(ISNUMBER(SEARCH("Process",F15)),C15="Other"),"ENTER Load Factor →",VLOOKUP(F15,Lookups!$B$7:$E$11,4,FALSE)),"")</f>
        <v/>
      </c>
      <c r="L15" s="164"/>
      <c r="M15" s="122" t="str">
        <f>IFERROR(IF(OR(ISNUMBER(SEARCH("Process",F15)),C15="Other"),"ENTER Run Hours →",INDEX(Motor_HOU,MATCH(CONCATENATE(D15," ",C15),Lookups!$AA$7:$AA$152,0),MATCH(F15,Lookups!$AB$6:$AF$6,0))),"N/A")</f>
        <v>N/A</v>
      </c>
      <c r="N15" s="182"/>
      <c r="O15" s="149"/>
      <c r="P15" s="63"/>
      <c r="Q15" s="150"/>
      <c r="R15" s="143" t="str">
        <f>IFERROR(VLOOKUP(F15,Lookups!$B$7:$D$13,3,FALSE),"")</f>
        <v/>
      </c>
      <c r="S15" s="144" t="str">
        <f>IFERROR(INDEX(VFD_Load_Profiles,MATCH($O15,Lookups!$AT$7:$AT$18,0),MATCH('3.3.2 VFD Improvements'!S$8,Lookups!$AU$6:$BE$6,0)),"")</f>
        <v/>
      </c>
      <c r="T15" s="144" t="str">
        <f>IFERROR(INDEX(VFD_Load_Profiles,MATCH($O15,Lookups!$AT$7:$AT$18,0),MATCH('3.3.2 VFD Improvements'!T$8,Lookups!$AU$6:$BE$6,0)),"")</f>
        <v/>
      </c>
      <c r="U15" s="144" t="str">
        <f>IFERROR(INDEX(VFD_Load_Profiles,MATCH($O15,Lookups!$AT$7:$AT$18,0),MATCH('3.3.2 VFD Improvements'!U$8,Lookups!$AU$6:$BE$6,0)),"")</f>
        <v/>
      </c>
      <c r="V15" s="144" t="str">
        <f>IFERROR(INDEX(VFD_Load_Profiles,MATCH($O15,Lookups!$AT$7:$AT$18,0),MATCH('3.3.2 VFD Improvements'!V$8,Lookups!$AU$6:$BE$6,0)),"")</f>
        <v/>
      </c>
      <c r="W15" s="144" t="str">
        <f>IFERROR(INDEX(VFD_Load_Profiles,MATCH($O15,Lookups!$AT$7:$AT$18,0),MATCH('3.3.2 VFD Improvements'!W$8,Lookups!$AU$6:$BE$6,0)),"")</f>
        <v/>
      </c>
      <c r="X15" s="144" t="str">
        <f>IFERROR(INDEX(VFD_Load_Profiles,MATCH($O15,Lookups!$AT$7:$AT$18,0),MATCH('3.3.2 VFD Improvements'!X$8,Lookups!$AU$6:$BE$6,0)),"")</f>
        <v/>
      </c>
      <c r="Y15" s="144" t="str">
        <f>IFERROR(INDEX(VFD_Load_Profiles,MATCH($O15,Lookups!$AT$7:$AT$18,0),MATCH('3.3.2 VFD Improvements'!Y$8,Lookups!$AU$6:$BE$6,0)),"")</f>
        <v/>
      </c>
      <c r="Z15" s="144" t="str">
        <f>IFERROR(INDEX(VFD_Load_Profiles,MATCH($O15,Lookups!$AT$7:$AT$18,0),MATCH('3.3.2 VFD Improvements'!Z$8,Lookups!$AU$6:$BE$6,0)),"")</f>
        <v/>
      </c>
      <c r="AA15" s="144" t="str">
        <f>IFERROR(INDEX(VFD_Load_Profiles,MATCH($O15,Lookups!$AT$7:$AT$18,0),MATCH('3.3.2 VFD Improvements'!AA$8,Lookups!$AU$6:$BE$6,0)),"")</f>
        <v/>
      </c>
      <c r="AB15" s="144" t="str">
        <f>IFERROR(INDEX(VFD_Load_Profiles,MATCH($O15,Lookups!$AT$7:$AT$18,0),MATCH('3.3.2 VFD Improvements'!AB$8,Lookups!$AU$6:$BE$6,0)),"")</f>
        <v/>
      </c>
      <c r="AC15" s="145" t="str">
        <f>IFERROR(INDEX(VFD_Load_Profiles,MATCH($O15,Lookups!$AT$7:$AT$18,0),MATCH('3.3.2 VFD Improvements'!AC$8,Lookups!$AU$6:$BE$6,0)),"")</f>
        <v/>
      </c>
      <c r="AD15" s="124" t="str">
        <f>IFERROR(INDEX(VFD_Power_Profiles,MATCH($Q15,Lookups!$AT$27:$AT$36,0),MATCH('3.3.2 VFD Improvements'!AD$8,Lookups!$AU$6:$BE$6,0)),"")</f>
        <v/>
      </c>
      <c r="AE15" s="121" t="str">
        <f>IFERROR(INDEX(VFD_Power_Profiles,MATCH($Q15,Lookups!$AT$27:$AT$36,0),MATCH('3.3.2 VFD Improvements'!AE$8,Lookups!$AU$6:$BE$6,0)),"")</f>
        <v/>
      </c>
      <c r="AF15" s="121" t="str">
        <f>IFERROR(INDEX(VFD_Power_Profiles,MATCH($Q15,Lookups!$AT$27:$AT$36,0),MATCH('3.3.2 VFD Improvements'!AF$8,Lookups!$AU$6:$BE$6,0)),"")</f>
        <v/>
      </c>
      <c r="AG15" s="121" t="str">
        <f>IFERROR(INDEX(VFD_Power_Profiles,MATCH($Q15,Lookups!$AT$27:$AT$36,0),MATCH('3.3.2 VFD Improvements'!AG$8,Lookups!$AU$6:$BE$6,0)),"")</f>
        <v/>
      </c>
      <c r="AH15" s="121" t="str">
        <f>IFERROR(INDEX(VFD_Power_Profiles,MATCH($Q15,Lookups!$AT$27:$AT$36,0),MATCH('3.3.2 VFD Improvements'!AH$8,Lookups!$AU$6:$BE$6,0)),"")</f>
        <v/>
      </c>
      <c r="AI15" s="121" t="str">
        <f>IFERROR(INDEX(VFD_Power_Profiles,MATCH($Q15,Lookups!$AT$27:$AT$36,0),MATCH('3.3.2 VFD Improvements'!AI$8,Lookups!$AU$6:$BE$6,0)),"")</f>
        <v/>
      </c>
      <c r="AJ15" s="121" t="str">
        <f>IFERROR(INDEX(VFD_Power_Profiles,MATCH($Q15,Lookups!$AT$27:$AT$36,0),MATCH('3.3.2 VFD Improvements'!AJ$8,Lookups!$AU$6:$BE$6,0)),"")</f>
        <v/>
      </c>
      <c r="AK15" s="121" t="str">
        <f>IFERROR(INDEX(VFD_Power_Profiles,MATCH($Q15,Lookups!$AT$27:$AT$36,0),MATCH('3.3.2 VFD Improvements'!AK$8,Lookups!$AU$6:$BE$6,0)),"")</f>
        <v/>
      </c>
      <c r="AL15" s="121" t="str">
        <f>IFERROR(INDEX(VFD_Power_Profiles,MATCH($Q15,Lookups!$AT$27:$AT$36,0),MATCH('3.3.2 VFD Improvements'!AL$8,Lookups!$AU$6:$BE$6,0)),"")</f>
        <v/>
      </c>
      <c r="AM15" s="121" t="str">
        <f>IFERROR(INDEX(VFD_Power_Profiles,MATCH($Q15,Lookups!$AT$27:$AT$36,0),MATCH('3.3.2 VFD Improvements'!AM$8,Lookups!$AU$6:$BE$6,0)),"")</f>
        <v/>
      </c>
      <c r="AN15" s="169" t="str">
        <f>IFERROR(INDEX(VFD_Power_Profiles,MATCH($Q15,Lookups!$AT$27:$AT$36,0),MATCH('3.3.2 VFD Improvements'!AN$8,Lookups!$AU$6:$BE$6,0)),"")</f>
        <v/>
      </c>
      <c r="AO15" s="124" t="str">
        <f>IFERROR(INDEX(VFD_Power_Profiles,MATCH($R15,Lookups!$AT$27:$AT$34,0),MATCH('3.3.2 VFD Improvements'!AO$8,Lookups!$AU$6:$BE$6,0)),"")</f>
        <v/>
      </c>
      <c r="AP15" s="121" t="str">
        <f>IFERROR(INDEX(VFD_Power_Profiles,MATCH($R15,Lookups!$AT$27:$AT$34,0),MATCH('3.3.2 VFD Improvements'!AP$8,Lookups!$AU$6:$BE$6,0)),"")</f>
        <v/>
      </c>
      <c r="AQ15" s="121" t="str">
        <f>IFERROR(INDEX(VFD_Power_Profiles,MATCH($R15,Lookups!$AT$27:$AT$34,0),MATCH('3.3.2 VFD Improvements'!AQ$8,Lookups!$AU$6:$BE$6,0)),"")</f>
        <v/>
      </c>
      <c r="AR15" s="121" t="str">
        <f>IFERROR(INDEX(VFD_Power_Profiles,MATCH($R15,Lookups!$AT$27:$AT$34,0),MATCH('3.3.2 VFD Improvements'!AR$8,Lookups!$AU$6:$BE$6,0)),"")</f>
        <v/>
      </c>
      <c r="AS15" s="121" t="str">
        <f>IFERROR(INDEX(VFD_Power_Profiles,MATCH($R15,Lookups!$AT$27:$AT$34,0),MATCH('3.3.2 VFD Improvements'!AS$8,Lookups!$AU$6:$BE$6,0)),"")</f>
        <v/>
      </c>
      <c r="AT15" s="121" t="str">
        <f>IFERROR(INDEX(VFD_Power_Profiles,MATCH($R15,Lookups!$AT$27:$AT$34,0),MATCH('3.3.2 VFD Improvements'!AT$8,Lookups!$AU$6:$BE$6,0)),"")</f>
        <v/>
      </c>
      <c r="AU15" s="121" t="str">
        <f>IFERROR(INDEX(VFD_Power_Profiles,MATCH($R15,Lookups!$AT$27:$AT$34,0),MATCH('3.3.2 VFD Improvements'!AU$8,Lookups!$AU$6:$BE$6,0)),"")</f>
        <v/>
      </c>
      <c r="AV15" s="121" t="str">
        <f>IFERROR(INDEX(VFD_Power_Profiles,MATCH($R15,Lookups!$AT$27:$AT$34,0),MATCH('3.3.2 VFD Improvements'!AV$8,Lookups!$AU$6:$BE$6,0)),"")</f>
        <v/>
      </c>
      <c r="AW15" s="121" t="str">
        <f>IFERROR(INDEX(VFD_Power_Profiles,MATCH($R15,Lookups!$AT$27:$AT$34,0),MATCH('3.3.2 VFD Improvements'!AW$8,Lookups!$AU$6:$BE$6,0)),"")</f>
        <v/>
      </c>
      <c r="AX15" s="121" t="str">
        <f>IFERROR(INDEX(VFD_Power_Profiles,MATCH($R15,Lookups!$AT$27:$AT$34,0),MATCH('3.3.2 VFD Improvements'!AX$8,Lookups!$AU$6:$BE$6,0)),"")</f>
        <v/>
      </c>
      <c r="AY15" s="169" t="str">
        <f>IFERROR(INDEX(VFD_Power_Profiles,MATCH($R15,Lookups!$AT$27:$AT$34,0),MATCH('3.3.2 VFD Improvements'!AY$8,Lookups!$AU$6:$BE$6,0)),"")</f>
        <v/>
      </c>
      <c r="AZ15" s="122" t="str">
        <f t="shared" si="0"/>
        <v>N/A</v>
      </c>
      <c r="BA15" s="123" t="str">
        <f t="shared" si="5"/>
        <v/>
      </c>
      <c r="BB15" s="169" t="str">
        <f t="shared" si="6"/>
        <v/>
      </c>
      <c r="BC15" s="124" t="str">
        <f t="shared" si="7"/>
        <v/>
      </c>
      <c r="BD15" s="125" t="str">
        <f t="shared" si="1"/>
        <v/>
      </c>
      <c r="BE15" s="124" t="str">
        <f t="shared" si="8"/>
        <v/>
      </c>
      <c r="BF15" s="125" t="str">
        <f t="shared" si="2"/>
        <v/>
      </c>
      <c r="BG15" s="280" t="str">
        <f t="shared" si="10"/>
        <v/>
      </c>
      <c r="BH15" s="277" t="str">
        <f t="shared" si="11"/>
        <v/>
      </c>
      <c r="BI15" s="278" t="str">
        <f t="shared" si="12"/>
        <v/>
      </c>
      <c r="BJ15" s="242" t="str">
        <f>IFERROR(_xlfn.XLOOKUP(F15,Lookups!$B$7:$B$13,Lookups!$F$7:$F$13),"")</f>
        <v/>
      </c>
      <c r="BK15" s="242">
        <f t="shared" si="9"/>
        <v>0</v>
      </c>
      <c r="BL15" s="14"/>
      <c r="BM15" s="14"/>
    </row>
    <row r="16" spans="1:65" x14ac:dyDescent="0.25">
      <c r="A16" s="11"/>
      <c r="B16" s="112">
        <v>7</v>
      </c>
      <c r="C16" s="17"/>
      <c r="D16" s="61"/>
      <c r="E16" s="61"/>
      <c r="F16" s="19"/>
      <c r="G16" s="53"/>
      <c r="H16" s="18"/>
      <c r="I16" s="18"/>
      <c r="J16" s="240" t="str">
        <f>IFERROR(VLOOKUP(I16, Lookups!$G$10:$O$37, 4, FALSE), "")</f>
        <v/>
      </c>
      <c r="K16" s="166" t="str">
        <f>IFERROR(IF(OR(ISNUMBER(SEARCH("Process",F16)),C16="Other"),"ENTER Load Factor →",VLOOKUP(F16,Lookups!$B$7:$E$11,4,FALSE)),"")</f>
        <v/>
      </c>
      <c r="L16" s="164"/>
      <c r="M16" s="122" t="str">
        <f>IFERROR(IF(OR(ISNUMBER(SEARCH("Process",F16)),C16="Other"),"ENTER Run Hours →",INDEX(Motor_HOU,MATCH(CONCATENATE(D16," ",C16),Lookups!$AA$7:$AA$152,0),MATCH(F16,Lookups!$AB$6:$AF$6,0))),"N/A")</f>
        <v>N/A</v>
      </c>
      <c r="N16" s="182"/>
      <c r="O16" s="149"/>
      <c r="P16" s="63"/>
      <c r="Q16" s="150"/>
      <c r="R16" s="143" t="str">
        <f>IFERROR(VLOOKUP(F16,Lookups!$B$7:$D$13,3,FALSE),"")</f>
        <v/>
      </c>
      <c r="S16" s="144" t="str">
        <f>IFERROR(INDEX(VFD_Load_Profiles,MATCH($O16,Lookups!$AT$7:$AT$18,0),MATCH('3.3.2 VFD Improvements'!S$8,Lookups!$AU$6:$BE$6,0)),"")</f>
        <v/>
      </c>
      <c r="T16" s="144" t="str">
        <f>IFERROR(INDEX(VFD_Load_Profiles,MATCH($O16,Lookups!$AT$7:$AT$18,0),MATCH('3.3.2 VFD Improvements'!T$8,Lookups!$AU$6:$BE$6,0)),"")</f>
        <v/>
      </c>
      <c r="U16" s="144" t="str">
        <f>IFERROR(INDEX(VFD_Load_Profiles,MATCH($O16,Lookups!$AT$7:$AT$18,0),MATCH('3.3.2 VFD Improvements'!U$8,Lookups!$AU$6:$BE$6,0)),"")</f>
        <v/>
      </c>
      <c r="V16" s="144" t="str">
        <f>IFERROR(INDEX(VFD_Load_Profiles,MATCH($O16,Lookups!$AT$7:$AT$18,0),MATCH('3.3.2 VFD Improvements'!V$8,Lookups!$AU$6:$BE$6,0)),"")</f>
        <v/>
      </c>
      <c r="W16" s="144" t="str">
        <f>IFERROR(INDEX(VFD_Load_Profiles,MATCH($O16,Lookups!$AT$7:$AT$18,0),MATCH('3.3.2 VFD Improvements'!W$8,Lookups!$AU$6:$BE$6,0)),"")</f>
        <v/>
      </c>
      <c r="X16" s="144" t="str">
        <f>IFERROR(INDEX(VFD_Load_Profiles,MATCH($O16,Lookups!$AT$7:$AT$18,0),MATCH('3.3.2 VFD Improvements'!X$8,Lookups!$AU$6:$BE$6,0)),"")</f>
        <v/>
      </c>
      <c r="Y16" s="144" t="str">
        <f>IFERROR(INDEX(VFD_Load_Profiles,MATCH($O16,Lookups!$AT$7:$AT$18,0),MATCH('3.3.2 VFD Improvements'!Y$8,Lookups!$AU$6:$BE$6,0)),"")</f>
        <v/>
      </c>
      <c r="Z16" s="144" t="str">
        <f>IFERROR(INDEX(VFD_Load_Profiles,MATCH($O16,Lookups!$AT$7:$AT$18,0),MATCH('3.3.2 VFD Improvements'!Z$8,Lookups!$AU$6:$BE$6,0)),"")</f>
        <v/>
      </c>
      <c r="AA16" s="144" t="str">
        <f>IFERROR(INDEX(VFD_Load_Profiles,MATCH($O16,Lookups!$AT$7:$AT$18,0),MATCH('3.3.2 VFD Improvements'!AA$8,Lookups!$AU$6:$BE$6,0)),"")</f>
        <v/>
      </c>
      <c r="AB16" s="144" t="str">
        <f>IFERROR(INDEX(VFD_Load_Profiles,MATCH($O16,Lookups!$AT$7:$AT$18,0),MATCH('3.3.2 VFD Improvements'!AB$8,Lookups!$AU$6:$BE$6,0)),"")</f>
        <v/>
      </c>
      <c r="AC16" s="145" t="str">
        <f>IFERROR(INDEX(VFD_Load_Profiles,MATCH($O16,Lookups!$AT$7:$AT$18,0),MATCH('3.3.2 VFD Improvements'!AC$8,Lookups!$AU$6:$BE$6,0)),"")</f>
        <v/>
      </c>
      <c r="AD16" s="124" t="str">
        <f>IFERROR(INDEX(VFD_Power_Profiles,MATCH($Q16,Lookups!$AT$27:$AT$36,0),MATCH('3.3.2 VFD Improvements'!AD$8,Lookups!$AU$6:$BE$6,0)),"")</f>
        <v/>
      </c>
      <c r="AE16" s="121" t="str">
        <f>IFERROR(INDEX(VFD_Power_Profiles,MATCH($Q16,Lookups!$AT$27:$AT$36,0),MATCH('3.3.2 VFD Improvements'!AE$8,Lookups!$AU$6:$BE$6,0)),"")</f>
        <v/>
      </c>
      <c r="AF16" s="121" t="str">
        <f>IFERROR(INDEX(VFD_Power_Profiles,MATCH($Q16,Lookups!$AT$27:$AT$36,0),MATCH('3.3.2 VFD Improvements'!AF$8,Lookups!$AU$6:$BE$6,0)),"")</f>
        <v/>
      </c>
      <c r="AG16" s="121" t="str">
        <f>IFERROR(INDEX(VFD_Power_Profiles,MATCH($Q16,Lookups!$AT$27:$AT$36,0),MATCH('3.3.2 VFD Improvements'!AG$8,Lookups!$AU$6:$BE$6,0)),"")</f>
        <v/>
      </c>
      <c r="AH16" s="121" t="str">
        <f>IFERROR(INDEX(VFD_Power_Profiles,MATCH($Q16,Lookups!$AT$27:$AT$36,0),MATCH('3.3.2 VFD Improvements'!AH$8,Lookups!$AU$6:$BE$6,0)),"")</f>
        <v/>
      </c>
      <c r="AI16" s="121" t="str">
        <f>IFERROR(INDEX(VFD_Power_Profiles,MATCH($Q16,Lookups!$AT$27:$AT$36,0),MATCH('3.3.2 VFD Improvements'!AI$8,Lookups!$AU$6:$BE$6,0)),"")</f>
        <v/>
      </c>
      <c r="AJ16" s="121" t="str">
        <f>IFERROR(INDEX(VFD_Power_Profiles,MATCH($Q16,Lookups!$AT$27:$AT$36,0),MATCH('3.3.2 VFD Improvements'!AJ$8,Lookups!$AU$6:$BE$6,0)),"")</f>
        <v/>
      </c>
      <c r="AK16" s="121" t="str">
        <f>IFERROR(INDEX(VFD_Power_Profiles,MATCH($Q16,Lookups!$AT$27:$AT$36,0),MATCH('3.3.2 VFD Improvements'!AK$8,Lookups!$AU$6:$BE$6,0)),"")</f>
        <v/>
      </c>
      <c r="AL16" s="121" t="str">
        <f>IFERROR(INDEX(VFD_Power_Profiles,MATCH($Q16,Lookups!$AT$27:$AT$36,0),MATCH('3.3.2 VFD Improvements'!AL$8,Lookups!$AU$6:$BE$6,0)),"")</f>
        <v/>
      </c>
      <c r="AM16" s="121" t="str">
        <f>IFERROR(INDEX(VFD_Power_Profiles,MATCH($Q16,Lookups!$AT$27:$AT$36,0),MATCH('3.3.2 VFD Improvements'!AM$8,Lookups!$AU$6:$BE$6,0)),"")</f>
        <v/>
      </c>
      <c r="AN16" s="169" t="str">
        <f>IFERROR(INDEX(VFD_Power_Profiles,MATCH($Q16,Lookups!$AT$27:$AT$36,0),MATCH('3.3.2 VFD Improvements'!AN$8,Lookups!$AU$6:$BE$6,0)),"")</f>
        <v/>
      </c>
      <c r="AO16" s="124" t="str">
        <f>IFERROR(INDEX(VFD_Power_Profiles,MATCH($R16,Lookups!$AT$27:$AT$34,0),MATCH('3.3.2 VFD Improvements'!AO$8,Lookups!$AU$6:$BE$6,0)),"")</f>
        <v/>
      </c>
      <c r="AP16" s="121" t="str">
        <f>IFERROR(INDEX(VFD_Power_Profiles,MATCH($R16,Lookups!$AT$27:$AT$34,0),MATCH('3.3.2 VFD Improvements'!AP$8,Lookups!$AU$6:$BE$6,0)),"")</f>
        <v/>
      </c>
      <c r="AQ16" s="121" t="str">
        <f>IFERROR(INDEX(VFD_Power_Profiles,MATCH($R16,Lookups!$AT$27:$AT$34,0),MATCH('3.3.2 VFD Improvements'!AQ$8,Lookups!$AU$6:$BE$6,0)),"")</f>
        <v/>
      </c>
      <c r="AR16" s="121" t="str">
        <f>IFERROR(INDEX(VFD_Power_Profiles,MATCH($R16,Lookups!$AT$27:$AT$34,0),MATCH('3.3.2 VFD Improvements'!AR$8,Lookups!$AU$6:$BE$6,0)),"")</f>
        <v/>
      </c>
      <c r="AS16" s="121" t="str">
        <f>IFERROR(INDEX(VFD_Power_Profiles,MATCH($R16,Lookups!$AT$27:$AT$34,0),MATCH('3.3.2 VFD Improvements'!AS$8,Lookups!$AU$6:$BE$6,0)),"")</f>
        <v/>
      </c>
      <c r="AT16" s="121" t="str">
        <f>IFERROR(INDEX(VFD_Power_Profiles,MATCH($R16,Lookups!$AT$27:$AT$34,0),MATCH('3.3.2 VFD Improvements'!AT$8,Lookups!$AU$6:$BE$6,0)),"")</f>
        <v/>
      </c>
      <c r="AU16" s="121" t="str">
        <f>IFERROR(INDEX(VFD_Power_Profiles,MATCH($R16,Lookups!$AT$27:$AT$34,0),MATCH('3.3.2 VFD Improvements'!AU$8,Lookups!$AU$6:$BE$6,0)),"")</f>
        <v/>
      </c>
      <c r="AV16" s="121" t="str">
        <f>IFERROR(INDEX(VFD_Power_Profiles,MATCH($R16,Lookups!$AT$27:$AT$34,0),MATCH('3.3.2 VFD Improvements'!AV$8,Lookups!$AU$6:$BE$6,0)),"")</f>
        <v/>
      </c>
      <c r="AW16" s="121" t="str">
        <f>IFERROR(INDEX(VFD_Power_Profiles,MATCH($R16,Lookups!$AT$27:$AT$34,0),MATCH('3.3.2 VFD Improvements'!AW$8,Lookups!$AU$6:$BE$6,0)),"")</f>
        <v/>
      </c>
      <c r="AX16" s="121" t="str">
        <f>IFERROR(INDEX(VFD_Power_Profiles,MATCH($R16,Lookups!$AT$27:$AT$34,0),MATCH('3.3.2 VFD Improvements'!AX$8,Lookups!$AU$6:$BE$6,0)),"")</f>
        <v/>
      </c>
      <c r="AY16" s="169" t="str">
        <f>IFERROR(INDEX(VFD_Power_Profiles,MATCH($R16,Lookups!$AT$27:$AT$34,0),MATCH('3.3.2 VFD Improvements'!AY$8,Lookups!$AU$6:$BE$6,0)),"")</f>
        <v/>
      </c>
      <c r="AZ16" s="122" t="str">
        <f t="shared" si="0"/>
        <v>N/A</v>
      </c>
      <c r="BA16" s="123" t="str">
        <f t="shared" si="5"/>
        <v/>
      </c>
      <c r="BB16" s="169" t="str">
        <f t="shared" si="6"/>
        <v/>
      </c>
      <c r="BC16" s="124" t="str">
        <f t="shared" si="7"/>
        <v/>
      </c>
      <c r="BD16" s="125" t="str">
        <f t="shared" si="1"/>
        <v/>
      </c>
      <c r="BE16" s="124" t="str">
        <f t="shared" si="8"/>
        <v/>
      </c>
      <c r="BF16" s="125" t="str">
        <f t="shared" si="2"/>
        <v/>
      </c>
      <c r="BG16" s="280" t="str">
        <f t="shared" si="10"/>
        <v/>
      </c>
      <c r="BH16" s="277" t="str">
        <f t="shared" si="11"/>
        <v/>
      </c>
      <c r="BI16" s="278" t="str">
        <f t="shared" si="12"/>
        <v/>
      </c>
      <c r="BJ16" s="242" t="str">
        <f>IFERROR(_xlfn.XLOOKUP(F16,Lookups!$B$7:$B$13,Lookups!$F$7:$F$13),"")</f>
        <v/>
      </c>
      <c r="BK16" s="242">
        <f t="shared" si="9"/>
        <v>0</v>
      </c>
      <c r="BL16" s="14"/>
      <c r="BM16" s="14"/>
    </row>
    <row r="17" spans="1:65" x14ac:dyDescent="0.25">
      <c r="A17" s="11"/>
      <c r="B17" s="112">
        <v>8</v>
      </c>
      <c r="C17" s="17"/>
      <c r="D17" s="61"/>
      <c r="E17" s="61"/>
      <c r="F17" s="19"/>
      <c r="G17" s="53"/>
      <c r="H17" s="18"/>
      <c r="I17" s="18"/>
      <c r="J17" s="240" t="str">
        <f>IFERROR(VLOOKUP(I17, Lookups!$G$10:$O$37, 4, FALSE), "")</f>
        <v/>
      </c>
      <c r="K17" s="166" t="str">
        <f>IFERROR(IF(OR(ISNUMBER(SEARCH("Process",F17)),C17="Other"),"ENTER Load Factor →",VLOOKUP(F17,Lookups!$B$7:$E$11,4,FALSE)),"")</f>
        <v/>
      </c>
      <c r="L17" s="164"/>
      <c r="M17" s="122" t="str">
        <f>IFERROR(IF(OR(ISNUMBER(SEARCH("Process",F17)),C17="Other"),"ENTER Run Hours →",INDEX(Motor_HOU,MATCH(CONCATENATE(D17," ",C17),Lookups!$AA$7:$AA$152,0),MATCH(F17,Lookups!$AB$6:$AF$6,0))),"N/A")</f>
        <v>N/A</v>
      </c>
      <c r="N17" s="182"/>
      <c r="O17" s="149"/>
      <c r="P17" s="63"/>
      <c r="Q17" s="150"/>
      <c r="R17" s="143" t="str">
        <f>IFERROR(VLOOKUP(F17,Lookups!$B$7:$D$13,3,FALSE),"")</f>
        <v/>
      </c>
      <c r="S17" s="144" t="str">
        <f>IFERROR(INDEX(VFD_Load_Profiles,MATCH($O17,Lookups!$AT$7:$AT$18,0),MATCH('3.3.2 VFD Improvements'!S$8,Lookups!$AU$6:$BE$6,0)),"")</f>
        <v/>
      </c>
      <c r="T17" s="144" t="str">
        <f>IFERROR(INDEX(VFD_Load_Profiles,MATCH($O17,Lookups!$AT$7:$AT$18,0),MATCH('3.3.2 VFD Improvements'!T$8,Lookups!$AU$6:$BE$6,0)),"")</f>
        <v/>
      </c>
      <c r="U17" s="144" t="str">
        <f>IFERROR(INDEX(VFD_Load_Profiles,MATCH($O17,Lookups!$AT$7:$AT$18,0),MATCH('3.3.2 VFD Improvements'!U$8,Lookups!$AU$6:$BE$6,0)),"")</f>
        <v/>
      </c>
      <c r="V17" s="144" t="str">
        <f>IFERROR(INDEX(VFD_Load_Profiles,MATCH($O17,Lookups!$AT$7:$AT$18,0),MATCH('3.3.2 VFD Improvements'!V$8,Lookups!$AU$6:$BE$6,0)),"")</f>
        <v/>
      </c>
      <c r="W17" s="144" t="str">
        <f>IFERROR(INDEX(VFD_Load_Profiles,MATCH($O17,Lookups!$AT$7:$AT$18,0),MATCH('3.3.2 VFD Improvements'!W$8,Lookups!$AU$6:$BE$6,0)),"")</f>
        <v/>
      </c>
      <c r="X17" s="144" t="str">
        <f>IFERROR(INDEX(VFD_Load_Profiles,MATCH($O17,Lookups!$AT$7:$AT$18,0),MATCH('3.3.2 VFD Improvements'!X$8,Lookups!$AU$6:$BE$6,0)),"")</f>
        <v/>
      </c>
      <c r="Y17" s="144" t="str">
        <f>IFERROR(INDEX(VFD_Load_Profiles,MATCH($O17,Lookups!$AT$7:$AT$18,0),MATCH('3.3.2 VFD Improvements'!Y$8,Lookups!$AU$6:$BE$6,0)),"")</f>
        <v/>
      </c>
      <c r="Z17" s="144" t="str">
        <f>IFERROR(INDEX(VFD_Load_Profiles,MATCH($O17,Lookups!$AT$7:$AT$18,0),MATCH('3.3.2 VFD Improvements'!Z$8,Lookups!$AU$6:$BE$6,0)),"")</f>
        <v/>
      </c>
      <c r="AA17" s="144" t="str">
        <f>IFERROR(INDEX(VFD_Load_Profiles,MATCH($O17,Lookups!$AT$7:$AT$18,0),MATCH('3.3.2 VFD Improvements'!AA$8,Lookups!$AU$6:$BE$6,0)),"")</f>
        <v/>
      </c>
      <c r="AB17" s="144" t="str">
        <f>IFERROR(INDEX(VFD_Load_Profiles,MATCH($O17,Lookups!$AT$7:$AT$18,0),MATCH('3.3.2 VFD Improvements'!AB$8,Lookups!$AU$6:$BE$6,0)),"")</f>
        <v/>
      </c>
      <c r="AC17" s="145" t="str">
        <f>IFERROR(INDEX(VFD_Load_Profiles,MATCH($O17,Lookups!$AT$7:$AT$18,0),MATCH('3.3.2 VFD Improvements'!AC$8,Lookups!$AU$6:$BE$6,0)),"")</f>
        <v/>
      </c>
      <c r="AD17" s="124" t="str">
        <f>IFERROR(INDEX(VFD_Power_Profiles,MATCH($Q17,Lookups!$AT$27:$AT$36,0),MATCH('3.3.2 VFD Improvements'!AD$8,Lookups!$AU$6:$BE$6,0)),"")</f>
        <v/>
      </c>
      <c r="AE17" s="121" t="str">
        <f>IFERROR(INDEX(VFD_Power_Profiles,MATCH($Q17,Lookups!$AT$27:$AT$36,0),MATCH('3.3.2 VFD Improvements'!AE$8,Lookups!$AU$6:$BE$6,0)),"")</f>
        <v/>
      </c>
      <c r="AF17" s="121" t="str">
        <f>IFERROR(INDEX(VFD_Power_Profiles,MATCH($Q17,Lookups!$AT$27:$AT$36,0),MATCH('3.3.2 VFD Improvements'!AF$8,Lookups!$AU$6:$BE$6,0)),"")</f>
        <v/>
      </c>
      <c r="AG17" s="121" t="str">
        <f>IFERROR(INDEX(VFD_Power_Profiles,MATCH($Q17,Lookups!$AT$27:$AT$36,0),MATCH('3.3.2 VFD Improvements'!AG$8,Lookups!$AU$6:$BE$6,0)),"")</f>
        <v/>
      </c>
      <c r="AH17" s="121" t="str">
        <f>IFERROR(INDEX(VFD_Power_Profiles,MATCH($Q17,Lookups!$AT$27:$AT$36,0),MATCH('3.3.2 VFD Improvements'!AH$8,Lookups!$AU$6:$BE$6,0)),"")</f>
        <v/>
      </c>
      <c r="AI17" s="121" t="str">
        <f>IFERROR(INDEX(VFD_Power_Profiles,MATCH($Q17,Lookups!$AT$27:$AT$36,0),MATCH('3.3.2 VFD Improvements'!AI$8,Lookups!$AU$6:$BE$6,0)),"")</f>
        <v/>
      </c>
      <c r="AJ17" s="121" t="str">
        <f>IFERROR(INDEX(VFD_Power_Profiles,MATCH($Q17,Lookups!$AT$27:$AT$36,0),MATCH('3.3.2 VFD Improvements'!AJ$8,Lookups!$AU$6:$BE$6,0)),"")</f>
        <v/>
      </c>
      <c r="AK17" s="121" t="str">
        <f>IFERROR(INDEX(VFD_Power_Profiles,MATCH($Q17,Lookups!$AT$27:$AT$36,0),MATCH('3.3.2 VFD Improvements'!AK$8,Lookups!$AU$6:$BE$6,0)),"")</f>
        <v/>
      </c>
      <c r="AL17" s="121" t="str">
        <f>IFERROR(INDEX(VFD_Power_Profiles,MATCH($Q17,Lookups!$AT$27:$AT$36,0),MATCH('3.3.2 VFD Improvements'!AL$8,Lookups!$AU$6:$BE$6,0)),"")</f>
        <v/>
      </c>
      <c r="AM17" s="121" t="str">
        <f>IFERROR(INDEX(VFD_Power_Profiles,MATCH($Q17,Lookups!$AT$27:$AT$36,0),MATCH('3.3.2 VFD Improvements'!AM$8,Lookups!$AU$6:$BE$6,0)),"")</f>
        <v/>
      </c>
      <c r="AN17" s="169" t="str">
        <f>IFERROR(INDEX(VFD_Power_Profiles,MATCH($Q17,Lookups!$AT$27:$AT$36,0),MATCH('3.3.2 VFD Improvements'!AN$8,Lookups!$AU$6:$BE$6,0)),"")</f>
        <v/>
      </c>
      <c r="AO17" s="124" t="str">
        <f>IFERROR(INDEX(VFD_Power_Profiles,MATCH($R17,Lookups!$AT$27:$AT$34,0),MATCH('3.3.2 VFD Improvements'!AO$8,Lookups!$AU$6:$BE$6,0)),"")</f>
        <v/>
      </c>
      <c r="AP17" s="121" t="str">
        <f>IFERROR(INDEX(VFD_Power_Profiles,MATCH($R17,Lookups!$AT$27:$AT$34,0),MATCH('3.3.2 VFD Improvements'!AP$8,Lookups!$AU$6:$BE$6,0)),"")</f>
        <v/>
      </c>
      <c r="AQ17" s="121" t="str">
        <f>IFERROR(INDEX(VFD_Power_Profiles,MATCH($R17,Lookups!$AT$27:$AT$34,0),MATCH('3.3.2 VFD Improvements'!AQ$8,Lookups!$AU$6:$BE$6,0)),"")</f>
        <v/>
      </c>
      <c r="AR17" s="121" t="str">
        <f>IFERROR(INDEX(VFD_Power_Profiles,MATCH($R17,Lookups!$AT$27:$AT$34,0),MATCH('3.3.2 VFD Improvements'!AR$8,Lookups!$AU$6:$BE$6,0)),"")</f>
        <v/>
      </c>
      <c r="AS17" s="121" t="str">
        <f>IFERROR(INDEX(VFD_Power_Profiles,MATCH($R17,Lookups!$AT$27:$AT$34,0),MATCH('3.3.2 VFD Improvements'!AS$8,Lookups!$AU$6:$BE$6,0)),"")</f>
        <v/>
      </c>
      <c r="AT17" s="121" t="str">
        <f>IFERROR(INDEX(VFD_Power_Profiles,MATCH($R17,Lookups!$AT$27:$AT$34,0),MATCH('3.3.2 VFD Improvements'!AT$8,Lookups!$AU$6:$BE$6,0)),"")</f>
        <v/>
      </c>
      <c r="AU17" s="121" t="str">
        <f>IFERROR(INDEX(VFD_Power_Profiles,MATCH($R17,Lookups!$AT$27:$AT$34,0),MATCH('3.3.2 VFD Improvements'!AU$8,Lookups!$AU$6:$BE$6,0)),"")</f>
        <v/>
      </c>
      <c r="AV17" s="121" t="str">
        <f>IFERROR(INDEX(VFD_Power_Profiles,MATCH($R17,Lookups!$AT$27:$AT$34,0),MATCH('3.3.2 VFD Improvements'!AV$8,Lookups!$AU$6:$BE$6,0)),"")</f>
        <v/>
      </c>
      <c r="AW17" s="121" t="str">
        <f>IFERROR(INDEX(VFD_Power_Profiles,MATCH($R17,Lookups!$AT$27:$AT$34,0),MATCH('3.3.2 VFD Improvements'!AW$8,Lookups!$AU$6:$BE$6,0)),"")</f>
        <v/>
      </c>
      <c r="AX17" s="121" t="str">
        <f>IFERROR(INDEX(VFD_Power_Profiles,MATCH($R17,Lookups!$AT$27:$AT$34,0),MATCH('3.3.2 VFD Improvements'!AX$8,Lookups!$AU$6:$BE$6,0)),"")</f>
        <v/>
      </c>
      <c r="AY17" s="169" t="str">
        <f>IFERROR(INDEX(VFD_Power_Profiles,MATCH($R17,Lookups!$AT$27:$AT$34,0),MATCH('3.3.2 VFD Improvements'!AY$8,Lookups!$AU$6:$BE$6,0)),"")</f>
        <v/>
      </c>
      <c r="AZ17" s="122" t="str">
        <f t="shared" si="0"/>
        <v>N/A</v>
      </c>
      <c r="BA17" s="123" t="str">
        <f t="shared" si="5"/>
        <v/>
      </c>
      <c r="BB17" s="169" t="str">
        <f t="shared" si="6"/>
        <v/>
      </c>
      <c r="BC17" s="124" t="str">
        <f t="shared" si="7"/>
        <v/>
      </c>
      <c r="BD17" s="125" t="str">
        <f t="shared" si="1"/>
        <v/>
      </c>
      <c r="BE17" s="124" t="str">
        <f t="shared" si="8"/>
        <v/>
      </c>
      <c r="BF17" s="125" t="str">
        <f t="shared" si="2"/>
        <v/>
      </c>
      <c r="BG17" s="280" t="str">
        <f t="shared" si="10"/>
        <v/>
      </c>
      <c r="BH17" s="277" t="str">
        <f t="shared" si="11"/>
        <v/>
      </c>
      <c r="BI17" s="278" t="str">
        <f t="shared" si="12"/>
        <v/>
      </c>
      <c r="BJ17" s="242" t="str">
        <f>IFERROR(_xlfn.XLOOKUP(F17,Lookups!$B$7:$B$13,Lookups!$F$7:$F$13),"")</f>
        <v/>
      </c>
      <c r="BK17" s="242">
        <f t="shared" si="9"/>
        <v>0</v>
      </c>
      <c r="BL17" s="14"/>
      <c r="BM17" s="14"/>
    </row>
    <row r="18" spans="1:65" x14ac:dyDescent="0.25">
      <c r="A18" s="11"/>
      <c r="B18" s="112">
        <v>9</v>
      </c>
      <c r="C18" s="17"/>
      <c r="D18" s="61"/>
      <c r="E18" s="61"/>
      <c r="F18" s="19"/>
      <c r="G18" s="53"/>
      <c r="H18" s="18"/>
      <c r="I18" s="18"/>
      <c r="J18" s="240" t="str">
        <f>IFERROR(VLOOKUP(I18, Lookups!$G$10:$O$37, 4, FALSE), "")</f>
        <v/>
      </c>
      <c r="K18" s="166" t="str">
        <f>IFERROR(IF(OR(ISNUMBER(SEARCH("Process",F18)),C18="Other"),"ENTER Load Factor →",VLOOKUP(F18,Lookups!$B$7:$E$11,4,FALSE)),"")</f>
        <v/>
      </c>
      <c r="L18" s="164"/>
      <c r="M18" s="122" t="str">
        <f>IFERROR(IF(OR(ISNUMBER(SEARCH("Process",F18)),C18="Other"),"ENTER Run Hours →",INDEX(Motor_HOU,MATCH(CONCATENATE(D18," ",C18),Lookups!$AA$7:$AA$152,0),MATCH(F18,Lookups!$AB$6:$AF$6,0))),"N/A")</f>
        <v>N/A</v>
      </c>
      <c r="N18" s="182"/>
      <c r="O18" s="149"/>
      <c r="P18" s="63"/>
      <c r="Q18" s="150"/>
      <c r="R18" s="143" t="str">
        <f>IFERROR(VLOOKUP(F18,Lookups!$B$7:$D$13,3,FALSE),"")</f>
        <v/>
      </c>
      <c r="S18" s="144" t="str">
        <f>IFERROR(INDEX(VFD_Load_Profiles,MATCH($O18,Lookups!$AT$7:$AT$18,0),MATCH('3.3.2 VFD Improvements'!S$8,Lookups!$AU$6:$BE$6,0)),"")</f>
        <v/>
      </c>
      <c r="T18" s="144" t="str">
        <f>IFERROR(INDEX(VFD_Load_Profiles,MATCH($O18,Lookups!$AT$7:$AT$18,0),MATCH('3.3.2 VFD Improvements'!T$8,Lookups!$AU$6:$BE$6,0)),"")</f>
        <v/>
      </c>
      <c r="U18" s="144" t="str">
        <f>IFERROR(INDEX(VFD_Load_Profiles,MATCH($O18,Lookups!$AT$7:$AT$18,0),MATCH('3.3.2 VFD Improvements'!U$8,Lookups!$AU$6:$BE$6,0)),"")</f>
        <v/>
      </c>
      <c r="V18" s="144" t="str">
        <f>IFERROR(INDEX(VFD_Load_Profiles,MATCH($O18,Lookups!$AT$7:$AT$18,0),MATCH('3.3.2 VFD Improvements'!V$8,Lookups!$AU$6:$BE$6,0)),"")</f>
        <v/>
      </c>
      <c r="W18" s="144" t="str">
        <f>IFERROR(INDEX(VFD_Load_Profiles,MATCH($O18,Lookups!$AT$7:$AT$18,0),MATCH('3.3.2 VFD Improvements'!W$8,Lookups!$AU$6:$BE$6,0)),"")</f>
        <v/>
      </c>
      <c r="X18" s="144" t="str">
        <f>IFERROR(INDEX(VFD_Load_Profiles,MATCH($O18,Lookups!$AT$7:$AT$18,0),MATCH('3.3.2 VFD Improvements'!X$8,Lookups!$AU$6:$BE$6,0)),"")</f>
        <v/>
      </c>
      <c r="Y18" s="144" t="str">
        <f>IFERROR(INDEX(VFD_Load_Profiles,MATCH($O18,Lookups!$AT$7:$AT$18,0),MATCH('3.3.2 VFD Improvements'!Y$8,Lookups!$AU$6:$BE$6,0)),"")</f>
        <v/>
      </c>
      <c r="Z18" s="144" t="str">
        <f>IFERROR(INDEX(VFD_Load_Profiles,MATCH($O18,Lookups!$AT$7:$AT$18,0),MATCH('3.3.2 VFD Improvements'!Z$8,Lookups!$AU$6:$BE$6,0)),"")</f>
        <v/>
      </c>
      <c r="AA18" s="144" t="str">
        <f>IFERROR(INDEX(VFD_Load_Profiles,MATCH($O18,Lookups!$AT$7:$AT$18,0),MATCH('3.3.2 VFD Improvements'!AA$8,Lookups!$AU$6:$BE$6,0)),"")</f>
        <v/>
      </c>
      <c r="AB18" s="144" t="str">
        <f>IFERROR(INDEX(VFD_Load_Profiles,MATCH($O18,Lookups!$AT$7:$AT$18,0),MATCH('3.3.2 VFD Improvements'!AB$8,Lookups!$AU$6:$BE$6,0)),"")</f>
        <v/>
      </c>
      <c r="AC18" s="145" t="str">
        <f>IFERROR(INDEX(VFD_Load_Profiles,MATCH($O18,Lookups!$AT$7:$AT$18,0),MATCH('3.3.2 VFD Improvements'!AC$8,Lookups!$AU$6:$BE$6,0)),"")</f>
        <v/>
      </c>
      <c r="AD18" s="124" t="str">
        <f>IFERROR(INDEX(VFD_Power_Profiles,MATCH($Q18,Lookups!$AT$27:$AT$36,0),MATCH('3.3.2 VFD Improvements'!AD$8,Lookups!$AU$6:$BE$6,0)),"")</f>
        <v/>
      </c>
      <c r="AE18" s="121" t="str">
        <f>IFERROR(INDEX(VFD_Power_Profiles,MATCH($Q18,Lookups!$AT$27:$AT$36,0),MATCH('3.3.2 VFD Improvements'!AE$8,Lookups!$AU$6:$BE$6,0)),"")</f>
        <v/>
      </c>
      <c r="AF18" s="121" t="str">
        <f>IFERROR(INDEX(VFD_Power_Profiles,MATCH($Q18,Lookups!$AT$27:$AT$36,0),MATCH('3.3.2 VFD Improvements'!AF$8,Lookups!$AU$6:$BE$6,0)),"")</f>
        <v/>
      </c>
      <c r="AG18" s="121" t="str">
        <f>IFERROR(INDEX(VFD_Power_Profiles,MATCH($Q18,Lookups!$AT$27:$AT$36,0),MATCH('3.3.2 VFD Improvements'!AG$8,Lookups!$AU$6:$BE$6,0)),"")</f>
        <v/>
      </c>
      <c r="AH18" s="121" t="str">
        <f>IFERROR(INDEX(VFD_Power_Profiles,MATCH($Q18,Lookups!$AT$27:$AT$36,0),MATCH('3.3.2 VFD Improvements'!AH$8,Lookups!$AU$6:$BE$6,0)),"")</f>
        <v/>
      </c>
      <c r="AI18" s="121" t="str">
        <f>IFERROR(INDEX(VFD_Power_Profiles,MATCH($Q18,Lookups!$AT$27:$AT$36,0),MATCH('3.3.2 VFD Improvements'!AI$8,Lookups!$AU$6:$BE$6,0)),"")</f>
        <v/>
      </c>
      <c r="AJ18" s="121" t="str">
        <f>IFERROR(INDEX(VFD_Power_Profiles,MATCH($Q18,Lookups!$AT$27:$AT$36,0),MATCH('3.3.2 VFD Improvements'!AJ$8,Lookups!$AU$6:$BE$6,0)),"")</f>
        <v/>
      </c>
      <c r="AK18" s="121" t="str">
        <f>IFERROR(INDEX(VFD_Power_Profiles,MATCH($Q18,Lookups!$AT$27:$AT$36,0),MATCH('3.3.2 VFD Improvements'!AK$8,Lookups!$AU$6:$BE$6,0)),"")</f>
        <v/>
      </c>
      <c r="AL18" s="121" t="str">
        <f>IFERROR(INDEX(VFD_Power_Profiles,MATCH($Q18,Lookups!$AT$27:$AT$36,0),MATCH('3.3.2 VFD Improvements'!AL$8,Lookups!$AU$6:$BE$6,0)),"")</f>
        <v/>
      </c>
      <c r="AM18" s="121" t="str">
        <f>IFERROR(INDEX(VFD_Power_Profiles,MATCH($Q18,Lookups!$AT$27:$AT$36,0),MATCH('3.3.2 VFD Improvements'!AM$8,Lookups!$AU$6:$BE$6,0)),"")</f>
        <v/>
      </c>
      <c r="AN18" s="169" t="str">
        <f>IFERROR(INDEX(VFD_Power_Profiles,MATCH($Q18,Lookups!$AT$27:$AT$36,0),MATCH('3.3.2 VFD Improvements'!AN$8,Lookups!$AU$6:$BE$6,0)),"")</f>
        <v/>
      </c>
      <c r="AO18" s="124" t="str">
        <f>IFERROR(INDEX(VFD_Power_Profiles,MATCH($R18,Lookups!$AT$27:$AT$34,0),MATCH('3.3.2 VFD Improvements'!AO$8,Lookups!$AU$6:$BE$6,0)),"")</f>
        <v/>
      </c>
      <c r="AP18" s="121" t="str">
        <f>IFERROR(INDEX(VFD_Power_Profiles,MATCH($R18,Lookups!$AT$27:$AT$34,0),MATCH('3.3.2 VFD Improvements'!AP$8,Lookups!$AU$6:$BE$6,0)),"")</f>
        <v/>
      </c>
      <c r="AQ18" s="121" t="str">
        <f>IFERROR(INDEX(VFD_Power_Profiles,MATCH($R18,Lookups!$AT$27:$AT$34,0),MATCH('3.3.2 VFD Improvements'!AQ$8,Lookups!$AU$6:$BE$6,0)),"")</f>
        <v/>
      </c>
      <c r="AR18" s="121" t="str">
        <f>IFERROR(INDEX(VFD_Power_Profiles,MATCH($R18,Lookups!$AT$27:$AT$34,0),MATCH('3.3.2 VFD Improvements'!AR$8,Lookups!$AU$6:$BE$6,0)),"")</f>
        <v/>
      </c>
      <c r="AS18" s="121" t="str">
        <f>IFERROR(INDEX(VFD_Power_Profiles,MATCH($R18,Lookups!$AT$27:$AT$34,0),MATCH('3.3.2 VFD Improvements'!AS$8,Lookups!$AU$6:$BE$6,0)),"")</f>
        <v/>
      </c>
      <c r="AT18" s="121" t="str">
        <f>IFERROR(INDEX(VFD_Power_Profiles,MATCH($R18,Lookups!$AT$27:$AT$34,0),MATCH('3.3.2 VFD Improvements'!AT$8,Lookups!$AU$6:$BE$6,0)),"")</f>
        <v/>
      </c>
      <c r="AU18" s="121" t="str">
        <f>IFERROR(INDEX(VFD_Power_Profiles,MATCH($R18,Lookups!$AT$27:$AT$34,0),MATCH('3.3.2 VFD Improvements'!AU$8,Lookups!$AU$6:$BE$6,0)),"")</f>
        <v/>
      </c>
      <c r="AV18" s="121" t="str">
        <f>IFERROR(INDEX(VFD_Power_Profiles,MATCH($R18,Lookups!$AT$27:$AT$34,0),MATCH('3.3.2 VFD Improvements'!AV$8,Lookups!$AU$6:$BE$6,0)),"")</f>
        <v/>
      </c>
      <c r="AW18" s="121" t="str">
        <f>IFERROR(INDEX(VFD_Power_Profiles,MATCH($R18,Lookups!$AT$27:$AT$34,0),MATCH('3.3.2 VFD Improvements'!AW$8,Lookups!$AU$6:$BE$6,0)),"")</f>
        <v/>
      </c>
      <c r="AX18" s="121" t="str">
        <f>IFERROR(INDEX(VFD_Power_Profiles,MATCH($R18,Lookups!$AT$27:$AT$34,0),MATCH('3.3.2 VFD Improvements'!AX$8,Lookups!$AU$6:$BE$6,0)),"")</f>
        <v/>
      </c>
      <c r="AY18" s="169" t="str">
        <f>IFERROR(INDEX(VFD_Power_Profiles,MATCH($R18,Lookups!$AT$27:$AT$34,0),MATCH('3.3.2 VFD Improvements'!AY$8,Lookups!$AU$6:$BE$6,0)),"")</f>
        <v/>
      </c>
      <c r="AZ18" s="122" t="str">
        <f t="shared" si="0"/>
        <v>N/A</v>
      </c>
      <c r="BA18" s="123" t="str">
        <f t="shared" si="5"/>
        <v/>
      </c>
      <c r="BB18" s="169" t="str">
        <f t="shared" si="6"/>
        <v/>
      </c>
      <c r="BC18" s="124" t="str">
        <f t="shared" si="7"/>
        <v/>
      </c>
      <c r="BD18" s="125" t="str">
        <f t="shared" si="1"/>
        <v/>
      </c>
      <c r="BE18" s="124" t="str">
        <f t="shared" si="8"/>
        <v/>
      </c>
      <c r="BF18" s="125" t="str">
        <f t="shared" si="2"/>
        <v/>
      </c>
      <c r="BG18" s="280" t="str">
        <f t="shared" si="10"/>
        <v/>
      </c>
      <c r="BH18" s="277" t="str">
        <f t="shared" si="11"/>
        <v/>
      </c>
      <c r="BI18" s="278" t="str">
        <f t="shared" si="12"/>
        <v/>
      </c>
      <c r="BJ18" s="242" t="str">
        <f>IFERROR(_xlfn.XLOOKUP(F18,Lookups!$B$7:$B$13,Lookups!$F$7:$F$13),"")</f>
        <v/>
      </c>
      <c r="BK18" s="242">
        <f t="shared" si="9"/>
        <v>0</v>
      </c>
      <c r="BL18" s="14"/>
      <c r="BM18" s="14"/>
    </row>
    <row r="19" spans="1:65" ht="15.75" thickBot="1" x14ac:dyDescent="0.3">
      <c r="A19" s="11"/>
      <c r="B19" s="126">
        <v>10</v>
      </c>
      <c r="C19" s="274"/>
      <c r="D19" s="57"/>
      <c r="E19" s="62"/>
      <c r="F19" s="58"/>
      <c r="G19" s="59"/>
      <c r="H19" s="57"/>
      <c r="I19" s="57"/>
      <c r="J19" s="273" t="str">
        <f>IFERROR(VLOOKUP(I19, Lookups!$G$10:$O$37, 4, FALSE), "")</f>
        <v/>
      </c>
      <c r="K19" s="272" t="str">
        <f>IFERROR(IF(OR(ISNUMBER(SEARCH("Process",F19)),C19="Other"),"ENTER Load Factor →",VLOOKUP(F19,Lookups!$B$7:$E$11,4,FALSE)),"")</f>
        <v/>
      </c>
      <c r="L19" s="165"/>
      <c r="M19" s="128" t="str">
        <f>IFERROR(IF(OR(ISNUMBER(SEARCH("Process",F19)),C19="Other"),"ENTER Run Hours →",INDEX(Motor_HOU,MATCH(CONCATENATE(D19," ",C19),Lookups!$AA$7:$AA$152,0),MATCH(F19,Lookups!$AB$6:$AF$6,0))),"N/A")</f>
        <v>N/A</v>
      </c>
      <c r="N19" s="183"/>
      <c r="O19" s="271"/>
      <c r="P19" s="64"/>
      <c r="Q19" s="270"/>
      <c r="R19" s="269" t="str">
        <f>IFERROR(VLOOKUP(F19,Lookups!$B$7:$D$13,3,FALSE),"")</f>
        <v/>
      </c>
      <c r="S19" s="146" t="str">
        <f>IFERROR(INDEX(VFD_Load_Profiles,MATCH($O19,Lookups!$AT$7:$AT$18,0),MATCH('3.3.2 VFD Improvements'!S$8,Lookups!$AU$6:$BE$6,0)),"")</f>
        <v/>
      </c>
      <c r="T19" s="146" t="str">
        <f>IFERROR(INDEX(VFD_Load_Profiles,MATCH($O19,Lookups!$AT$7:$AT$18,0),MATCH('3.3.2 VFD Improvements'!T$8,Lookups!$AU$6:$BE$6,0)),"")</f>
        <v/>
      </c>
      <c r="U19" s="146" t="str">
        <f>IFERROR(INDEX(VFD_Load_Profiles,MATCH($O19,Lookups!$AT$7:$AT$18,0),MATCH('3.3.2 VFD Improvements'!U$8,Lookups!$AU$6:$BE$6,0)),"")</f>
        <v/>
      </c>
      <c r="V19" s="146" t="str">
        <f>IFERROR(INDEX(VFD_Load_Profiles,MATCH($O19,Lookups!$AT$7:$AT$18,0),MATCH('3.3.2 VFD Improvements'!V$8,Lookups!$AU$6:$BE$6,0)),"")</f>
        <v/>
      </c>
      <c r="W19" s="146" t="str">
        <f>IFERROR(INDEX(VFD_Load_Profiles,MATCH($O19,Lookups!$AT$7:$AT$18,0),MATCH('3.3.2 VFD Improvements'!W$8,Lookups!$AU$6:$BE$6,0)),"")</f>
        <v/>
      </c>
      <c r="X19" s="146" t="str">
        <f>IFERROR(INDEX(VFD_Load_Profiles,MATCH($O19,Lookups!$AT$7:$AT$18,0),MATCH('3.3.2 VFD Improvements'!X$8,Lookups!$AU$6:$BE$6,0)),"")</f>
        <v/>
      </c>
      <c r="Y19" s="146" t="str">
        <f>IFERROR(INDEX(VFD_Load_Profiles,MATCH($O19,Lookups!$AT$7:$AT$18,0),MATCH('3.3.2 VFD Improvements'!Y$8,Lookups!$AU$6:$BE$6,0)),"")</f>
        <v/>
      </c>
      <c r="Z19" s="146" t="str">
        <f>IFERROR(INDEX(VFD_Load_Profiles,MATCH($O19,Lookups!$AT$7:$AT$18,0),MATCH('3.3.2 VFD Improvements'!Z$8,Lookups!$AU$6:$BE$6,0)),"")</f>
        <v/>
      </c>
      <c r="AA19" s="146" t="str">
        <f>IFERROR(INDEX(VFD_Load_Profiles,MATCH($O19,Lookups!$AT$7:$AT$18,0),MATCH('3.3.2 VFD Improvements'!AA$8,Lookups!$AU$6:$BE$6,0)),"")</f>
        <v/>
      </c>
      <c r="AB19" s="146" t="str">
        <f>IFERROR(INDEX(VFD_Load_Profiles,MATCH($O19,Lookups!$AT$7:$AT$18,0),MATCH('3.3.2 VFD Improvements'!AB$8,Lookups!$AU$6:$BE$6,0)),"")</f>
        <v/>
      </c>
      <c r="AC19" s="147" t="str">
        <f>IFERROR(INDEX(VFD_Load_Profiles,MATCH($O19,Lookups!$AT$7:$AT$18,0),MATCH('3.3.2 VFD Improvements'!AC$8,Lookups!$AU$6:$BE$6,0)),"")</f>
        <v/>
      </c>
      <c r="AD19" s="130" t="str">
        <f>IFERROR(INDEX(VFD_Power_Profiles,MATCH($Q19,Lookups!$AT$27:$AT$36,0),MATCH('3.3.2 VFD Improvements'!AD$8,Lookups!$AU$6:$BE$6,0)),"")</f>
        <v/>
      </c>
      <c r="AE19" s="127" t="str">
        <f>IFERROR(INDEX(VFD_Power_Profiles,MATCH($Q19,Lookups!$AT$27:$AT$36,0),MATCH('3.3.2 VFD Improvements'!AE$8,Lookups!$AU$6:$BE$6,0)),"")</f>
        <v/>
      </c>
      <c r="AF19" s="127" t="str">
        <f>IFERROR(INDEX(VFD_Power_Profiles,MATCH($Q19,Lookups!$AT$27:$AT$36,0),MATCH('3.3.2 VFD Improvements'!AF$8,Lookups!$AU$6:$BE$6,0)),"")</f>
        <v/>
      </c>
      <c r="AG19" s="127" t="str">
        <f>IFERROR(INDEX(VFD_Power_Profiles,MATCH($Q19,Lookups!$AT$27:$AT$36,0),MATCH('3.3.2 VFD Improvements'!AG$8,Lookups!$AU$6:$BE$6,0)),"")</f>
        <v/>
      </c>
      <c r="AH19" s="127" t="str">
        <f>IFERROR(INDEX(VFD_Power_Profiles,MATCH($Q19,Lookups!$AT$27:$AT$36,0),MATCH('3.3.2 VFD Improvements'!AH$8,Lookups!$AU$6:$BE$6,0)),"")</f>
        <v/>
      </c>
      <c r="AI19" s="127" t="str">
        <f>IFERROR(INDEX(VFD_Power_Profiles,MATCH($Q19,Lookups!$AT$27:$AT$36,0),MATCH('3.3.2 VFD Improvements'!AI$8,Lookups!$AU$6:$BE$6,0)),"")</f>
        <v/>
      </c>
      <c r="AJ19" s="127" t="str">
        <f>IFERROR(INDEX(VFD_Power_Profiles,MATCH($Q19,Lookups!$AT$27:$AT$36,0),MATCH('3.3.2 VFD Improvements'!AJ$8,Lookups!$AU$6:$BE$6,0)),"")</f>
        <v/>
      </c>
      <c r="AK19" s="127" t="str">
        <f>IFERROR(INDEX(VFD_Power_Profiles,MATCH($Q19,Lookups!$AT$27:$AT$36,0),MATCH('3.3.2 VFD Improvements'!AK$8,Lookups!$AU$6:$BE$6,0)),"")</f>
        <v/>
      </c>
      <c r="AL19" s="127" t="str">
        <f>IFERROR(INDEX(VFD_Power_Profiles,MATCH($Q19,Lookups!$AT$27:$AT$36,0),MATCH('3.3.2 VFD Improvements'!AL$8,Lookups!$AU$6:$BE$6,0)),"")</f>
        <v/>
      </c>
      <c r="AM19" s="127" t="str">
        <f>IFERROR(INDEX(VFD_Power_Profiles,MATCH($Q19,Lookups!$AT$27:$AT$36,0),MATCH('3.3.2 VFD Improvements'!AM$8,Lookups!$AU$6:$BE$6,0)),"")</f>
        <v/>
      </c>
      <c r="AN19" s="170" t="str">
        <f>IFERROR(INDEX(VFD_Power_Profiles,MATCH($Q19,Lookups!$AT$27:$AT$36,0),MATCH('3.3.2 VFD Improvements'!AN$8,Lookups!$AU$6:$BE$6,0)),"")</f>
        <v/>
      </c>
      <c r="AO19" s="130" t="str">
        <f>IFERROR(INDEX(VFD_Power_Profiles,MATCH($R19,Lookups!$AT$27:$AT$34,0),MATCH('3.3.2 VFD Improvements'!AO$8,Lookups!$AU$6:$BE$6,0)),"")</f>
        <v/>
      </c>
      <c r="AP19" s="127" t="str">
        <f>IFERROR(INDEX(VFD_Power_Profiles,MATCH($R19,Lookups!$AT$27:$AT$34,0),MATCH('3.3.2 VFD Improvements'!AP$8,Lookups!$AU$6:$BE$6,0)),"")</f>
        <v/>
      </c>
      <c r="AQ19" s="127" t="str">
        <f>IFERROR(INDEX(VFD_Power_Profiles,MATCH($R19,Lookups!$AT$27:$AT$34,0),MATCH('3.3.2 VFD Improvements'!AQ$8,Lookups!$AU$6:$BE$6,0)),"")</f>
        <v/>
      </c>
      <c r="AR19" s="127" t="str">
        <f>IFERROR(INDEX(VFD_Power_Profiles,MATCH($R19,Lookups!$AT$27:$AT$34,0),MATCH('3.3.2 VFD Improvements'!AR$8,Lookups!$AU$6:$BE$6,0)),"")</f>
        <v/>
      </c>
      <c r="AS19" s="127" t="str">
        <f>IFERROR(INDEX(VFD_Power_Profiles,MATCH($R19,Lookups!$AT$27:$AT$34,0),MATCH('3.3.2 VFD Improvements'!AS$8,Lookups!$AU$6:$BE$6,0)),"")</f>
        <v/>
      </c>
      <c r="AT19" s="127" t="str">
        <f>IFERROR(INDEX(VFD_Power_Profiles,MATCH($R19,Lookups!$AT$27:$AT$34,0),MATCH('3.3.2 VFD Improvements'!AT$8,Lookups!$AU$6:$BE$6,0)),"")</f>
        <v/>
      </c>
      <c r="AU19" s="127" t="str">
        <f>IFERROR(INDEX(VFD_Power_Profiles,MATCH($R19,Lookups!$AT$27:$AT$34,0),MATCH('3.3.2 VFD Improvements'!AU$8,Lookups!$AU$6:$BE$6,0)),"")</f>
        <v/>
      </c>
      <c r="AV19" s="127" t="str">
        <f>IFERROR(INDEX(VFD_Power_Profiles,MATCH($R19,Lookups!$AT$27:$AT$34,0),MATCH('3.3.2 VFD Improvements'!AV$8,Lookups!$AU$6:$BE$6,0)),"")</f>
        <v/>
      </c>
      <c r="AW19" s="127" t="str">
        <f>IFERROR(INDEX(VFD_Power_Profiles,MATCH($R19,Lookups!$AT$27:$AT$34,0),MATCH('3.3.2 VFD Improvements'!AW$8,Lookups!$AU$6:$BE$6,0)),"")</f>
        <v/>
      </c>
      <c r="AX19" s="127" t="str">
        <f>IFERROR(INDEX(VFD_Power_Profiles,MATCH($R19,Lookups!$AT$27:$AT$34,0),MATCH('3.3.2 VFD Improvements'!AX$8,Lookups!$AU$6:$BE$6,0)),"")</f>
        <v/>
      </c>
      <c r="AY19" s="170" t="str">
        <f>IFERROR(INDEX(VFD_Power_Profiles,MATCH($R19,Lookups!$AT$27:$AT$34,0),MATCH('3.3.2 VFD Improvements'!AY$8,Lookups!$AU$6:$BE$6,0)),"")</f>
        <v/>
      </c>
      <c r="AZ19" s="128" t="str">
        <f t="shared" si="0"/>
        <v>N/A</v>
      </c>
      <c r="BA19" s="129" t="str">
        <f t="shared" si="5"/>
        <v/>
      </c>
      <c r="BB19" s="170" t="str">
        <f t="shared" si="6"/>
        <v/>
      </c>
      <c r="BC19" s="130" t="str">
        <f t="shared" si="7"/>
        <v/>
      </c>
      <c r="BD19" s="131" t="str">
        <f t="shared" si="1"/>
        <v/>
      </c>
      <c r="BE19" s="130" t="str">
        <f t="shared" si="8"/>
        <v/>
      </c>
      <c r="BF19" s="131" t="str">
        <f t="shared" si="2"/>
        <v/>
      </c>
      <c r="BG19" s="281" t="str">
        <f t="shared" si="10"/>
        <v/>
      </c>
      <c r="BH19" s="282" t="str">
        <f t="shared" si="11"/>
        <v/>
      </c>
      <c r="BI19" s="283" t="str">
        <f t="shared" si="12"/>
        <v/>
      </c>
      <c r="BJ19" s="266" t="str">
        <f>IFERROR(_xlfn.XLOOKUP(F19,Lookups!$B$7:$B$13,Lookups!$F$7:$F$13),"")</f>
        <v/>
      </c>
      <c r="BK19" s="268">
        <f>IF(BI19="",0,I19*BJ19)</f>
        <v>0</v>
      </c>
      <c r="BL19" s="14"/>
      <c r="BM19" s="14"/>
    </row>
    <row r="20" spans="1:65" x14ac:dyDescent="0.25">
      <c r="C20" s="267"/>
      <c r="K20" s="267"/>
      <c r="O20" s="267"/>
      <c r="R20" s="267"/>
      <c r="BJ20" s="267"/>
    </row>
    <row r="27" spans="1:65" x14ac:dyDescent="0.25">
      <c r="L27" s="243"/>
    </row>
  </sheetData>
  <sheetProtection algorithmName="SHA-512" hashValue="MzT4Bzqgi5bRZcYM+CyKieBMN2tMSWUvr70HhgHCobXnSNxgbEObs4lx5VwxD6PXArLuj+8lnNvJ6T5G7v8ONw==" saltValue="OHFAfdQuj+fVMvAHDlD7/w==" spinCount="100000" sheet="1" objects="1" scenarios="1"/>
  <mergeCells count="9">
    <mergeCell ref="BJ7:BK7"/>
    <mergeCell ref="R6:AY6"/>
    <mergeCell ref="G7:P7"/>
    <mergeCell ref="BH3:BI3"/>
    <mergeCell ref="R7:AC7"/>
    <mergeCell ref="AZ7:BF7"/>
    <mergeCell ref="AD7:AN7"/>
    <mergeCell ref="AO7:AY7"/>
    <mergeCell ref="BG7:BI7"/>
  </mergeCells>
  <conditionalFormatting sqref="K10:K19">
    <cfRule type="expression" dxfId="20" priority="3">
      <formula>IF($K10="ENTER Load Factor →", TRUE, FALSE)</formula>
    </cfRule>
  </conditionalFormatting>
  <conditionalFormatting sqref="K9:L9">
    <cfRule type="expression" dxfId="19" priority="7">
      <formula>#REF!="New Construction"</formula>
    </cfRule>
  </conditionalFormatting>
  <conditionalFormatting sqref="M10:M19">
    <cfRule type="expression" dxfId="18" priority="2">
      <formula>IF($M10="ENTER Run Hours →", TRUE, FALSE)</formula>
    </cfRule>
  </conditionalFormatting>
  <conditionalFormatting sqref="BG10:BK19">
    <cfRule type="expression" dxfId="17" priority="1">
      <formula>#REF!="New Construction"</formula>
    </cfRule>
  </conditionalFormatting>
  <conditionalFormatting sqref="BH9:BK9">
    <cfRule type="expression" dxfId="16" priority="6">
      <formula>#REF!="New Construction"</formula>
    </cfRule>
  </conditionalFormatting>
  <dataValidations count="5">
    <dataValidation allowBlank="1" showDropDown="1" showInputMessage="1" showErrorMessage="1" error="This is not an approved fixture code. Check &quot;Wattage Table&quot; for correct fixture code." prompt="Input fixture codes to match invoices or plans" sqref="AX10:AX19" xr:uid="{26121DCE-097F-45FC-9022-E79800EE9604}"/>
    <dataValidation allowBlank="1" showDropDown="1" showInputMessage="1" showErrorMessage="1" error="This is not an approved fixture code. Check &quot;Wattage Table&quot; for correct fixture code." sqref="AO10:AS19 AO9:AY9 S9:AN19 N9:N19" xr:uid="{26A5E535-17B7-4D1C-993A-3C585590A605}"/>
    <dataValidation type="whole" allowBlank="1" showInputMessage="1" showErrorMessage="1" sqref="AZ9:AZ19" xr:uid="{9975A4E9-BA13-4390-BC9C-F1BD33C9653C}">
      <formula1>0</formula1>
      <formula2>50000</formula2>
    </dataValidation>
    <dataValidation type="list" allowBlank="1" showDropDown="1" showInputMessage="1" showErrorMessage="1" sqref="AV10:AV19" xr:uid="{6F687819-8715-47AD-B4FA-74055283D08D}">
      <formula1>#REF!</formula1>
    </dataValidation>
    <dataValidation type="list" allowBlank="1" showInputMessage="1" showErrorMessage="1" sqref="P9:P19" xr:uid="{6EF66C16-32DD-4DCF-AC15-4281929D1AB4}">
      <formula1>$S$8:$AC$8</formula1>
    </dataValidation>
  </dataValidations>
  <pageMargins left="0.7" right="0.7" top="0.75" bottom="0.75" header="0.3" footer="0.3"/>
  <pageSetup orientation="portrait" r:id="rId1"/>
  <ignoredErrors>
    <ignoredError sqref="AV11:AV19 AX10:AX19 AZ10:AZ19" unlockedFormula="1"/>
  </ignoredError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D5B0C8D2-B6E3-4987-8A12-04657C75997E}">
          <x14:formula1>
            <xm:f>Lookups!$G$10:$G$34</xm:f>
          </x14:formula1>
          <xm:sqref>I9</xm:sqref>
        </x14:dataValidation>
        <x14:dataValidation type="list" allowBlank="1" showInputMessage="1" showErrorMessage="1" xr:uid="{E017436E-1024-4658-9157-B30B96D43A38}">
          <x14:formula1>
            <xm:f>Lookups!$AT$7:$AT$11</xm:f>
          </x14:formula1>
          <xm:sqref>N9:N19</xm:sqref>
        </x14:dataValidation>
        <x14:dataValidation type="list" allowBlank="1" showInputMessage="1" showErrorMessage="1" error="This is not an approved fixture code. Check &quot;Wattage Table&quot; for correct fixture code." xr:uid="{2457C871-C0BB-4B0F-8126-1F76A1EEFB53}">
          <x14:formula1>
            <xm:f>Lookups!$AT$7:$AT$18</xm:f>
          </x14:formula1>
          <xm:sqref>O9:O19</xm:sqref>
        </x14:dataValidation>
        <x14:dataValidation type="list" allowBlank="1" showInputMessage="1" showErrorMessage="1" xr:uid="{88693B45-45D6-42CF-ADAD-522E7C3901CB}">
          <x14:formula1>
            <xm:f>Lookups!$AT$29:$AT$36</xm:f>
          </x14:formula1>
          <xm:sqref>Q9:Q19</xm:sqref>
        </x14:dataValidation>
        <x14:dataValidation type="list" allowBlank="1" showInputMessage="1" showErrorMessage="1" xr:uid="{B969AEC2-7B07-4D8B-A8D5-2C4200A53051}">
          <x14:formula1>
            <xm:f>Lookups!$AT$7:$AT$18</xm:f>
          </x14:formula1>
          <xm:sqref>O9:O19</xm:sqref>
        </x14:dataValidation>
        <x14:dataValidation type="list" allowBlank="1" showInputMessage="1" showErrorMessage="1" xr:uid="{EC1A8859-45A1-4C19-B8D5-0C16A02798F3}">
          <x14:formula1>
            <xm:f>Lookups!$B$54:$B$62</xm:f>
          </x14:formula1>
          <xm:sqref>D10:D19</xm:sqref>
        </x14:dataValidation>
        <x14:dataValidation type="list" allowBlank="1" showInputMessage="1" showErrorMessage="1" xr:uid="{442B7108-6EE1-41B7-86C2-ABA91A165121}">
          <x14:formula1>
            <xm:f>Lookups!$G$10:$G$27</xm:f>
          </x14:formula1>
          <xm:sqref>I10:I19</xm:sqref>
        </x14:dataValidation>
        <x14:dataValidation type="list" allowBlank="1" showInputMessage="1" showErrorMessage="1" xr:uid="{0F196A81-F6E6-4D44-9DD1-45DC9631377B}">
          <x14:formula1>
            <xm:f>Lookups!$B$7:$B$11</xm:f>
          </x14:formula1>
          <xm:sqref>F9</xm:sqref>
        </x14:dataValidation>
        <x14:dataValidation type="list" allowBlank="1" showInputMessage="1" showErrorMessage="1" xr:uid="{73A7EA46-8364-43FE-8079-471176AE6E37}">
          <x14:formula1>
            <xm:f>Lookups!$B$7:$B$13</xm:f>
          </x14:formula1>
          <xm:sqref>F10:F19</xm:sqref>
        </x14:dataValidation>
        <x14:dataValidation type="list" allowBlank="1" showInputMessage="1" showErrorMessage="1" xr:uid="{F725C4B1-E6EB-43F8-A525-1EDB43E7ABF6}">
          <x14:formula1>
            <xm:f>Lookups!$B$24:$B$37</xm:f>
          </x14:formula1>
          <xm:sqref>C10:C19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BF705-0E7F-4B9D-B1A2-2AAD917CE131}">
  <sheetPr codeName="Sheet2"/>
  <dimension ref="A1:AG21"/>
  <sheetViews>
    <sheetView topLeftCell="I1" zoomScale="90" zoomScaleNormal="90" workbookViewId="0">
      <selection activeCell="Z12" sqref="Z12"/>
    </sheetView>
  </sheetViews>
  <sheetFormatPr defaultColWidth="9.140625" defaultRowHeight="15" x14ac:dyDescent="0.25"/>
  <cols>
    <col min="1" max="1" width="3.7109375" style="12" customWidth="1"/>
    <col min="2" max="2" width="5.7109375" style="12" customWidth="1"/>
    <col min="3" max="3" width="25.7109375" style="12" customWidth="1"/>
    <col min="4" max="4" width="22.7109375" style="12" customWidth="1"/>
    <col min="5" max="5" width="18.5703125" style="12" customWidth="1"/>
    <col min="6" max="6" width="17.85546875" style="12" customWidth="1"/>
    <col min="7" max="7" width="13.5703125" style="12" customWidth="1"/>
    <col min="8" max="8" width="17.7109375" style="12" customWidth="1"/>
    <col min="9" max="9" width="16.85546875" style="12" customWidth="1"/>
    <col min="10" max="10" width="13.140625" style="12" customWidth="1"/>
    <col min="11" max="11" width="11.5703125" style="12" customWidth="1"/>
    <col min="12" max="14" width="10.7109375" style="12" customWidth="1"/>
    <col min="15" max="15" width="11.85546875" style="12" customWidth="1"/>
    <col min="16" max="16" width="11.42578125" style="12" customWidth="1"/>
    <col min="17" max="17" width="12.140625" style="12" customWidth="1"/>
    <col min="18" max="18" width="12.5703125" style="12" customWidth="1"/>
    <col min="19" max="19" width="14.28515625" style="12" customWidth="1"/>
    <col min="20" max="20" width="9.42578125" style="12" customWidth="1"/>
    <col min="21" max="22" width="8.5703125" style="12" customWidth="1"/>
    <col min="23" max="30" width="10.7109375" style="12" customWidth="1"/>
    <col min="31" max="33" width="15.7109375" style="12" customWidth="1"/>
    <col min="34" max="16384" width="9.140625" style="12"/>
  </cols>
  <sheetData>
    <row r="1" spans="1:33" ht="15" customHeight="1" x14ac:dyDescent="0.25">
      <c r="A1" s="11"/>
      <c r="L1" s="13"/>
      <c r="M1" s="13"/>
      <c r="N1" s="13"/>
      <c r="O1" s="13"/>
      <c r="P1" s="13"/>
      <c r="Q1" s="13"/>
      <c r="R1" s="13"/>
      <c r="S1" s="13"/>
      <c r="T1" s="13"/>
      <c r="U1" s="13"/>
      <c r="V1" s="13"/>
      <c r="W1" s="13"/>
      <c r="X1" s="13"/>
      <c r="Y1" s="13"/>
      <c r="Z1" s="13"/>
      <c r="AA1" s="13"/>
      <c r="AB1" s="13"/>
      <c r="AC1" s="13"/>
      <c r="AD1" s="13"/>
      <c r="AE1" s="14"/>
      <c r="AF1" s="14"/>
      <c r="AG1" s="14"/>
    </row>
    <row r="2" spans="1:33" s="6" customFormat="1" ht="22.5" x14ac:dyDescent="0.35">
      <c r="A2" s="2"/>
      <c r="B2" s="3" t="s">
        <v>116</v>
      </c>
      <c r="C2" s="4"/>
      <c r="D2" s="4"/>
      <c r="E2" s="4"/>
      <c r="F2" s="4"/>
      <c r="G2" s="4"/>
      <c r="H2" s="4"/>
      <c r="I2" s="4"/>
      <c r="J2" s="4"/>
      <c r="K2" s="4"/>
      <c r="L2" s="4"/>
      <c r="M2" s="4"/>
      <c r="N2" s="4"/>
      <c r="O2" s="4"/>
      <c r="P2" s="4"/>
      <c r="Q2" s="4"/>
      <c r="R2" s="4"/>
      <c r="S2" s="4"/>
      <c r="T2" s="4"/>
      <c r="U2" s="4"/>
      <c r="V2" s="4"/>
      <c r="W2" s="4"/>
      <c r="X2" s="4"/>
      <c r="Y2" s="4"/>
      <c r="Z2" s="4"/>
      <c r="AA2" s="4"/>
      <c r="AB2" s="4"/>
      <c r="AC2" s="4"/>
      <c r="AD2" s="4"/>
      <c r="AE2" s="5"/>
      <c r="AF2" s="5"/>
      <c r="AG2" s="5"/>
    </row>
    <row r="3" spans="1:33" s="43" customFormat="1" ht="17.25" x14ac:dyDescent="0.25">
      <c r="A3" s="7"/>
      <c r="B3" s="8" t="s">
        <v>117</v>
      </c>
      <c r="C3" s="9"/>
      <c r="D3" s="9"/>
      <c r="E3" s="9"/>
      <c r="F3" s="9"/>
      <c r="G3" s="9"/>
      <c r="H3" s="9"/>
      <c r="I3" s="9"/>
      <c r="J3" s="9"/>
      <c r="K3" s="9"/>
      <c r="L3" s="9"/>
      <c r="M3" s="9"/>
      <c r="N3" s="9"/>
      <c r="O3" s="9"/>
      <c r="P3" s="9"/>
      <c r="Q3" s="9"/>
      <c r="R3" s="9"/>
      <c r="S3" s="9"/>
      <c r="T3" s="9"/>
      <c r="U3" s="9"/>
      <c r="V3" s="9"/>
      <c r="W3" s="9"/>
      <c r="X3" s="9"/>
      <c r="Y3" s="9"/>
      <c r="Z3" s="9"/>
      <c r="AA3" s="9"/>
      <c r="AB3" s="9"/>
      <c r="AC3" s="7"/>
      <c r="AD3" s="7"/>
      <c r="AE3" s="10"/>
      <c r="AF3" s="10"/>
      <c r="AG3" s="10"/>
    </row>
    <row r="4" spans="1:33" ht="9.75" customHeight="1" thickBot="1" x14ac:dyDescent="0.3">
      <c r="A4" s="11"/>
      <c r="L4" s="13"/>
      <c r="M4" s="13"/>
      <c r="N4" s="13"/>
      <c r="O4" s="13"/>
      <c r="P4" s="13"/>
      <c r="Q4" s="13"/>
      <c r="R4" s="13"/>
      <c r="S4" s="13"/>
      <c r="T4" s="13"/>
      <c r="U4" s="13"/>
      <c r="V4" s="13"/>
      <c r="W4" s="13"/>
      <c r="X4" s="13"/>
      <c r="Y4" s="13"/>
      <c r="Z4" s="13"/>
      <c r="AA4" s="13"/>
      <c r="AB4" s="13"/>
      <c r="AC4" s="13"/>
      <c r="AD4" s="13"/>
      <c r="AE4" s="14"/>
      <c r="AF4" s="14"/>
      <c r="AG4" s="14"/>
    </row>
    <row r="5" spans="1:33" ht="15.75" thickBot="1" x14ac:dyDescent="0.3">
      <c r="A5" s="11"/>
      <c r="L5" s="13"/>
      <c r="M5" s="13"/>
      <c r="N5" s="13"/>
      <c r="O5" s="13"/>
      <c r="P5" s="13"/>
      <c r="Q5" s="13"/>
      <c r="R5" s="13"/>
      <c r="S5" s="13"/>
      <c r="T5" s="13"/>
      <c r="U5" s="13"/>
      <c r="V5" s="13"/>
      <c r="W5" s="13"/>
      <c r="X5" s="13"/>
      <c r="Y5" s="13"/>
      <c r="Z5" s="13"/>
      <c r="AC5" s="327" t="s">
        <v>118</v>
      </c>
      <c r="AD5" s="328"/>
      <c r="AE5" s="14"/>
      <c r="AF5" s="14"/>
      <c r="AG5" s="14"/>
    </row>
    <row r="6" spans="1:33" ht="18.75" thickTop="1" thickBot="1" x14ac:dyDescent="0.35">
      <c r="A6" s="67"/>
      <c r="B6" s="65"/>
      <c r="C6" s="65"/>
      <c r="D6" s="65"/>
      <c r="E6" s="65"/>
      <c r="F6" s="65"/>
      <c r="G6" s="65"/>
      <c r="H6" s="65"/>
      <c r="I6" s="65"/>
      <c r="J6" s="65"/>
      <c r="K6" s="65"/>
      <c r="L6" s="66"/>
      <c r="M6" s="66"/>
      <c r="N6" s="66"/>
      <c r="O6" s="66"/>
      <c r="P6" s="66"/>
      <c r="Q6" s="66"/>
      <c r="R6" s="66"/>
      <c r="S6" s="66"/>
      <c r="T6" s="66"/>
      <c r="U6" s="66"/>
      <c r="V6" s="66"/>
      <c r="W6" s="68"/>
      <c r="X6" s="68"/>
      <c r="Y6" s="68"/>
      <c r="Z6" s="68"/>
      <c r="AC6" s="15">
        <f t="shared" ref="AC6:AD6" si="0">SUM(AC12:AC81)</f>
        <v>0</v>
      </c>
      <c r="AD6" s="16">
        <f t="shared" si="0"/>
        <v>0</v>
      </c>
      <c r="AE6" s="70"/>
      <c r="AF6" s="70"/>
      <c r="AG6" s="70"/>
    </row>
    <row r="7" spans="1:33" ht="9.75" customHeight="1" thickBot="1" x14ac:dyDescent="0.3">
      <c r="A7" s="11"/>
      <c r="B7" s="65"/>
      <c r="C7" s="65"/>
      <c r="D7" s="65"/>
      <c r="E7" s="65"/>
      <c r="F7" s="65"/>
      <c r="G7" s="65"/>
      <c r="H7" s="65"/>
      <c r="I7" s="65"/>
      <c r="J7" s="65"/>
      <c r="K7" s="65"/>
      <c r="L7" s="66"/>
      <c r="M7" s="66"/>
      <c r="N7" s="66"/>
      <c r="O7" s="66"/>
      <c r="P7" s="66"/>
      <c r="Q7" s="66"/>
      <c r="R7" s="66"/>
      <c r="S7" s="66"/>
      <c r="T7" s="66"/>
      <c r="U7" s="66"/>
      <c r="V7" s="66"/>
      <c r="W7" s="13"/>
      <c r="X7" s="13"/>
      <c r="Y7" s="13"/>
      <c r="Z7" s="13"/>
      <c r="AA7" s="13"/>
      <c r="AB7" s="13"/>
      <c r="AC7" s="13"/>
      <c r="AD7" s="13"/>
      <c r="AE7" s="14"/>
      <c r="AF7" s="14"/>
      <c r="AG7" s="14"/>
    </row>
    <row r="8" spans="1:33" ht="18" thickBot="1" x14ac:dyDescent="0.35">
      <c r="A8" s="11"/>
      <c r="B8" s="65"/>
      <c r="C8" s="65"/>
      <c r="D8" s="65"/>
      <c r="E8" s="65"/>
      <c r="F8" s="65"/>
      <c r="G8" s="65"/>
      <c r="H8" s="65"/>
      <c r="I8" s="65"/>
      <c r="J8" s="65"/>
      <c r="K8" s="65"/>
      <c r="L8" s="338"/>
      <c r="M8" s="338"/>
      <c r="N8" s="338"/>
      <c r="O8" s="338"/>
      <c r="P8" s="338"/>
      <c r="Q8" s="338"/>
      <c r="R8" s="338"/>
      <c r="S8" s="338"/>
      <c r="T8" s="215"/>
      <c r="U8" s="215"/>
      <c r="V8" s="215"/>
      <c r="W8" s="13"/>
      <c r="X8" s="13"/>
      <c r="Y8" s="13"/>
      <c r="Z8" s="13"/>
      <c r="AA8" s="13"/>
      <c r="AB8" s="13"/>
      <c r="AC8" s="320" t="s">
        <v>119</v>
      </c>
      <c r="AD8" s="335"/>
      <c r="AE8" s="14"/>
      <c r="AF8" s="14"/>
      <c r="AG8" s="14"/>
    </row>
    <row r="9" spans="1:33" ht="15.75" thickBot="1" x14ac:dyDescent="0.3">
      <c r="A9" s="11"/>
      <c r="E9" s="323" t="s">
        <v>120</v>
      </c>
      <c r="F9" s="324"/>
      <c r="G9" s="324"/>
      <c r="H9" s="324"/>
      <c r="I9" s="324"/>
      <c r="J9" s="324"/>
      <c r="K9" s="324"/>
      <c r="L9" s="324"/>
      <c r="M9" s="324"/>
      <c r="N9" s="336"/>
      <c r="O9" s="342" t="s">
        <v>121</v>
      </c>
      <c r="P9" s="340"/>
      <c r="Q9" s="340"/>
      <c r="R9" s="340"/>
      <c r="S9" s="340"/>
      <c r="T9" s="339" t="s">
        <v>122</v>
      </c>
      <c r="U9" s="339"/>
      <c r="V9" s="339"/>
      <c r="W9" s="339"/>
      <c r="X9" s="339"/>
      <c r="Y9" s="339"/>
      <c r="Z9" s="340"/>
      <c r="AA9" s="340"/>
      <c r="AB9" s="341"/>
      <c r="AC9" s="337" t="s">
        <v>123</v>
      </c>
      <c r="AD9" s="326"/>
      <c r="AE9" s="14"/>
      <c r="AF9" s="14"/>
      <c r="AG9" s="14"/>
    </row>
    <row r="10" spans="1:33" ht="57" customHeight="1" x14ac:dyDescent="0.25">
      <c r="A10" s="105"/>
      <c r="B10" s="106" t="s">
        <v>124</v>
      </c>
      <c r="C10" s="107" t="s">
        <v>125</v>
      </c>
      <c r="D10" s="108" t="s">
        <v>126</v>
      </c>
      <c r="E10" s="107" t="s">
        <v>127</v>
      </c>
      <c r="F10" s="109" t="s">
        <v>128</v>
      </c>
      <c r="G10" s="109" t="s">
        <v>129</v>
      </c>
      <c r="H10" s="109" t="s">
        <v>130</v>
      </c>
      <c r="I10" s="107" t="s">
        <v>131</v>
      </c>
      <c r="J10" s="111" t="s">
        <v>132</v>
      </c>
      <c r="K10" s="109" t="s">
        <v>133</v>
      </c>
      <c r="L10" s="111" t="s">
        <v>134</v>
      </c>
      <c r="M10" s="107" t="s">
        <v>135</v>
      </c>
      <c r="N10" s="108" t="s">
        <v>136</v>
      </c>
      <c r="O10" s="107" t="s">
        <v>137</v>
      </c>
      <c r="P10" s="108" t="s">
        <v>138</v>
      </c>
      <c r="Q10" s="107" t="s">
        <v>139</v>
      </c>
      <c r="R10" s="108" t="s">
        <v>140</v>
      </c>
      <c r="S10" s="111" t="s">
        <v>141</v>
      </c>
      <c r="T10" s="107" t="s">
        <v>142</v>
      </c>
      <c r="U10" s="109" t="s">
        <v>143</v>
      </c>
      <c r="V10" s="108" t="s">
        <v>144</v>
      </c>
      <c r="W10" s="110" t="s">
        <v>145</v>
      </c>
      <c r="X10" s="109" t="s">
        <v>146</v>
      </c>
      <c r="Y10" s="108" t="s">
        <v>147</v>
      </c>
      <c r="Z10" s="110" t="s">
        <v>148</v>
      </c>
      <c r="AA10" s="109" t="s">
        <v>149</v>
      </c>
      <c r="AB10" s="108" t="s">
        <v>150</v>
      </c>
      <c r="AC10" s="109" t="s">
        <v>151</v>
      </c>
      <c r="AD10" s="108" t="s">
        <v>152</v>
      </c>
      <c r="AE10" s="105"/>
      <c r="AF10" s="105" t="s">
        <v>153</v>
      </c>
      <c r="AG10" s="105" t="s">
        <v>154</v>
      </c>
    </row>
    <row r="11" spans="1:33" x14ac:dyDescent="0.25">
      <c r="A11" s="11"/>
      <c r="B11" s="112" t="s">
        <v>155</v>
      </c>
      <c r="C11" s="113" t="s">
        <v>156</v>
      </c>
      <c r="D11" s="114" t="s">
        <v>157</v>
      </c>
      <c r="E11" s="113" t="s">
        <v>158</v>
      </c>
      <c r="F11" s="115" t="s">
        <v>159</v>
      </c>
      <c r="G11" s="115">
        <v>10</v>
      </c>
      <c r="H11" s="115" t="s">
        <v>160</v>
      </c>
      <c r="I11" s="115">
        <v>4</v>
      </c>
      <c r="J11" s="134" t="s">
        <v>161</v>
      </c>
      <c r="K11" s="116">
        <v>0.96</v>
      </c>
      <c r="L11" s="134">
        <v>2</v>
      </c>
      <c r="M11" s="113">
        <f>IFERROR(VLOOKUP(D11,Lookups!$B$7:$E$11,4,FALSE),"")</f>
        <v>0.76</v>
      </c>
      <c r="N11" s="179"/>
      <c r="O11" s="119" t="str">
        <f>IFERROR(INDEX(Motor_HOU,MATCH(CONCATENATE(#REF!," ",#REF!),Lookups!$AA$7:$AA$152,0),MATCH(D11,Lookups!$AB$6:$AF$6,0)),"N/A")</f>
        <v>N/A</v>
      </c>
      <c r="P11" s="118"/>
      <c r="Q11" s="117" t="str">
        <f>IFERROR(INDEX(Coincidence,MATCH(CONCATENATE(#REF!," ",#REF!),Lookups!$AL$7:$AL$152,0),MATCH(D11,Lookups!$AM$6:$AQ$6,0)),"N/A")</f>
        <v>N/A</v>
      </c>
      <c r="R11" s="114"/>
      <c r="S11" s="173">
        <f>IF(OR(H11="NEMA Design A",H11= "NEMA Design B"),INDEX(NEMA_Design_A_or_B,MATCH(G11,Lookups!$G$10:$G$37,0),MATCH(CONCATENATE(J11,I11),Lookups!$H$9:$O$9,0)),(IF(H11="NEMA Design C",INDEX(NEMA_Design_C,MATCH(G11,Lookups!$Q$10:$Q$31,0),MATCH(CONCATENATE(J11,I11),Lookups!$R$9:$W$9,0)),0)))</f>
        <v>0.91700000000000004</v>
      </c>
      <c r="T11" s="119" t="str">
        <f>IFERROR(IF(P11&gt;0,P11,O11),"")</f>
        <v>N/A</v>
      </c>
      <c r="U11" s="120">
        <f t="shared" ref="U11:U21" si="1">IFERROR(IF(N11&gt;0,N11,M11),"")</f>
        <v>0.76</v>
      </c>
      <c r="V11" s="120" t="str">
        <f>IFERROR(IF(R11&gt;0,R11,Q11),"")</f>
        <v>N/A</v>
      </c>
      <c r="W11" s="208">
        <f>IFERROR(0.746*G11*L11*U11/S11,"")</f>
        <v>12.365539803707742</v>
      </c>
      <c r="X11" s="120" t="str">
        <f>IFERROR(W11*V11,"")</f>
        <v/>
      </c>
      <c r="Y11" s="118" t="str">
        <f>IFERROR(W11*T11,"")</f>
        <v/>
      </c>
      <c r="Z11" s="117">
        <f>IFERROR(0.746*G11*L11*U11/K11,"")</f>
        <v>11.811666666666667</v>
      </c>
      <c r="AA11" s="120" t="str">
        <f>IFERROR(Z11*V11,"")</f>
        <v/>
      </c>
      <c r="AB11" s="118" t="str">
        <f>IFERROR(Z11*T11,"")</f>
        <v/>
      </c>
      <c r="AC11" s="120" t="str">
        <f>IFERROR(IF((X11-AA11)&lt;0,0,X11-AA11),"")</f>
        <v/>
      </c>
      <c r="AD11" s="118" t="str">
        <f>IFERROR(IF((Y11-AB11)&lt;0,0,Y11-AB11),"")</f>
        <v/>
      </c>
      <c r="AE11" s="14"/>
      <c r="AF11" s="14"/>
      <c r="AG11" s="14"/>
    </row>
    <row r="12" spans="1:33" x14ac:dyDescent="0.25">
      <c r="A12" s="11"/>
      <c r="B12" s="112">
        <v>1</v>
      </c>
      <c r="C12" s="17"/>
      <c r="D12" s="19"/>
      <c r="E12" s="17"/>
      <c r="F12" s="18"/>
      <c r="G12" s="18"/>
      <c r="H12" s="18"/>
      <c r="I12" s="18"/>
      <c r="J12" s="55"/>
      <c r="K12" s="54"/>
      <c r="L12" s="55"/>
      <c r="M12" s="171" t="str">
        <f>IFERROR(VLOOKUP(D12,Lookups!$B$7:$E$11,4,FALSE),"")</f>
        <v/>
      </c>
      <c r="N12" s="180"/>
      <c r="O12" s="122" t="str">
        <f>IFERROR(INDEX(Motor_HOU,MATCH(CONCATENATE(#REF!," ",#REF!),Lookups!$AA$7:$AA$152,0),MATCH(D12,Lookups!$AB$6:$AF$6,0)),"N/A")</f>
        <v>N/A</v>
      </c>
      <c r="P12" s="182"/>
      <c r="Q12" s="121" t="str">
        <f>IFERROR(INDEX(Coincidence,MATCH(CONCATENATE(#REF!," ",#REF!),Lookups!$AL$7:$AL$152,0),MATCH(D12,Lookups!$AM$6:$AQ$6,0)),"N/A")</f>
        <v>N/A</v>
      </c>
      <c r="R12" s="19"/>
      <c r="S12" s="174">
        <f>IF(OR(H12="NEMA Design A",H12= "NEMA Design B"),INDEX(NEMA_Design_A_or_B,MATCH(G12,Lookups!$G$10:$G$37,0),MATCH(CONCATENATE(J12,I12),Lookups!$H$9:$O$9,0)),(IF(H12="NEMA Design C",INDEX(NEMA_Design_C,MATCH(G12,Lookups!$Q$10:$Q$31,0),MATCH(CONCATENATE(J12,I12),Lookups!$R$9:$W$9,0)),0)))</f>
        <v>0</v>
      </c>
      <c r="T12" s="122" t="str">
        <f t="shared" ref="T12:T21" si="2">IFERROR(IF(P12&gt;0,P12,O12),"")</f>
        <v>N/A</v>
      </c>
      <c r="U12" s="123" t="str">
        <f t="shared" si="1"/>
        <v/>
      </c>
      <c r="V12" s="177" t="str">
        <f t="shared" ref="V12:V21" si="3">IFERROR(IF(R12&gt;0,R12,Q12),"")</f>
        <v>N/A</v>
      </c>
      <c r="W12" s="209" t="str">
        <f t="shared" ref="W12:W21" si="4">IFERROR(0.746*G12*L12*U12/S12,"")</f>
        <v/>
      </c>
      <c r="X12" s="123" t="str">
        <f t="shared" ref="X12:X21" si="5">IFERROR(W12*V12,"")</f>
        <v/>
      </c>
      <c r="Y12" s="125" t="str">
        <f t="shared" ref="Y12:Y21" si="6">IFERROR(W12*T12,"")</f>
        <v/>
      </c>
      <c r="Z12" s="121" t="str">
        <f t="shared" ref="Z12:Z21" si="7">IFERROR(0.746*G12*L12*U12/K12,"")</f>
        <v/>
      </c>
      <c r="AA12" s="123" t="str">
        <f t="shared" ref="AA12:AA21" si="8">IFERROR(Z12*V12,"")</f>
        <v/>
      </c>
      <c r="AB12" s="125" t="str">
        <f t="shared" ref="AB12:AB21" si="9">IFERROR(Z12*T12,"")</f>
        <v/>
      </c>
      <c r="AC12" s="123" t="str">
        <f t="shared" ref="AC12:AC21" si="10">IFERROR(IF((X12-AA12)&lt;0,0,X12-AA12),"")</f>
        <v/>
      </c>
      <c r="AD12" s="125" t="str">
        <f t="shared" ref="AD12:AD21" si="11">IFERROR(IF((Y12-AB12)&lt;0,0,Y12-AB12),"")</f>
        <v/>
      </c>
      <c r="AE12" s="14"/>
      <c r="AF12" s="14"/>
      <c r="AG12" s="14"/>
    </row>
    <row r="13" spans="1:33" x14ac:dyDescent="0.25">
      <c r="A13" s="11"/>
      <c r="B13" s="112">
        <v>2</v>
      </c>
      <c r="C13" s="17"/>
      <c r="D13" s="19"/>
      <c r="E13" s="17"/>
      <c r="F13" s="18"/>
      <c r="G13" s="18"/>
      <c r="H13" s="18"/>
      <c r="I13" s="18"/>
      <c r="J13" s="55"/>
      <c r="K13" s="54"/>
      <c r="L13" s="55"/>
      <c r="M13" s="171" t="str">
        <f>IFERROR(VLOOKUP(D13,Lookups!$B$7:$E$11,4,FALSE),"")</f>
        <v/>
      </c>
      <c r="N13" s="180"/>
      <c r="O13" s="122" t="str">
        <f>IFERROR(INDEX(Motor_HOU,MATCH(CONCATENATE(#REF!," ",#REF!),Lookups!$AA$7:$AA$152,0),MATCH(D13,Lookups!$AB$6:$AF$6,0)),"N/A")</f>
        <v>N/A</v>
      </c>
      <c r="P13" s="182"/>
      <c r="Q13" s="121" t="str">
        <f>IFERROR(INDEX(Coincidence,MATCH(CONCATENATE(#REF!," ",#REF!),Lookups!$AL$7:$AL$152,0),MATCH(D13,Lookups!$AM$6:$AQ$6,0)),"N/A")</f>
        <v>N/A</v>
      </c>
      <c r="R13" s="19"/>
      <c r="S13" s="174">
        <f>IF(OR(H13="NEMA Design A",H13= "NEMA Design B"),INDEX(NEMA_Design_A_or_B,MATCH(G13,Lookups!$G$10:$G$37,0),MATCH(CONCATENATE(J13,I13),Lookups!$H$9:$O$9,0)),(IF(H13="NEMA Design C",INDEX(NEMA_Design_C,MATCH(G13,Lookups!$Q$10:$Q$31,0),MATCH(CONCATENATE(J13,I13),Lookups!$R$9:$W$9,0)),0)))</f>
        <v>0</v>
      </c>
      <c r="T13" s="122" t="str">
        <f t="shared" si="2"/>
        <v>N/A</v>
      </c>
      <c r="U13" s="123" t="str">
        <f t="shared" si="1"/>
        <v/>
      </c>
      <c r="V13" s="177" t="str">
        <f t="shared" si="3"/>
        <v>N/A</v>
      </c>
      <c r="W13" s="209" t="str">
        <f t="shared" si="4"/>
        <v/>
      </c>
      <c r="X13" s="123" t="str">
        <f t="shared" si="5"/>
        <v/>
      </c>
      <c r="Y13" s="125" t="str">
        <f t="shared" si="6"/>
        <v/>
      </c>
      <c r="Z13" s="121" t="str">
        <f t="shared" si="7"/>
        <v/>
      </c>
      <c r="AA13" s="123" t="str">
        <f t="shared" si="8"/>
        <v/>
      </c>
      <c r="AB13" s="125" t="str">
        <f t="shared" si="9"/>
        <v/>
      </c>
      <c r="AC13" s="123" t="str">
        <f t="shared" si="10"/>
        <v/>
      </c>
      <c r="AD13" s="125" t="str">
        <f t="shared" si="11"/>
        <v/>
      </c>
      <c r="AE13" s="14"/>
      <c r="AF13" s="14"/>
      <c r="AG13" s="14"/>
    </row>
    <row r="14" spans="1:33" x14ac:dyDescent="0.25">
      <c r="A14" s="11"/>
      <c r="B14" s="112">
        <v>3</v>
      </c>
      <c r="C14" s="17"/>
      <c r="D14" s="19"/>
      <c r="E14" s="17"/>
      <c r="F14" s="18"/>
      <c r="G14" s="18"/>
      <c r="H14" s="18"/>
      <c r="I14" s="18"/>
      <c r="J14" s="55"/>
      <c r="K14" s="54"/>
      <c r="L14" s="55"/>
      <c r="M14" s="171" t="str">
        <f>IFERROR(VLOOKUP(D14,Lookups!$B$7:$E$11,4,FALSE),"")</f>
        <v/>
      </c>
      <c r="N14" s="180"/>
      <c r="O14" s="122" t="str">
        <f>IFERROR(INDEX(Motor_HOU,MATCH(CONCATENATE(#REF!," ",#REF!),Lookups!$AA$7:$AA$152,0),MATCH(D14,Lookups!$AB$6:$AF$6,0)),"N/A")</f>
        <v>N/A</v>
      </c>
      <c r="P14" s="182"/>
      <c r="Q14" s="121" t="str">
        <f>IFERROR(INDEX(Coincidence,MATCH(CONCATENATE(#REF!," ",#REF!),Lookups!$AL$7:$AL$152,0),MATCH(D14,Lookups!$AM$6:$AQ$6,0)),"N/A")</f>
        <v>N/A</v>
      </c>
      <c r="R14" s="19"/>
      <c r="S14" s="174">
        <f>IF(OR(H14="NEMA Design A",H14= "NEMA Design B"),INDEX(NEMA_Design_A_or_B,MATCH(G14,Lookups!$G$10:$G$37,0),MATCH(CONCATENATE(J14,I14),Lookups!$H$9:$O$9,0)),(IF(H14="NEMA Design C",INDEX(NEMA_Design_C,MATCH(G14,Lookups!$Q$10:$Q$31,0),MATCH(CONCATENATE(J14,I14),Lookups!$R$9:$W$9,0)),0)))</f>
        <v>0</v>
      </c>
      <c r="T14" s="122" t="str">
        <f t="shared" si="2"/>
        <v>N/A</v>
      </c>
      <c r="U14" s="123" t="str">
        <f t="shared" si="1"/>
        <v/>
      </c>
      <c r="V14" s="177" t="str">
        <f t="shared" si="3"/>
        <v>N/A</v>
      </c>
      <c r="W14" s="209" t="str">
        <f t="shared" si="4"/>
        <v/>
      </c>
      <c r="X14" s="123" t="str">
        <f t="shared" si="5"/>
        <v/>
      </c>
      <c r="Y14" s="125" t="str">
        <f t="shared" si="6"/>
        <v/>
      </c>
      <c r="Z14" s="121" t="str">
        <f t="shared" si="7"/>
        <v/>
      </c>
      <c r="AA14" s="123" t="str">
        <f t="shared" si="8"/>
        <v/>
      </c>
      <c r="AB14" s="125" t="str">
        <f t="shared" si="9"/>
        <v/>
      </c>
      <c r="AC14" s="123" t="str">
        <f t="shared" si="10"/>
        <v/>
      </c>
      <c r="AD14" s="125" t="str">
        <f t="shared" si="11"/>
        <v/>
      </c>
      <c r="AE14" s="14"/>
      <c r="AF14" s="14"/>
      <c r="AG14" s="14"/>
    </row>
    <row r="15" spans="1:33" x14ac:dyDescent="0.25">
      <c r="A15" s="11"/>
      <c r="B15" s="112">
        <v>4</v>
      </c>
      <c r="C15" s="17"/>
      <c r="D15" s="19"/>
      <c r="E15" s="17"/>
      <c r="F15" s="18"/>
      <c r="G15" s="18"/>
      <c r="H15" s="18"/>
      <c r="I15" s="18"/>
      <c r="J15" s="55"/>
      <c r="K15" s="54"/>
      <c r="L15" s="55"/>
      <c r="M15" s="171" t="str">
        <f>IFERROR(VLOOKUP(D15,Lookups!$B$7:$E$11,4,FALSE),"")</f>
        <v/>
      </c>
      <c r="N15" s="180"/>
      <c r="O15" s="122" t="str">
        <f>IFERROR(INDEX(Motor_HOU,MATCH(CONCATENATE(#REF!," ",#REF!),Lookups!$AA$7:$AA$152,0),MATCH(D15,Lookups!$AB$6:$AF$6,0)),"N/A")</f>
        <v>N/A</v>
      </c>
      <c r="P15" s="182"/>
      <c r="Q15" s="121" t="str">
        <f>IFERROR(INDEX(Coincidence,MATCH(CONCATENATE(#REF!," ",#REF!),Lookups!$AL$7:$AL$152,0),MATCH(D15,Lookups!$AM$6:$AQ$6,0)),"N/A")</f>
        <v>N/A</v>
      </c>
      <c r="R15" s="19"/>
      <c r="S15" s="174">
        <f>IF(OR(H15="NEMA Design A",H15= "NEMA Design B"),INDEX(NEMA_Design_A_or_B,MATCH(G15,Lookups!$G$10:$G$37,0),MATCH(CONCATENATE(J15,I15),Lookups!$H$9:$O$9,0)),(IF(H15="NEMA Design C",INDEX(NEMA_Design_C,MATCH(G15,Lookups!$Q$10:$Q$31,0),MATCH(CONCATENATE(J15,I15),Lookups!$R$9:$W$9,0)),0)))</f>
        <v>0</v>
      </c>
      <c r="T15" s="122" t="str">
        <f t="shared" si="2"/>
        <v>N/A</v>
      </c>
      <c r="U15" s="123" t="str">
        <f t="shared" si="1"/>
        <v/>
      </c>
      <c r="V15" s="177" t="str">
        <f t="shared" si="3"/>
        <v>N/A</v>
      </c>
      <c r="W15" s="209" t="str">
        <f t="shared" si="4"/>
        <v/>
      </c>
      <c r="X15" s="123" t="str">
        <f t="shared" si="5"/>
        <v/>
      </c>
      <c r="Y15" s="125" t="str">
        <f t="shared" si="6"/>
        <v/>
      </c>
      <c r="Z15" s="121" t="str">
        <f t="shared" si="7"/>
        <v/>
      </c>
      <c r="AA15" s="123" t="str">
        <f t="shared" si="8"/>
        <v/>
      </c>
      <c r="AB15" s="125" t="str">
        <f t="shared" si="9"/>
        <v/>
      </c>
      <c r="AC15" s="123" t="str">
        <f t="shared" si="10"/>
        <v/>
      </c>
      <c r="AD15" s="125" t="str">
        <f t="shared" si="11"/>
        <v/>
      </c>
      <c r="AE15" s="14"/>
      <c r="AF15" s="14"/>
      <c r="AG15" s="14"/>
    </row>
    <row r="16" spans="1:33" x14ac:dyDescent="0.25">
      <c r="A16" s="11"/>
      <c r="B16" s="112">
        <v>5</v>
      </c>
      <c r="C16" s="17"/>
      <c r="D16" s="19"/>
      <c r="E16" s="17"/>
      <c r="F16" s="18"/>
      <c r="G16" s="18"/>
      <c r="H16" s="18"/>
      <c r="I16" s="18"/>
      <c r="J16" s="55"/>
      <c r="K16" s="54"/>
      <c r="L16" s="55"/>
      <c r="M16" s="171" t="str">
        <f>IFERROR(VLOOKUP(D16,Lookups!$B$7:$E$11,4,FALSE),"")</f>
        <v/>
      </c>
      <c r="N16" s="180"/>
      <c r="O16" s="122" t="str">
        <f>IFERROR(INDEX(Motor_HOU,MATCH(CONCATENATE(#REF!," ",#REF!),Lookups!$AA$7:$AA$152,0),MATCH(D16,Lookups!$AB$6:$AF$6,0)),"N/A")</f>
        <v>N/A</v>
      </c>
      <c r="P16" s="182"/>
      <c r="Q16" s="121" t="str">
        <f>IFERROR(INDEX(Coincidence,MATCH(CONCATENATE(#REF!," ",#REF!),Lookups!$AL$7:$AL$152,0),MATCH(D16,Lookups!$AM$6:$AQ$6,0)),"N/A")</f>
        <v>N/A</v>
      </c>
      <c r="R16" s="19"/>
      <c r="S16" s="174">
        <f>IF(OR(H16="NEMA Design A",H16= "NEMA Design B"),INDEX(NEMA_Design_A_or_B,MATCH(G16,Lookups!$G$10:$G$37,0),MATCH(CONCATENATE(J16,I16),Lookups!$H$9:$O$9,0)),(IF(H16="NEMA Design C",INDEX(NEMA_Design_C,MATCH(G16,Lookups!$Q$10:$Q$31,0),MATCH(CONCATENATE(J16,I16),Lookups!$R$9:$W$9,0)),0)))</f>
        <v>0</v>
      </c>
      <c r="T16" s="122" t="str">
        <f t="shared" si="2"/>
        <v>N/A</v>
      </c>
      <c r="U16" s="123" t="str">
        <f t="shared" si="1"/>
        <v/>
      </c>
      <c r="V16" s="177" t="str">
        <f t="shared" si="3"/>
        <v>N/A</v>
      </c>
      <c r="W16" s="209" t="str">
        <f t="shared" si="4"/>
        <v/>
      </c>
      <c r="X16" s="123" t="str">
        <f t="shared" si="5"/>
        <v/>
      </c>
      <c r="Y16" s="125" t="str">
        <f t="shared" si="6"/>
        <v/>
      </c>
      <c r="Z16" s="121" t="str">
        <f t="shared" si="7"/>
        <v/>
      </c>
      <c r="AA16" s="123" t="str">
        <f t="shared" si="8"/>
        <v/>
      </c>
      <c r="AB16" s="125" t="str">
        <f t="shared" si="9"/>
        <v/>
      </c>
      <c r="AC16" s="123" t="str">
        <f t="shared" si="10"/>
        <v/>
      </c>
      <c r="AD16" s="125" t="str">
        <f t="shared" si="11"/>
        <v/>
      </c>
      <c r="AE16" s="14"/>
      <c r="AF16" s="14"/>
      <c r="AG16" s="14"/>
    </row>
    <row r="17" spans="1:33" x14ac:dyDescent="0.25">
      <c r="A17" s="11"/>
      <c r="B17" s="112">
        <v>6</v>
      </c>
      <c r="C17" s="17"/>
      <c r="D17" s="19"/>
      <c r="E17" s="17"/>
      <c r="F17" s="18"/>
      <c r="G17" s="18"/>
      <c r="H17" s="18"/>
      <c r="I17" s="18"/>
      <c r="J17" s="55"/>
      <c r="K17" s="54"/>
      <c r="L17" s="55"/>
      <c r="M17" s="171" t="str">
        <f>IFERROR(VLOOKUP(D17,Lookups!$B$7:$E$11,4,FALSE),"")</f>
        <v/>
      </c>
      <c r="N17" s="180"/>
      <c r="O17" s="122" t="str">
        <f>IFERROR(INDEX(Motor_HOU,MATCH(CONCATENATE(#REF!," ",#REF!),Lookups!$AA$7:$AA$152,0),MATCH(D17,Lookups!$AB$6:$AF$6,0)),"N/A")</f>
        <v>N/A</v>
      </c>
      <c r="P17" s="182"/>
      <c r="Q17" s="121" t="str">
        <f>IFERROR(INDEX(Coincidence,MATCH(CONCATENATE(#REF!," ",#REF!),Lookups!$AL$7:$AL$152,0),MATCH(D17,Lookups!$AM$6:$AQ$6,0)),"N/A")</f>
        <v>N/A</v>
      </c>
      <c r="R17" s="19"/>
      <c r="S17" s="174">
        <f>IF(OR(H17="NEMA Design A",H17= "NEMA Design B"),INDEX(NEMA_Design_A_or_B,MATCH(G17,Lookups!$G$10:$G$37,0),MATCH(CONCATENATE(J17,I17),Lookups!$H$9:$O$9,0)),(IF(H17="NEMA Design C",INDEX(NEMA_Design_C,MATCH(G17,Lookups!$Q$10:$Q$31,0),MATCH(CONCATENATE(J17,I17),Lookups!$R$9:$W$9,0)),0)))</f>
        <v>0</v>
      </c>
      <c r="T17" s="122" t="str">
        <f t="shared" si="2"/>
        <v>N/A</v>
      </c>
      <c r="U17" s="123" t="str">
        <f t="shared" si="1"/>
        <v/>
      </c>
      <c r="V17" s="177" t="str">
        <f t="shared" si="3"/>
        <v>N/A</v>
      </c>
      <c r="W17" s="209" t="str">
        <f t="shared" si="4"/>
        <v/>
      </c>
      <c r="X17" s="123" t="str">
        <f t="shared" si="5"/>
        <v/>
      </c>
      <c r="Y17" s="125" t="str">
        <f t="shared" si="6"/>
        <v/>
      </c>
      <c r="Z17" s="121" t="str">
        <f t="shared" si="7"/>
        <v/>
      </c>
      <c r="AA17" s="123" t="str">
        <f t="shared" si="8"/>
        <v/>
      </c>
      <c r="AB17" s="125" t="str">
        <f t="shared" si="9"/>
        <v/>
      </c>
      <c r="AC17" s="123" t="str">
        <f t="shared" si="10"/>
        <v/>
      </c>
      <c r="AD17" s="125" t="str">
        <f t="shared" si="11"/>
        <v/>
      </c>
      <c r="AE17" s="14"/>
      <c r="AF17" s="14"/>
      <c r="AG17" s="14"/>
    </row>
    <row r="18" spans="1:33" x14ac:dyDescent="0.25">
      <c r="A18" s="11"/>
      <c r="B18" s="112">
        <v>7</v>
      </c>
      <c r="C18" s="17"/>
      <c r="D18" s="19"/>
      <c r="E18" s="17"/>
      <c r="F18" s="18"/>
      <c r="G18" s="18"/>
      <c r="H18" s="18"/>
      <c r="I18" s="18"/>
      <c r="J18" s="55"/>
      <c r="K18" s="54"/>
      <c r="L18" s="55"/>
      <c r="M18" s="171" t="str">
        <f>IFERROR(VLOOKUP(D18,Lookups!$B$7:$E$11,4,FALSE),"")</f>
        <v/>
      </c>
      <c r="N18" s="180"/>
      <c r="O18" s="122" t="str">
        <f>IFERROR(INDEX(Motor_HOU,MATCH(CONCATENATE(#REF!," ",#REF!),Lookups!$AA$7:$AA$152,0),MATCH(D18,Lookups!$AB$6:$AF$6,0)),"N/A")</f>
        <v>N/A</v>
      </c>
      <c r="P18" s="182"/>
      <c r="Q18" s="121" t="str">
        <f>IFERROR(INDEX(Coincidence,MATCH(CONCATENATE(#REF!," ",#REF!),Lookups!$AL$7:$AL$152,0),MATCH(D18,Lookups!$AM$6:$AQ$6,0)),"N/A")</f>
        <v>N/A</v>
      </c>
      <c r="R18" s="19"/>
      <c r="S18" s="174">
        <f>IF(OR(H18="NEMA Design A",H18= "NEMA Design B"),INDEX(NEMA_Design_A_or_B,MATCH(G18,Lookups!$G$10:$G$37,0),MATCH(CONCATENATE(J18,I18),Lookups!$H$9:$O$9,0)),(IF(H18="NEMA Design C",INDEX(NEMA_Design_C,MATCH(G18,Lookups!$Q$10:$Q$31,0),MATCH(CONCATENATE(J18,I18),Lookups!$R$9:$W$9,0)),0)))</f>
        <v>0</v>
      </c>
      <c r="T18" s="122" t="str">
        <f t="shared" si="2"/>
        <v>N/A</v>
      </c>
      <c r="U18" s="123" t="str">
        <f t="shared" si="1"/>
        <v/>
      </c>
      <c r="V18" s="177" t="str">
        <f t="shared" si="3"/>
        <v>N/A</v>
      </c>
      <c r="W18" s="209" t="str">
        <f t="shared" si="4"/>
        <v/>
      </c>
      <c r="X18" s="123" t="str">
        <f t="shared" si="5"/>
        <v/>
      </c>
      <c r="Y18" s="125" t="str">
        <f t="shared" si="6"/>
        <v/>
      </c>
      <c r="Z18" s="121" t="str">
        <f t="shared" si="7"/>
        <v/>
      </c>
      <c r="AA18" s="123" t="str">
        <f t="shared" si="8"/>
        <v/>
      </c>
      <c r="AB18" s="125" t="str">
        <f t="shared" si="9"/>
        <v/>
      </c>
      <c r="AC18" s="123" t="str">
        <f t="shared" si="10"/>
        <v/>
      </c>
      <c r="AD18" s="125" t="str">
        <f t="shared" si="11"/>
        <v/>
      </c>
      <c r="AE18" s="14"/>
      <c r="AF18" s="14"/>
      <c r="AG18" s="14"/>
    </row>
    <row r="19" spans="1:33" x14ac:dyDescent="0.25">
      <c r="A19" s="11"/>
      <c r="B19" s="112">
        <v>8</v>
      </c>
      <c r="C19" s="17"/>
      <c r="D19" s="19"/>
      <c r="E19" s="17"/>
      <c r="F19" s="18"/>
      <c r="G19" s="18"/>
      <c r="H19" s="18"/>
      <c r="I19" s="18"/>
      <c r="J19" s="55"/>
      <c r="K19" s="54"/>
      <c r="L19" s="55"/>
      <c r="M19" s="171" t="str">
        <f>IFERROR(VLOOKUP(D19,Lookups!$B$7:$E$11,4,FALSE),"")</f>
        <v/>
      </c>
      <c r="N19" s="180"/>
      <c r="O19" s="122" t="str">
        <f>IFERROR(INDEX(Motor_HOU,MATCH(CONCATENATE(#REF!," ",#REF!),Lookups!$AA$7:$AA$152,0),MATCH(D19,Lookups!$AB$6:$AF$6,0)),"N/A")</f>
        <v>N/A</v>
      </c>
      <c r="P19" s="182"/>
      <c r="Q19" s="121" t="str">
        <f>IFERROR(INDEX(Coincidence,MATCH(CONCATENATE(#REF!," ",#REF!),Lookups!$AL$7:$AL$152,0),MATCH(D19,Lookups!$AM$6:$AQ$6,0)),"N/A")</f>
        <v>N/A</v>
      </c>
      <c r="R19" s="19"/>
      <c r="S19" s="174">
        <f>IF(OR(H19="NEMA Design A",H19= "NEMA Design B"),INDEX(NEMA_Design_A_or_B,MATCH(G19,Lookups!$G$10:$G$37,0),MATCH(CONCATENATE(J19,I19),Lookups!$H$9:$O$9,0)),(IF(H19="NEMA Design C",INDEX(NEMA_Design_C,MATCH(G19,Lookups!$Q$10:$Q$31,0),MATCH(CONCATENATE(J19,I19),Lookups!$R$9:$W$9,0)),0)))</f>
        <v>0</v>
      </c>
      <c r="T19" s="122" t="str">
        <f t="shared" si="2"/>
        <v>N/A</v>
      </c>
      <c r="U19" s="123" t="str">
        <f t="shared" si="1"/>
        <v/>
      </c>
      <c r="V19" s="177" t="str">
        <f t="shared" si="3"/>
        <v>N/A</v>
      </c>
      <c r="W19" s="209" t="str">
        <f t="shared" si="4"/>
        <v/>
      </c>
      <c r="X19" s="123" t="str">
        <f t="shared" si="5"/>
        <v/>
      </c>
      <c r="Y19" s="125" t="str">
        <f t="shared" si="6"/>
        <v/>
      </c>
      <c r="Z19" s="121" t="str">
        <f t="shared" si="7"/>
        <v/>
      </c>
      <c r="AA19" s="123" t="str">
        <f t="shared" si="8"/>
        <v/>
      </c>
      <c r="AB19" s="125" t="str">
        <f t="shared" si="9"/>
        <v/>
      </c>
      <c r="AC19" s="123" t="str">
        <f t="shared" si="10"/>
        <v/>
      </c>
      <c r="AD19" s="125" t="str">
        <f t="shared" si="11"/>
        <v/>
      </c>
      <c r="AE19" s="14"/>
      <c r="AF19" s="14"/>
      <c r="AG19" s="14"/>
    </row>
    <row r="20" spans="1:33" x14ac:dyDescent="0.25">
      <c r="A20" s="11"/>
      <c r="B20" s="112">
        <v>9</v>
      </c>
      <c r="C20" s="17"/>
      <c r="D20" s="19"/>
      <c r="E20" s="17"/>
      <c r="F20" s="18"/>
      <c r="G20" s="18"/>
      <c r="H20" s="18"/>
      <c r="I20" s="18"/>
      <c r="J20" s="55"/>
      <c r="K20" s="54"/>
      <c r="L20" s="55"/>
      <c r="M20" s="171" t="str">
        <f>IFERROR(VLOOKUP(D20,Lookups!$B$7:$E$11,4,FALSE),"")</f>
        <v/>
      </c>
      <c r="N20" s="180"/>
      <c r="O20" s="122" t="str">
        <f>IFERROR(INDEX(Motor_HOU,MATCH(CONCATENATE(#REF!," ",#REF!),Lookups!$AA$7:$AA$152,0),MATCH(D20,Lookups!$AB$6:$AF$6,0)),"N/A")</f>
        <v>N/A</v>
      </c>
      <c r="P20" s="182"/>
      <c r="Q20" s="121" t="str">
        <f>IFERROR(INDEX(Coincidence,MATCH(CONCATENATE(#REF!," ",#REF!),Lookups!$AL$7:$AL$152,0),MATCH(D20,Lookups!$AM$6:$AQ$6,0)),"N/A")</f>
        <v>N/A</v>
      </c>
      <c r="R20" s="19"/>
      <c r="S20" s="174">
        <f>IF(OR(H20="NEMA Design A",H20= "NEMA Design B"),INDEX(NEMA_Design_A_or_B,MATCH(G20,Lookups!$G$10:$G$37,0),MATCH(CONCATENATE(J20,I20),Lookups!$H$9:$O$9,0)),(IF(H20="NEMA Design C",INDEX(NEMA_Design_C,MATCH(G20,Lookups!$Q$10:$Q$31,0),MATCH(CONCATENATE(J20,I20),Lookups!$R$9:$W$9,0)),0)))</f>
        <v>0</v>
      </c>
      <c r="T20" s="122" t="str">
        <f t="shared" si="2"/>
        <v>N/A</v>
      </c>
      <c r="U20" s="123" t="str">
        <f t="shared" si="1"/>
        <v/>
      </c>
      <c r="V20" s="177" t="str">
        <f t="shared" si="3"/>
        <v>N/A</v>
      </c>
      <c r="W20" s="209" t="str">
        <f t="shared" si="4"/>
        <v/>
      </c>
      <c r="X20" s="123" t="str">
        <f t="shared" si="5"/>
        <v/>
      </c>
      <c r="Y20" s="125" t="str">
        <f t="shared" si="6"/>
        <v/>
      </c>
      <c r="Z20" s="121" t="str">
        <f t="shared" si="7"/>
        <v/>
      </c>
      <c r="AA20" s="123" t="str">
        <f t="shared" si="8"/>
        <v/>
      </c>
      <c r="AB20" s="125" t="str">
        <f t="shared" si="9"/>
        <v/>
      </c>
      <c r="AC20" s="123" t="str">
        <f t="shared" si="10"/>
        <v/>
      </c>
      <c r="AD20" s="125" t="str">
        <f t="shared" si="11"/>
        <v/>
      </c>
      <c r="AE20" s="14"/>
      <c r="AF20" s="14"/>
      <c r="AG20" s="14"/>
    </row>
    <row r="21" spans="1:33" ht="15.75" thickBot="1" x14ac:dyDescent="0.3">
      <c r="A21" s="11"/>
      <c r="B21" s="126">
        <v>10</v>
      </c>
      <c r="C21" s="69"/>
      <c r="D21" s="58"/>
      <c r="E21" s="69"/>
      <c r="F21" s="57"/>
      <c r="G21" s="57"/>
      <c r="H21" s="57"/>
      <c r="I21" s="57"/>
      <c r="J21" s="71"/>
      <c r="K21" s="60"/>
      <c r="L21" s="71"/>
      <c r="M21" s="172" t="str">
        <f>IFERROR(VLOOKUP(D21,Lookups!$B$7:$E$11,4,FALSE),"")</f>
        <v/>
      </c>
      <c r="N21" s="181"/>
      <c r="O21" s="128" t="str">
        <f>IFERROR(INDEX(Motor_HOU,MATCH(CONCATENATE(#REF!," ",#REF!),Lookups!$AA$7:$AA$152,0),MATCH(D21,Lookups!$AB$6:$AF$6,0)),"N/A")</f>
        <v>N/A</v>
      </c>
      <c r="P21" s="183"/>
      <c r="Q21" s="127" t="str">
        <f>IFERROR(INDEX(Coincidence,MATCH(CONCATENATE(#REF!," ",#REF!),Lookups!$AL$7:$AL$152,0),MATCH(D21,Lookups!$AM$6:$AQ$6,0)),"N/A")</f>
        <v>N/A</v>
      </c>
      <c r="R21" s="58"/>
      <c r="S21" s="175">
        <f>IF(OR(H21="NEMA Design A",H21= "NEMA Design B"),INDEX(NEMA_Design_A_or_B,MATCH(G21,Lookups!$G$10:$G$37,0),MATCH(CONCATENATE(J21,I21),Lookups!$H$9:$O$9,0)),(IF(H21="NEMA Design C",INDEX(NEMA_Design_C,MATCH(G21,Lookups!$Q$10:$Q$31,0),MATCH(CONCATENATE(J21,I21),Lookups!$R$9:$W$9,0)),0)))</f>
        <v>0</v>
      </c>
      <c r="T21" s="128" t="str">
        <f t="shared" si="2"/>
        <v>N/A</v>
      </c>
      <c r="U21" s="129" t="str">
        <f t="shared" si="1"/>
        <v/>
      </c>
      <c r="V21" s="178" t="str">
        <f t="shared" si="3"/>
        <v>N/A</v>
      </c>
      <c r="W21" s="210" t="str">
        <f t="shared" si="4"/>
        <v/>
      </c>
      <c r="X21" s="129" t="str">
        <f t="shared" si="5"/>
        <v/>
      </c>
      <c r="Y21" s="131" t="str">
        <f t="shared" si="6"/>
        <v/>
      </c>
      <c r="Z21" s="127" t="str">
        <f t="shared" si="7"/>
        <v/>
      </c>
      <c r="AA21" s="129" t="str">
        <f t="shared" si="8"/>
        <v/>
      </c>
      <c r="AB21" s="131" t="str">
        <f t="shared" si="9"/>
        <v/>
      </c>
      <c r="AC21" s="129" t="str">
        <f t="shared" si="10"/>
        <v/>
      </c>
      <c r="AD21" s="131" t="str">
        <f t="shared" si="11"/>
        <v/>
      </c>
      <c r="AE21" s="14"/>
      <c r="AF21" s="14"/>
      <c r="AG21" s="14"/>
    </row>
  </sheetData>
  <sheetProtection sheet="1" objects="1" scenarios="1"/>
  <mergeCells count="7">
    <mergeCell ref="AC5:AD5"/>
    <mergeCell ref="AC8:AD8"/>
    <mergeCell ref="E9:N9"/>
    <mergeCell ref="AC9:AD9"/>
    <mergeCell ref="L8:S8"/>
    <mergeCell ref="T9:AB9"/>
    <mergeCell ref="O9:S9"/>
  </mergeCells>
  <conditionalFormatting sqref="L11 O11 Q11 S11:V11">
    <cfRule type="expression" dxfId="15" priority="7">
      <formula>#REF!="New Construction"</formula>
    </cfRule>
  </conditionalFormatting>
  <conditionalFormatting sqref="M11:P21">
    <cfRule type="expression" dxfId="14" priority="2">
      <formula>#REF!="New Construction"</formula>
    </cfRule>
  </conditionalFormatting>
  <conditionalFormatting sqref="R11:R21">
    <cfRule type="expression" dxfId="13" priority="1">
      <formula>#REF!="New Construction"</formula>
    </cfRule>
  </conditionalFormatting>
  <conditionalFormatting sqref="AC11:AD21">
    <cfRule type="expression" dxfId="12" priority="4">
      <formula>#REF!="New Construction"</formula>
    </cfRule>
  </conditionalFormatting>
  <dataValidations count="2">
    <dataValidation type="list" allowBlank="1" showInputMessage="1" showErrorMessage="1" sqref="I11:I21" xr:uid="{F1A43120-00D0-4C20-970A-528E9933A859}">
      <formula1>"2,4,6,8"</formula1>
    </dataValidation>
    <dataValidation type="list" allowBlank="1" showInputMessage="1" showErrorMessage="1" sqref="J11:J21" xr:uid="{A137D2C9-F7C9-4EED-A84E-C3A4BD48A249}">
      <formula1>"ODP,TEFC"</formula1>
    </dataValidation>
  </dataValidations>
  <pageMargins left="0.7" right="0.7" top="0.75" bottom="0.75" header="0.3" footer="0.3"/>
  <pageSetup orientation="portrait" r:id="rId1"/>
  <ignoredErrors>
    <ignoredError sqref="M12:M21" unlockedFormula="1"/>
    <ignoredError sqref="U11:U21" formula="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D2AF5AC-6E21-4B01-9FB9-2EE1CEE101B2}">
          <x14:formula1>
            <xm:f>Lookups!$G$10:$G$34</xm:f>
          </x14:formula1>
          <xm:sqref>G11:G21</xm:sqref>
        </x14:dataValidation>
        <x14:dataValidation type="list" allowBlank="1" showInputMessage="1" showErrorMessage="1" xr:uid="{2AAED374-2616-46FD-9D7E-C4967BCB71F8}">
          <x14:formula1>
            <xm:f>Lookups!$B$48:$B$50</xm:f>
          </x14:formula1>
          <xm:sqref>H11:H21</xm:sqref>
        </x14:dataValidation>
        <x14:dataValidation type="list" allowBlank="1" showInputMessage="1" showErrorMessage="1" xr:uid="{3DD07B65-EC5B-4914-A117-4A902A8AD1FD}">
          <x14:formula1>
            <xm:f>Lookups!$B$7:$B$11</xm:f>
          </x14:formula1>
          <xm:sqref>D11:D21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004C4-2EFE-4BDD-B9E1-4747D3355D74}">
  <sheetPr codeName="Sheet4"/>
  <dimension ref="A1:BL17"/>
  <sheetViews>
    <sheetView zoomScale="90" zoomScaleNormal="90" workbookViewId="0">
      <selection activeCell="I17" sqref="I17"/>
    </sheetView>
  </sheetViews>
  <sheetFormatPr defaultColWidth="8.85546875" defaultRowHeight="15" x14ac:dyDescent="0.25"/>
  <cols>
    <col min="1" max="2" width="8.85546875" style="12"/>
    <col min="3" max="3" width="11.140625" style="12" customWidth="1"/>
    <col min="4" max="4" width="12" style="12" customWidth="1"/>
    <col min="5" max="7" width="8.42578125" style="12" customWidth="1"/>
    <col min="8" max="16384" width="8.85546875" style="12"/>
  </cols>
  <sheetData>
    <row r="1" spans="1:64" ht="15" customHeight="1" x14ac:dyDescent="0.25">
      <c r="A1" s="11"/>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4"/>
      <c r="BK1" s="14"/>
      <c r="BL1" s="14"/>
    </row>
    <row r="2" spans="1:64" s="6" customFormat="1" ht="22.5" x14ac:dyDescent="0.35">
      <c r="A2" s="2"/>
      <c r="B2" s="3" t="s">
        <v>162</v>
      </c>
      <c r="C2" s="4"/>
      <c r="D2" s="4"/>
      <c r="E2" s="4"/>
      <c r="F2" s="4"/>
      <c r="G2" s="4"/>
      <c r="H2" s="4"/>
      <c r="I2" s="4"/>
      <c r="J2" s="4"/>
      <c r="K2" s="4"/>
      <c r="L2" s="4"/>
      <c r="M2" s="51"/>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5"/>
      <c r="BK2" s="5"/>
      <c r="BL2" s="5"/>
    </row>
    <row r="3" spans="1:64" s="43" customFormat="1" ht="17.25" x14ac:dyDescent="0.25">
      <c r="A3" s="7"/>
      <c r="B3" s="8" t="s">
        <v>174</v>
      </c>
      <c r="C3" s="9"/>
      <c r="D3" s="9"/>
      <c r="E3" s="9"/>
      <c r="F3" s="9"/>
      <c r="G3" s="9"/>
      <c r="H3" s="9"/>
      <c r="I3" s="9"/>
      <c r="J3" s="9"/>
      <c r="K3" s="9"/>
      <c r="L3" s="9"/>
      <c r="M3" s="52"/>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7"/>
      <c r="BD3" s="7"/>
      <c r="BE3" s="7"/>
      <c r="BF3" s="7"/>
      <c r="BG3" s="7"/>
      <c r="BH3" s="7"/>
      <c r="BI3" s="7"/>
      <c r="BJ3" s="10"/>
      <c r="BK3" s="10"/>
      <c r="BL3" s="10"/>
    </row>
    <row r="4" spans="1:64" ht="9.75" customHeight="1" thickBot="1" x14ac:dyDescent="0.3">
      <c r="A4" s="11"/>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4"/>
      <c r="BK4" s="14"/>
      <c r="BL4" s="14"/>
    </row>
    <row r="5" spans="1:64" ht="60.75" thickBot="1" x14ac:dyDescent="0.3">
      <c r="A5" s="11"/>
      <c r="B5" s="107" t="s">
        <v>175</v>
      </c>
      <c r="C5" s="109" t="s">
        <v>176</v>
      </c>
      <c r="D5" s="111" t="s">
        <v>177</v>
      </c>
      <c r="E5" s="158" t="s">
        <v>306</v>
      </c>
      <c r="F5" s="159" t="s">
        <v>307</v>
      </c>
      <c r="G5" s="160" t="s">
        <v>178</v>
      </c>
      <c r="H5" s="159" t="s">
        <v>179</v>
      </c>
      <c r="I5" s="160" t="s">
        <v>180</v>
      </c>
      <c r="J5" s="159" t="s">
        <v>181</v>
      </c>
      <c r="K5" s="160" t="s">
        <v>182</v>
      </c>
      <c r="L5" s="159" t="s">
        <v>183</v>
      </c>
      <c r="M5" s="160" t="s">
        <v>184</v>
      </c>
      <c r="N5" s="159" t="s">
        <v>185</v>
      </c>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C5" s="343" t="s">
        <v>123</v>
      </c>
      <c r="BD5" s="344"/>
      <c r="BE5" s="345"/>
      <c r="BF5" s="343"/>
      <c r="BG5" s="345"/>
      <c r="BH5" s="343" t="s">
        <v>186</v>
      </c>
      <c r="BI5" s="345"/>
      <c r="BJ5" s="14"/>
      <c r="BK5" s="14"/>
      <c r="BL5" s="14"/>
    </row>
    <row r="6" spans="1:64" ht="15.75" thickTop="1" x14ac:dyDescent="0.25">
      <c r="B6" s="151">
        <v>0</v>
      </c>
      <c r="C6" s="152">
        <v>0</v>
      </c>
      <c r="D6" s="153">
        <v>0</v>
      </c>
      <c r="E6" s="104">
        <v>0</v>
      </c>
      <c r="F6" s="56">
        <v>0</v>
      </c>
      <c r="G6" s="63"/>
      <c r="H6" s="63"/>
      <c r="I6" s="63"/>
      <c r="J6" s="63"/>
      <c r="K6" s="63"/>
      <c r="L6" s="63"/>
      <c r="M6" s="63"/>
      <c r="N6" s="63"/>
    </row>
    <row r="7" spans="1:64" x14ac:dyDescent="0.25">
      <c r="B7" s="151">
        <v>0.1</v>
      </c>
      <c r="C7" s="152">
        <v>0</v>
      </c>
      <c r="D7" s="153">
        <v>0</v>
      </c>
      <c r="E7" s="104">
        <v>0</v>
      </c>
      <c r="F7" s="56">
        <v>0</v>
      </c>
      <c r="G7" s="63"/>
      <c r="H7" s="63"/>
      <c r="I7" s="63"/>
      <c r="J7" s="63"/>
      <c r="K7" s="63"/>
      <c r="L7" s="63"/>
      <c r="M7" s="63"/>
      <c r="N7" s="63"/>
    </row>
    <row r="8" spans="1:64" x14ac:dyDescent="0.25">
      <c r="B8" s="151">
        <v>0.2</v>
      </c>
      <c r="C8" s="152">
        <v>0</v>
      </c>
      <c r="D8" s="153">
        <v>0</v>
      </c>
      <c r="E8" s="104">
        <v>0</v>
      </c>
      <c r="F8" s="56">
        <v>0</v>
      </c>
      <c r="G8" s="63"/>
      <c r="H8" s="63"/>
      <c r="I8" s="63"/>
      <c r="J8" s="63"/>
      <c r="K8" s="63"/>
      <c r="L8" s="63"/>
      <c r="M8" s="63"/>
      <c r="N8" s="63"/>
    </row>
    <row r="9" spans="1:64" x14ac:dyDescent="0.25">
      <c r="B9" s="151">
        <v>0.3</v>
      </c>
      <c r="C9" s="152">
        <v>0</v>
      </c>
      <c r="D9" s="153">
        <v>0.05</v>
      </c>
      <c r="E9" s="104">
        <v>0</v>
      </c>
      <c r="F9" s="56">
        <v>0</v>
      </c>
      <c r="G9" s="63"/>
      <c r="H9" s="63"/>
      <c r="I9" s="63"/>
      <c r="J9" s="63"/>
      <c r="K9" s="63"/>
      <c r="L9" s="63"/>
      <c r="M9" s="63"/>
      <c r="N9" s="63"/>
    </row>
    <row r="10" spans="1:64" x14ac:dyDescent="0.25">
      <c r="B10" s="151">
        <v>0.4</v>
      </c>
      <c r="C10" s="152">
        <v>0</v>
      </c>
      <c r="D10" s="153">
        <v>0.1</v>
      </c>
      <c r="E10" s="104">
        <v>0.3</v>
      </c>
      <c r="F10" s="56">
        <v>0</v>
      </c>
      <c r="G10" s="63"/>
      <c r="H10" s="63"/>
      <c r="I10" s="63"/>
      <c r="J10" s="63"/>
      <c r="K10" s="63"/>
      <c r="L10" s="63"/>
      <c r="M10" s="63"/>
      <c r="N10" s="63"/>
    </row>
    <row r="11" spans="1:64" x14ac:dyDescent="0.25">
      <c r="B11" s="151">
        <v>0.5</v>
      </c>
      <c r="C11" s="152">
        <v>0.1</v>
      </c>
      <c r="D11" s="153">
        <v>0.2</v>
      </c>
      <c r="E11" s="104">
        <v>0.4</v>
      </c>
      <c r="F11" s="56">
        <v>0.2</v>
      </c>
      <c r="G11" s="63"/>
      <c r="H11" s="63"/>
      <c r="I11" s="63"/>
      <c r="J11" s="63"/>
      <c r="K11" s="63"/>
      <c r="L11" s="63"/>
      <c r="M11" s="63"/>
      <c r="N11" s="63"/>
    </row>
    <row r="12" spans="1:64" x14ac:dyDescent="0.25">
      <c r="B12" s="151">
        <v>0.6</v>
      </c>
      <c r="C12" s="152">
        <v>0.2</v>
      </c>
      <c r="D12" s="153">
        <v>0.3</v>
      </c>
      <c r="E12" s="104">
        <v>0</v>
      </c>
      <c r="F12" s="56">
        <v>0</v>
      </c>
      <c r="G12" s="63"/>
      <c r="H12" s="63"/>
      <c r="I12" s="63"/>
      <c r="J12" s="63"/>
      <c r="K12" s="63"/>
      <c r="L12" s="63"/>
      <c r="M12" s="63"/>
      <c r="N12" s="63"/>
    </row>
    <row r="13" spans="1:64" x14ac:dyDescent="0.25">
      <c r="B13" s="151">
        <v>0.7</v>
      </c>
      <c r="C13" s="152">
        <v>0.3</v>
      </c>
      <c r="D13" s="153">
        <v>0.2</v>
      </c>
      <c r="E13" s="104">
        <v>0.25</v>
      </c>
      <c r="F13" s="56">
        <v>0.6</v>
      </c>
      <c r="G13" s="63"/>
      <c r="H13" s="63"/>
      <c r="I13" s="63"/>
      <c r="J13" s="63"/>
      <c r="K13" s="63"/>
      <c r="L13" s="63"/>
      <c r="M13" s="63"/>
      <c r="N13" s="63"/>
    </row>
    <row r="14" spans="1:64" x14ac:dyDescent="0.25">
      <c r="B14" s="151">
        <v>0.8</v>
      </c>
      <c r="C14" s="152">
        <v>0.2</v>
      </c>
      <c r="D14" s="153">
        <v>0.1</v>
      </c>
      <c r="E14" s="104">
        <v>0</v>
      </c>
      <c r="F14" s="56">
        <v>0</v>
      </c>
      <c r="G14" s="63"/>
      <c r="H14" s="63"/>
      <c r="I14" s="63"/>
      <c r="J14" s="63"/>
      <c r="K14" s="63"/>
      <c r="L14" s="63"/>
      <c r="M14" s="63"/>
      <c r="N14" s="63"/>
    </row>
    <row r="15" spans="1:64" x14ac:dyDescent="0.25">
      <c r="B15" s="151">
        <v>0.9</v>
      </c>
      <c r="C15" s="152">
        <v>0.15</v>
      </c>
      <c r="D15" s="153">
        <v>0.05</v>
      </c>
      <c r="E15" s="104">
        <v>0.05</v>
      </c>
      <c r="F15" s="56">
        <v>0.2</v>
      </c>
      <c r="G15" s="63"/>
      <c r="H15" s="63"/>
      <c r="I15" s="63"/>
      <c r="J15" s="63"/>
      <c r="K15" s="63"/>
      <c r="L15" s="63"/>
      <c r="M15" s="63"/>
      <c r="N15" s="63"/>
    </row>
    <row r="16" spans="1:64" x14ac:dyDescent="0.25">
      <c r="B16" s="151">
        <v>1</v>
      </c>
      <c r="C16" s="152">
        <v>0.05</v>
      </c>
      <c r="D16" s="153">
        <v>0</v>
      </c>
      <c r="E16" s="104">
        <v>0</v>
      </c>
      <c r="F16" s="56">
        <v>0</v>
      </c>
      <c r="G16" s="63"/>
      <c r="H16" s="63"/>
      <c r="I16" s="63"/>
      <c r="J16" s="63"/>
      <c r="K16" s="63"/>
      <c r="L16" s="63"/>
      <c r="M16" s="63"/>
      <c r="N16" s="63"/>
    </row>
    <row r="17" spans="2:14" ht="15.75" thickBot="1" x14ac:dyDescent="0.3">
      <c r="B17" s="154" t="s">
        <v>186</v>
      </c>
      <c r="C17" s="155">
        <f>SUM(C6:C16)</f>
        <v>1</v>
      </c>
      <c r="D17" s="156">
        <f>SUM(D6:D16)</f>
        <v>1</v>
      </c>
      <c r="E17" s="148">
        <f>SUM(E6:E16)</f>
        <v>1</v>
      </c>
      <c r="F17" s="155">
        <f t="shared" ref="F17:G17" si="0">SUM(F6:F16)</f>
        <v>1</v>
      </c>
      <c r="G17" s="157">
        <f t="shared" si="0"/>
        <v>0</v>
      </c>
      <c r="H17" s="157">
        <f t="shared" ref="H17:N17" si="1">SUM(H6:H16)</f>
        <v>0</v>
      </c>
      <c r="I17" s="157">
        <f t="shared" si="1"/>
        <v>0</v>
      </c>
      <c r="J17" s="157">
        <f t="shared" si="1"/>
        <v>0</v>
      </c>
      <c r="K17" s="157">
        <f t="shared" si="1"/>
        <v>0</v>
      </c>
      <c r="L17" s="157">
        <f t="shared" si="1"/>
        <v>0</v>
      </c>
      <c r="M17" s="157">
        <f t="shared" si="1"/>
        <v>0</v>
      </c>
      <c r="N17" s="157">
        <f t="shared" si="1"/>
        <v>0</v>
      </c>
    </row>
  </sheetData>
  <sheetProtection sheet="1" objects="1" scenarios="1"/>
  <mergeCells count="3">
    <mergeCell ref="BC5:BE5"/>
    <mergeCell ref="BF5:BG5"/>
    <mergeCell ref="BH5:BI5"/>
  </mergeCells>
  <conditionalFormatting sqref="E17:N17">
    <cfRule type="cellIs" dxfId="11" priority="1" operator="greaterThan">
      <formula>1</formula>
    </cfRule>
    <cfRule type="cellIs" dxfId="10" priority="2" operator="lessThan">
      <formula>1</formula>
    </cfRule>
  </conditionalFormatting>
  <pageMargins left="0.7" right="0.7" top="0.75" bottom="0.75" header="0.3" footer="0.3"/>
  <pageSetup orientation="portrait" r:id="rId1"/>
  <ignoredErrors>
    <ignoredError sqref="F17:G17"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E13CF-2C5E-4BE1-9410-E7E72719E546}">
  <sheetPr codeName="Sheet5"/>
  <dimension ref="A1:BF230"/>
  <sheetViews>
    <sheetView zoomScale="88" zoomScaleNormal="88" workbookViewId="0">
      <selection activeCell="F36" sqref="F36"/>
    </sheetView>
  </sheetViews>
  <sheetFormatPr defaultColWidth="8.85546875" defaultRowHeight="15" x14ac:dyDescent="0.25"/>
  <cols>
    <col min="1" max="1" width="8.85546875" style="12"/>
    <col min="2" max="2" width="26.7109375" style="12" customWidth="1"/>
    <col min="3" max="4" width="20.5703125" style="12" customWidth="1"/>
    <col min="5" max="5" width="11.7109375" style="12" customWidth="1"/>
    <col min="6" max="6" width="10.7109375" style="12" bestFit="1" customWidth="1"/>
    <col min="7" max="7" width="29.28515625" style="12" customWidth="1"/>
    <col min="8" max="15" width="11.42578125" style="12" customWidth="1"/>
    <col min="16" max="17" width="8.85546875" style="12"/>
    <col min="18" max="23" width="11.85546875" style="12" customWidth="1"/>
    <col min="24" max="24" width="8.85546875" style="12"/>
    <col min="25" max="25" width="13.5703125" style="12" customWidth="1"/>
    <col min="26" max="26" width="29.7109375" style="12" customWidth="1"/>
    <col min="27" max="27" width="43.85546875" style="12" bestFit="1" customWidth="1"/>
    <col min="28" max="29" width="8.85546875" style="12"/>
    <col min="30" max="30" width="11.7109375" style="12" bestFit="1" customWidth="1"/>
    <col min="31" max="34" width="8.85546875" style="12"/>
    <col min="35" max="35" width="19.85546875" style="12" customWidth="1"/>
    <col min="36" max="36" width="31" style="12" customWidth="1"/>
    <col min="37" max="37" width="28.7109375" style="12" bestFit="1" customWidth="1"/>
    <col min="38" max="38" width="34.28515625" style="12" customWidth="1"/>
    <col min="39" max="39" width="11.85546875" style="12" customWidth="1"/>
    <col min="40" max="40" width="8.85546875" style="12"/>
    <col min="41" max="41" width="11.7109375" style="12" bestFit="1" customWidth="1"/>
    <col min="42" max="44" width="8.85546875" style="12"/>
    <col min="45" max="45" width="8.42578125" style="12" customWidth="1"/>
    <col min="46" max="46" width="25.7109375" style="12" customWidth="1"/>
    <col min="47" max="16384" width="8.85546875" style="12"/>
  </cols>
  <sheetData>
    <row r="1" spans="1:58" customFormat="1" ht="15" customHeight="1" x14ac:dyDescent="0.25">
      <c r="B1" s="351"/>
      <c r="C1" s="351"/>
      <c r="D1" s="351"/>
      <c r="E1" s="351"/>
      <c r="F1" s="351"/>
      <c r="G1" s="351"/>
      <c r="H1" s="351"/>
      <c r="I1" s="351"/>
      <c r="J1" s="351"/>
      <c r="K1" s="351"/>
      <c r="L1" s="351"/>
      <c r="M1" s="351"/>
      <c r="N1" s="351"/>
      <c r="O1" s="351"/>
      <c r="P1" s="351"/>
      <c r="R1" s="1"/>
      <c r="S1" s="1"/>
    </row>
    <row r="2" spans="1:58" s="6" customFormat="1" ht="22.5" x14ac:dyDescent="0.35">
      <c r="A2" s="2"/>
      <c r="B2" s="3" t="s">
        <v>162</v>
      </c>
      <c r="C2" s="3"/>
      <c r="D2" s="3"/>
      <c r="E2" s="3"/>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5"/>
      <c r="AT2" s="5"/>
      <c r="AU2" s="5"/>
    </row>
    <row r="3" spans="1:58" s="20" customFormat="1" ht="17.25" x14ac:dyDescent="0.25">
      <c r="A3" s="7"/>
      <c r="B3" s="8" t="s">
        <v>187</v>
      </c>
      <c r="C3" s="8"/>
      <c r="D3" s="8"/>
      <c r="E3" s="8"/>
      <c r="F3" s="9"/>
      <c r="G3" s="9"/>
      <c r="H3" s="9"/>
      <c r="I3" s="9"/>
      <c r="J3" s="9"/>
      <c r="K3" s="9"/>
      <c r="L3" s="9"/>
      <c r="M3" s="9"/>
      <c r="N3" s="9"/>
      <c r="O3" s="9"/>
      <c r="P3" s="9"/>
      <c r="Q3" s="9"/>
      <c r="R3" s="9"/>
      <c r="S3" s="9"/>
      <c r="T3" s="9"/>
      <c r="U3" s="9"/>
      <c r="V3" s="9"/>
      <c r="W3" s="9"/>
      <c r="X3" s="9"/>
      <c r="Y3" s="9"/>
      <c r="Z3" s="9"/>
      <c r="AA3" s="9"/>
      <c r="AB3" s="9"/>
      <c r="AC3" s="7"/>
      <c r="AD3" s="7"/>
    </row>
    <row r="4" spans="1:58" ht="9.75" customHeight="1" thickBot="1" x14ac:dyDescent="0.3">
      <c r="B4" s="21"/>
      <c r="C4" s="21"/>
      <c r="D4" s="21"/>
      <c r="E4" s="21"/>
      <c r="F4" s="21"/>
      <c r="G4" s="21"/>
      <c r="H4" s="21"/>
      <c r="I4" s="21"/>
      <c r="J4" s="21"/>
      <c r="K4" s="21"/>
      <c r="L4" s="21"/>
      <c r="M4" s="21"/>
      <c r="N4" s="21"/>
      <c r="O4" s="21"/>
      <c r="P4" s="21"/>
      <c r="R4" s="13"/>
      <c r="S4" s="13"/>
    </row>
    <row r="5" spans="1:58" ht="14.45" customHeight="1" thickBot="1" x14ac:dyDescent="0.3">
      <c r="B5" s="22"/>
      <c r="C5" s="22"/>
      <c r="D5" s="22"/>
      <c r="E5" s="22"/>
      <c r="F5" s="22"/>
      <c r="H5" s="22"/>
      <c r="I5" s="22"/>
      <c r="J5" s="22"/>
      <c r="K5" s="22"/>
      <c r="L5" s="22"/>
      <c r="M5" s="22"/>
      <c r="N5" s="22"/>
      <c r="O5"/>
      <c r="P5" s="22"/>
      <c r="Q5" s="22"/>
      <c r="R5" s="22"/>
      <c r="S5" s="22"/>
      <c r="T5" s="22"/>
      <c r="U5" s="22"/>
      <c r="V5" s="22"/>
      <c r="W5" s="22"/>
      <c r="X5" s="22"/>
      <c r="Y5" s="346" t="s">
        <v>188</v>
      </c>
      <c r="Z5" s="347"/>
      <c r="AA5" s="347"/>
      <c r="AB5" s="347"/>
      <c r="AC5" s="347"/>
      <c r="AD5" s="347"/>
      <c r="AE5" s="347"/>
      <c r="AF5" s="216"/>
      <c r="AG5" s="185"/>
      <c r="AH5" s="185"/>
      <c r="AI5" s="22"/>
      <c r="AJ5" s="346" t="s">
        <v>189</v>
      </c>
      <c r="AK5" s="347"/>
      <c r="AL5" s="347"/>
      <c r="AM5" s="347"/>
      <c r="AN5" s="347"/>
      <c r="AO5" s="347"/>
      <c r="AP5" s="347"/>
      <c r="AQ5" s="216"/>
      <c r="AT5" s="346" t="s">
        <v>190</v>
      </c>
      <c r="AU5" s="347"/>
      <c r="AV5" s="347"/>
      <c r="AW5" s="347"/>
      <c r="AX5" s="347"/>
      <c r="AY5" s="347"/>
      <c r="AZ5" s="347"/>
      <c r="BA5" s="347"/>
      <c r="BB5" s="347"/>
      <c r="BC5" s="347"/>
      <c r="BD5" s="347"/>
      <c r="BE5" s="348"/>
    </row>
    <row r="6" spans="1:58" ht="14.45" customHeight="1" thickBot="1" x14ac:dyDescent="0.3">
      <c r="B6" s="26" t="s">
        <v>126</v>
      </c>
      <c r="C6" s="26" t="s">
        <v>198</v>
      </c>
      <c r="D6" s="26" t="s">
        <v>169</v>
      </c>
      <c r="E6" s="26" t="s">
        <v>199</v>
      </c>
      <c r="F6" s="26" t="s">
        <v>309</v>
      </c>
      <c r="G6" s="346" t="s">
        <v>191</v>
      </c>
      <c r="H6" s="347"/>
      <c r="I6" s="347"/>
      <c r="J6" s="347"/>
      <c r="K6" s="347"/>
      <c r="L6" s="347"/>
      <c r="M6" s="347"/>
      <c r="N6" s="347"/>
      <c r="O6" s="348"/>
      <c r="P6" s="22"/>
      <c r="Q6" s="346" t="s">
        <v>192</v>
      </c>
      <c r="R6" s="347"/>
      <c r="S6" s="347"/>
      <c r="T6" s="347"/>
      <c r="U6" s="347"/>
      <c r="V6" s="347"/>
      <c r="W6" s="347"/>
      <c r="X6" s="22"/>
      <c r="Y6" s="28"/>
      <c r="Z6" s="28"/>
      <c r="AA6" s="28"/>
      <c r="AB6" s="28" t="s">
        <v>193</v>
      </c>
      <c r="AC6" s="28" t="s">
        <v>194</v>
      </c>
      <c r="AD6" s="28" t="s">
        <v>195</v>
      </c>
      <c r="AE6" s="28" t="s">
        <v>196</v>
      </c>
      <c r="AF6" s="28" t="s">
        <v>157</v>
      </c>
      <c r="AG6" s="186"/>
      <c r="AH6" s="186"/>
      <c r="AI6" s="22"/>
      <c r="AJ6" s="28"/>
      <c r="AK6" s="28"/>
      <c r="AL6" s="28"/>
      <c r="AM6" s="28" t="s">
        <v>193</v>
      </c>
      <c r="AN6" s="28" t="s">
        <v>194</v>
      </c>
      <c r="AO6" s="28" t="s">
        <v>195</v>
      </c>
      <c r="AP6" s="28" t="s">
        <v>196</v>
      </c>
      <c r="AQ6" s="28" t="s">
        <v>157</v>
      </c>
      <c r="AT6" s="47" t="s">
        <v>197</v>
      </c>
      <c r="AU6" s="46">
        <v>0</v>
      </c>
      <c r="AV6" s="46">
        <v>0.1</v>
      </c>
      <c r="AW6" s="46">
        <v>0.2</v>
      </c>
      <c r="AX6" s="46">
        <v>0.3</v>
      </c>
      <c r="AY6" s="46">
        <v>0.4</v>
      </c>
      <c r="AZ6" s="46">
        <v>0.5</v>
      </c>
      <c r="BA6" s="46">
        <v>0.6</v>
      </c>
      <c r="BB6" s="46">
        <v>0.7</v>
      </c>
      <c r="BC6" s="46">
        <v>0.8</v>
      </c>
      <c r="BD6" s="46">
        <v>0.9</v>
      </c>
      <c r="BE6" s="198">
        <v>1</v>
      </c>
    </row>
    <row r="7" spans="1:58" ht="15.75" thickBot="1" x14ac:dyDescent="0.3">
      <c r="B7" s="25" t="s">
        <v>193</v>
      </c>
      <c r="C7" s="25" t="s">
        <v>207</v>
      </c>
      <c r="D7" s="25" t="s">
        <v>208</v>
      </c>
      <c r="E7" s="161">
        <v>0.79</v>
      </c>
      <c r="F7" s="275">
        <f>75*Summary!M12</f>
        <v>37.5</v>
      </c>
      <c r="G7" s="349" t="s">
        <v>200</v>
      </c>
      <c r="H7" s="352" t="s">
        <v>201</v>
      </c>
      <c r="I7" s="353"/>
      <c r="J7" s="352" t="s">
        <v>202</v>
      </c>
      <c r="K7" s="353"/>
      <c r="L7" s="352" t="s">
        <v>203</v>
      </c>
      <c r="M7" s="353"/>
      <c r="N7" s="352" t="s">
        <v>204</v>
      </c>
      <c r="O7" s="354"/>
      <c r="P7"/>
      <c r="Q7" s="349"/>
      <c r="R7" s="352" t="s">
        <v>202</v>
      </c>
      <c r="S7" s="353"/>
      <c r="T7" s="352" t="s">
        <v>203</v>
      </c>
      <c r="U7" s="353"/>
      <c r="V7" s="352" t="s">
        <v>204</v>
      </c>
      <c r="W7" s="354"/>
      <c r="X7" s="22"/>
      <c r="Y7" s="44" t="s">
        <v>205</v>
      </c>
      <c r="Z7" s="37" t="s">
        <v>206</v>
      </c>
      <c r="AA7" s="37" t="str">
        <f>CONCATENATE(Y7," ",Z7)</f>
        <v>Allentown Education - College/University</v>
      </c>
      <c r="AB7" s="37">
        <f>INDEX($Z$182:$AH$191,MATCH($Z7,$Y$182:$Y$191,0),MATCH($Y7,$Z$181:$AH$181,0))</f>
        <v>4006.5</v>
      </c>
      <c r="AC7" s="37">
        <f>INDEX($Z$195:$AH$204,MATCH($Z7,$Y$182:$Y$191,0),MATCH($Y7,$Z$181:$AH$181,0))</f>
        <v>4005.5</v>
      </c>
      <c r="AD7" s="37">
        <f>INDEX($Z$221:$AH$230,MATCH($Z7,$Y$182:$Y$191,0),MATCH($Y7,$Z$181:$AH$181,0))</f>
        <v>5544</v>
      </c>
      <c r="AE7" s="37">
        <f>INDEX($Z$208:$AF$217,MATCH($Z7,$Y$182:$Y$191,0),MATCH($Y7,$Z$181:$AH$181,0))</f>
        <v>4548</v>
      </c>
      <c r="AF7" s="37">
        <f>INDEX($Z$158:$AH$178,MATCH($Z7,$Y$158:$Y$178,0),MATCH($Y7,$Z$157:$AH$157,0))</f>
        <v>6041.5</v>
      </c>
      <c r="AG7" s="187"/>
      <c r="AH7" s="187"/>
      <c r="AI7" s="22"/>
      <c r="AJ7" s="44" t="s">
        <v>205</v>
      </c>
      <c r="AK7" s="37" t="s">
        <v>206</v>
      </c>
      <c r="AL7" s="37" t="str">
        <f>CONCATENATE(AJ7," ",AK7)</f>
        <v>Allentown Education - College/University</v>
      </c>
      <c r="AM7" s="45">
        <f>INDEX($AK$182:$AS$191,MATCH($Z7,$Y$182:$Y$191,0),MATCH($Y7,$Z$181:$AH$181,0))</f>
        <v>0.40500000000000003</v>
      </c>
      <c r="AN7" s="45">
        <f>INDEX($AK$195:$AS$204,MATCH($Z7,$Y$182:$Y$191,0),MATCH($Y7,$Z$181:$AH$181,0))</f>
        <v>0.40500000000000003</v>
      </c>
      <c r="AO7" s="45">
        <f>INDEX($AK$221:$AS$230,MATCH($Z7,$Y$182:$Y$191,0),MATCH($Y7,$Z$181:$AH$181,0))</f>
        <v>0.61</v>
      </c>
      <c r="AP7" s="45">
        <f>INDEX($AK$208:$AS$217,MATCH($Z7,$Y$182:$Y$191,0),MATCH($Y7,$Z$181:$AH$181,0))</f>
        <v>5.0000000000000001E-3</v>
      </c>
      <c r="AQ7" s="45">
        <f>INDEX($AK$158:$AS$178,MATCH(Z7,$Y$158:$Y$178,0),MATCH(Y7,$Z$157:$AH$157,0))</f>
        <v>0.42499999999999999</v>
      </c>
      <c r="AS7" s="12">
        <v>2</v>
      </c>
      <c r="AT7" s="44" t="s">
        <v>172</v>
      </c>
      <c r="AU7" s="48">
        <v>0</v>
      </c>
      <c r="AV7" s="48">
        <v>0</v>
      </c>
      <c r="AW7" s="48">
        <v>0</v>
      </c>
      <c r="AX7" s="48">
        <v>0</v>
      </c>
      <c r="AY7" s="48">
        <v>0</v>
      </c>
      <c r="AZ7" s="48">
        <v>0.1</v>
      </c>
      <c r="BA7" s="48">
        <v>0.2</v>
      </c>
      <c r="BB7" s="48">
        <v>0.3</v>
      </c>
      <c r="BC7" s="48">
        <v>0.2</v>
      </c>
      <c r="BD7" s="48">
        <v>0.15</v>
      </c>
      <c r="BE7" s="199">
        <v>0.05</v>
      </c>
      <c r="BF7" s="197">
        <f>SUM(AU7:BE7)</f>
        <v>1</v>
      </c>
    </row>
    <row r="8" spans="1:58" ht="15.75" thickBot="1" x14ac:dyDescent="0.3">
      <c r="B8" s="25" t="s">
        <v>194</v>
      </c>
      <c r="C8" s="25" t="s">
        <v>212</v>
      </c>
      <c r="D8" s="25" t="s">
        <v>213</v>
      </c>
      <c r="E8" s="161">
        <v>0.76</v>
      </c>
      <c r="F8" s="275">
        <f>75*Summary!M12</f>
        <v>37.5</v>
      </c>
      <c r="G8" s="349"/>
      <c r="H8" s="31" t="s">
        <v>209</v>
      </c>
      <c r="I8" s="32" t="s">
        <v>210</v>
      </c>
      <c r="J8" s="217" t="s">
        <v>209</v>
      </c>
      <c r="K8" s="28" t="s">
        <v>210</v>
      </c>
      <c r="L8" s="28" t="s">
        <v>209</v>
      </c>
      <c r="M8" s="28" t="s">
        <v>210</v>
      </c>
      <c r="N8" s="28" t="s">
        <v>209</v>
      </c>
      <c r="O8" s="28" t="s">
        <v>210</v>
      </c>
      <c r="P8"/>
      <c r="Q8" s="349"/>
      <c r="R8" s="217" t="s">
        <v>209</v>
      </c>
      <c r="S8" s="28" t="s">
        <v>210</v>
      </c>
      <c r="T8" s="28" t="s">
        <v>209</v>
      </c>
      <c r="U8" s="28" t="s">
        <v>210</v>
      </c>
      <c r="V8" s="28" t="s">
        <v>209</v>
      </c>
      <c r="W8" s="28" t="s">
        <v>210</v>
      </c>
      <c r="X8" s="22"/>
      <c r="Y8" s="44" t="s">
        <v>205</v>
      </c>
      <c r="Z8" s="37" t="s">
        <v>211</v>
      </c>
      <c r="AA8" s="37" t="str">
        <f t="shared" ref="AA8:AA71" si="0">CONCATENATE(Y8," ",Z8)</f>
        <v>Allentown Education - Other</v>
      </c>
      <c r="AB8" s="37">
        <f t="shared" ref="AB8:AB71" si="1">INDEX($Z$182:$AH$191,MATCH($Z8,$Y$182:$Y$191,0),MATCH($Y8,$Z$181:$AH$181,0))</f>
        <v>2721</v>
      </c>
      <c r="AC8" s="37">
        <f t="shared" ref="AC8:AC71" si="2">INDEX($Z$195:$AH$204,MATCH($Z8,$Y$182:$Y$191,0),MATCH($Y8,$Z$181:$AH$181,0))</f>
        <v>2742</v>
      </c>
      <c r="AD8" s="37">
        <f t="shared" ref="AD8:AD71" si="3">INDEX($Z$221:$AH$230,MATCH($Z8,$Y$182:$Y$191,0),MATCH($Y8,$Z$181:$AH$181,0))</f>
        <v>1735</v>
      </c>
      <c r="AE8" s="37">
        <f t="shared" ref="AE8:AE71" si="4">INDEX($Z$208:$AF$217,MATCH($Z8,$Y$182:$Y$191,0),MATCH($Y8,$Z$181:$AH$181,0))</f>
        <v>3651</v>
      </c>
      <c r="AF8" s="37">
        <f t="shared" ref="AF8:AF71" si="5">INDEX($Z$158:$AH$178,MATCH($Z8,$Y$158:$Y$178,0),MATCH($Y8,$Z$157:$AH$157,0))</f>
        <v>4380</v>
      </c>
      <c r="AG8" s="187"/>
      <c r="AH8" s="187"/>
      <c r="AI8" s="22"/>
      <c r="AJ8" s="44" t="s">
        <v>205</v>
      </c>
      <c r="AK8" s="37" t="s">
        <v>211</v>
      </c>
      <c r="AL8" s="37" t="str">
        <f t="shared" ref="AL8:AL71" si="6">CONCATENATE(AJ8," ",AK8)</f>
        <v>Allentown Education - Other</v>
      </c>
      <c r="AM8" s="45">
        <f t="shared" ref="AM8:AM71" si="7">INDEX($AK$182:$AS$191,MATCH($Z8,$Y$182:$Y$191,0),MATCH($Y8,$Z$181:$AH$181,0))</f>
        <v>0.1</v>
      </c>
      <c r="AN8" s="45">
        <f t="shared" ref="AN8:AN71" si="8">INDEX($AK$195:$AS$204,MATCH($Z8,$Y$182:$Y$191,0),MATCH($Y8,$Z$181:$AH$181,0))</f>
        <v>0.11</v>
      </c>
      <c r="AO8" s="45">
        <f t="shared" ref="AO8:AO71" si="9">INDEX($AK$221:$AS$230,MATCH($Z8,$Y$182:$Y$191,0),MATCH($Y8,$Z$181:$AH$181,0))</f>
        <v>0.53</v>
      </c>
      <c r="AP8" s="45">
        <f t="shared" ref="AP8:AP71" si="10">INDEX($AK$208:$AS$217,MATCH($Z8,$Y$182:$Y$191,0),MATCH($Y8,$Z$181:$AH$181,0))</f>
        <v>0</v>
      </c>
      <c r="AQ8" s="45">
        <f t="shared" ref="AQ8:AQ71" si="11">INDEX($AK$158:$AS$178,MATCH(Z8,$Y$158:$Y$178,0),MATCH(Y8,$Z$157:$AH$157,0))</f>
        <v>0.12</v>
      </c>
      <c r="AS8" s="12">
        <v>3</v>
      </c>
      <c r="AT8" s="44" t="s">
        <v>207</v>
      </c>
      <c r="AU8" s="48">
        <v>0</v>
      </c>
      <c r="AV8" s="48">
        <v>0</v>
      </c>
      <c r="AW8" s="48">
        <v>0</v>
      </c>
      <c r="AX8" s="48">
        <v>0.05</v>
      </c>
      <c r="AY8" s="48">
        <v>0.1</v>
      </c>
      <c r="AZ8" s="48">
        <v>0.2</v>
      </c>
      <c r="BA8" s="48">
        <v>0.3</v>
      </c>
      <c r="BB8" s="48">
        <v>0.2</v>
      </c>
      <c r="BC8" s="48">
        <v>0.1</v>
      </c>
      <c r="BD8" s="48">
        <v>0.05</v>
      </c>
      <c r="BE8" s="199">
        <v>0</v>
      </c>
      <c r="BF8" s="197">
        <f>SUM(AU8:BE8)</f>
        <v>1</v>
      </c>
    </row>
    <row r="9" spans="1:58" ht="15.75" thickBot="1" x14ac:dyDescent="0.3">
      <c r="B9" s="25" t="s">
        <v>195</v>
      </c>
      <c r="C9" s="25" t="s">
        <v>207</v>
      </c>
      <c r="D9" s="25" t="s">
        <v>208</v>
      </c>
      <c r="E9" s="161">
        <v>0.79</v>
      </c>
      <c r="F9" s="275">
        <f>75*Summary!M12</f>
        <v>37.5</v>
      </c>
      <c r="G9" s="350"/>
      <c r="H9" s="35" t="s">
        <v>214</v>
      </c>
      <c r="I9" s="36" t="s">
        <v>215</v>
      </c>
      <c r="J9" s="217" t="s">
        <v>216</v>
      </c>
      <c r="K9" s="28" t="s">
        <v>217</v>
      </c>
      <c r="L9" s="28" t="s">
        <v>218</v>
      </c>
      <c r="M9" s="28" t="s">
        <v>219</v>
      </c>
      <c r="N9" s="28" t="s">
        <v>220</v>
      </c>
      <c r="O9" s="28" t="s">
        <v>221</v>
      </c>
      <c r="P9"/>
      <c r="Q9" s="350" t="s">
        <v>200</v>
      </c>
      <c r="R9" s="217" t="s">
        <v>216</v>
      </c>
      <c r="S9" s="28" t="s">
        <v>217</v>
      </c>
      <c r="T9" s="28" t="s">
        <v>218</v>
      </c>
      <c r="U9" s="28" t="s">
        <v>219</v>
      </c>
      <c r="V9" s="28" t="s">
        <v>220</v>
      </c>
      <c r="W9" s="28" t="s">
        <v>221</v>
      </c>
      <c r="X9" s="22"/>
      <c r="Y9" s="44" t="s">
        <v>205</v>
      </c>
      <c r="Z9" s="37" t="s">
        <v>222</v>
      </c>
      <c r="AA9" s="37" t="str">
        <f t="shared" si="0"/>
        <v>Allentown Grocery</v>
      </c>
      <c r="AB9" s="37" t="e">
        <f t="shared" si="1"/>
        <v>#N/A</v>
      </c>
      <c r="AC9" s="37" t="e">
        <f t="shared" si="2"/>
        <v>#N/A</v>
      </c>
      <c r="AD9" s="37" t="e">
        <f t="shared" si="3"/>
        <v>#N/A</v>
      </c>
      <c r="AE9" s="37" t="e">
        <f t="shared" si="4"/>
        <v>#N/A</v>
      </c>
      <c r="AF9" s="37">
        <f t="shared" si="5"/>
        <v>6708</v>
      </c>
      <c r="AG9" s="187"/>
      <c r="AH9" s="187"/>
      <c r="AI9" s="22"/>
      <c r="AJ9" s="44" t="s">
        <v>205</v>
      </c>
      <c r="AK9" s="37" t="s">
        <v>222</v>
      </c>
      <c r="AL9" s="37" t="str">
        <f t="shared" si="6"/>
        <v>Allentown Grocery</v>
      </c>
      <c r="AM9" s="45" t="e">
        <f t="shared" si="7"/>
        <v>#N/A</v>
      </c>
      <c r="AN9" s="45" t="e">
        <f t="shared" si="8"/>
        <v>#N/A</v>
      </c>
      <c r="AO9" s="45" t="e">
        <f t="shared" si="9"/>
        <v>#N/A</v>
      </c>
      <c r="AP9" s="45" t="e">
        <f t="shared" si="10"/>
        <v>#N/A</v>
      </c>
      <c r="AQ9" s="45">
        <f t="shared" si="11"/>
        <v>0.24</v>
      </c>
      <c r="AS9" s="12">
        <v>4</v>
      </c>
      <c r="AT9" s="44" t="str">
        <f>'VFD Custom Load Profile'!$E$5</f>
        <v>Process Load - Low Loading</v>
      </c>
      <c r="AU9" s="48">
        <f>'VFD Custom Load Profile'!$E$6</f>
        <v>0</v>
      </c>
      <c r="AV9" s="48">
        <f>'VFD Custom Load Profile'!$E$7</f>
        <v>0</v>
      </c>
      <c r="AW9" s="48">
        <f>'VFD Custom Load Profile'!$E$8</f>
        <v>0</v>
      </c>
      <c r="AX9" s="48">
        <f>'VFD Custom Load Profile'!$E$9</f>
        <v>0</v>
      </c>
      <c r="AY9" s="48">
        <f>'VFD Custom Load Profile'!$E$10</f>
        <v>0.3</v>
      </c>
      <c r="AZ9" s="48">
        <f>'VFD Custom Load Profile'!$E$11</f>
        <v>0.4</v>
      </c>
      <c r="BA9" s="48">
        <f>'VFD Custom Load Profile'!$E$12</f>
        <v>0</v>
      </c>
      <c r="BB9" s="48">
        <f>'VFD Custom Load Profile'!$E$13</f>
        <v>0.25</v>
      </c>
      <c r="BC9" s="48">
        <f>'VFD Custom Load Profile'!$E$14</f>
        <v>0</v>
      </c>
      <c r="BD9" s="48">
        <f>'VFD Custom Load Profile'!$E$15</f>
        <v>0.05</v>
      </c>
      <c r="BE9" s="199">
        <f>'VFD Custom Load Profile'!$E$16</f>
        <v>0</v>
      </c>
      <c r="BF9" s="197">
        <f>SUM(AU9:BE9)</f>
        <v>1</v>
      </c>
    </row>
    <row r="10" spans="1:58" ht="15.75" thickBot="1" x14ac:dyDescent="0.3">
      <c r="B10" s="25" t="s">
        <v>196</v>
      </c>
      <c r="C10" s="25" t="s">
        <v>207</v>
      </c>
      <c r="D10" s="25" t="s">
        <v>208</v>
      </c>
      <c r="E10" s="161">
        <v>0.79</v>
      </c>
      <c r="F10" s="275">
        <f>75*Summary!M12</f>
        <v>37.5</v>
      </c>
      <c r="G10" s="37">
        <v>1</v>
      </c>
      <c r="H10" s="38">
        <v>0.77</v>
      </c>
      <c r="I10" s="39">
        <v>0.77</v>
      </c>
      <c r="J10" s="38">
        <v>0.85499999999999998</v>
      </c>
      <c r="K10" s="39">
        <v>0.85499999999999998</v>
      </c>
      <c r="L10" s="38">
        <v>0.82499999999999996</v>
      </c>
      <c r="M10" s="39">
        <v>0.82</v>
      </c>
      <c r="N10" s="38">
        <v>0.755</v>
      </c>
      <c r="O10" s="39">
        <v>0.755</v>
      </c>
      <c r="P10"/>
      <c r="Q10" s="37">
        <v>1</v>
      </c>
      <c r="R10" s="38">
        <v>0.85499999999999998</v>
      </c>
      <c r="S10" s="39">
        <v>0.85499999999999998</v>
      </c>
      <c r="T10" s="38">
        <v>0.82499999999999996</v>
      </c>
      <c r="U10" s="39">
        <v>0.82499999999999996</v>
      </c>
      <c r="V10" s="38">
        <v>0.755</v>
      </c>
      <c r="W10" s="39">
        <v>0.755</v>
      </c>
      <c r="X10" s="22"/>
      <c r="Y10" s="44" t="s">
        <v>205</v>
      </c>
      <c r="Z10" s="37" t="s">
        <v>223</v>
      </c>
      <c r="AA10" s="37" t="str">
        <f t="shared" si="0"/>
        <v>Allentown Health - Hospital</v>
      </c>
      <c r="AB10" s="37">
        <f t="shared" si="1"/>
        <v>5588</v>
      </c>
      <c r="AC10" s="37">
        <f t="shared" si="2"/>
        <v>5587</v>
      </c>
      <c r="AD10" s="37">
        <f t="shared" si="3"/>
        <v>1781</v>
      </c>
      <c r="AE10" s="37">
        <f t="shared" si="4"/>
        <v>8760</v>
      </c>
      <c r="AF10" s="37">
        <f t="shared" si="5"/>
        <v>8760</v>
      </c>
      <c r="AG10" s="187"/>
      <c r="AH10" s="187"/>
      <c r="AI10" s="22"/>
      <c r="AJ10" s="44" t="s">
        <v>205</v>
      </c>
      <c r="AK10" s="37" t="s">
        <v>223</v>
      </c>
      <c r="AL10" s="37" t="str">
        <f t="shared" si="6"/>
        <v>Allentown Health - Hospital</v>
      </c>
      <c r="AM10" s="45">
        <f t="shared" si="7"/>
        <v>0.46</v>
      </c>
      <c r="AN10" s="45">
        <f t="shared" si="8"/>
        <v>0.45</v>
      </c>
      <c r="AO10" s="45">
        <f t="shared" si="9"/>
        <v>0.29000000000000004</v>
      </c>
      <c r="AP10" s="45">
        <f t="shared" si="10"/>
        <v>0.09</v>
      </c>
      <c r="AQ10" s="45">
        <f t="shared" si="11"/>
        <v>0.43</v>
      </c>
      <c r="AS10" s="12">
        <v>5</v>
      </c>
      <c r="AT10" s="44" t="str">
        <f>'VFD Custom Load Profile'!$F$5</f>
        <v>Process Load - High Loading</v>
      </c>
      <c r="AU10" s="48">
        <f>'VFD Custom Load Profile'!$F$6</f>
        <v>0</v>
      </c>
      <c r="AV10" s="48">
        <f>'VFD Custom Load Profile'!$F$7</f>
        <v>0</v>
      </c>
      <c r="AW10" s="48">
        <f>'VFD Custom Load Profile'!$F$8</f>
        <v>0</v>
      </c>
      <c r="AX10" s="48">
        <f>'VFD Custom Load Profile'!$F$9</f>
        <v>0</v>
      </c>
      <c r="AY10" s="48">
        <f>'VFD Custom Load Profile'!$F$10</f>
        <v>0</v>
      </c>
      <c r="AZ10" s="48">
        <f>'VFD Custom Load Profile'!$F$11</f>
        <v>0.2</v>
      </c>
      <c r="BA10" s="48">
        <f>'VFD Custom Load Profile'!$F$12</f>
        <v>0</v>
      </c>
      <c r="BB10" s="48">
        <f>'VFD Custom Load Profile'!$F$13</f>
        <v>0.6</v>
      </c>
      <c r="BC10" s="48">
        <f>'VFD Custom Load Profile'!$F$14</f>
        <v>0</v>
      </c>
      <c r="BD10" s="48">
        <f>'VFD Custom Load Profile'!$F$15</f>
        <v>0.2</v>
      </c>
      <c r="BE10" s="199">
        <f>'VFD Custom Load Profile'!$F$16</f>
        <v>0</v>
      </c>
      <c r="BF10" s="197">
        <f>SUM(AU10:BE10)</f>
        <v>1</v>
      </c>
    </row>
    <row r="11" spans="1:58" ht="15.75" thickBot="1" x14ac:dyDescent="0.3">
      <c r="B11" s="25" t="s">
        <v>157</v>
      </c>
      <c r="C11" s="25" t="s">
        <v>212</v>
      </c>
      <c r="D11" s="25" t="s">
        <v>213</v>
      </c>
      <c r="E11" s="161">
        <v>0.76</v>
      </c>
      <c r="F11" s="275">
        <f>75*Summary!M12</f>
        <v>37.5</v>
      </c>
      <c r="G11" s="176">
        <v>1.5</v>
      </c>
      <c r="H11" s="30">
        <v>0.84</v>
      </c>
      <c r="I11" s="33">
        <v>0.84</v>
      </c>
      <c r="J11" s="30">
        <v>0.86499999999999999</v>
      </c>
      <c r="K11" s="33">
        <v>0.86499999999999999</v>
      </c>
      <c r="L11" s="30">
        <v>0.875</v>
      </c>
      <c r="M11" s="33">
        <v>0.86499999999999999</v>
      </c>
      <c r="N11" s="30">
        <v>0.78500000000000003</v>
      </c>
      <c r="O11" s="33">
        <v>0.77</v>
      </c>
      <c r="P11"/>
      <c r="Q11" s="176">
        <v>1.5</v>
      </c>
      <c r="R11" s="30">
        <v>0.86499999999999999</v>
      </c>
      <c r="S11" s="33">
        <v>0.86499999999999999</v>
      </c>
      <c r="T11" s="30">
        <v>0.875</v>
      </c>
      <c r="U11" s="33">
        <v>0.86499999999999999</v>
      </c>
      <c r="V11" s="30">
        <v>0.78500000000000003</v>
      </c>
      <c r="W11" s="33">
        <v>0.77</v>
      </c>
      <c r="X11" s="22"/>
      <c r="Y11" s="44" t="s">
        <v>205</v>
      </c>
      <c r="Z11" s="37" t="s">
        <v>224</v>
      </c>
      <c r="AA11" s="37" t="str">
        <f t="shared" si="0"/>
        <v>Allentown Health - Other</v>
      </c>
      <c r="AB11" s="37">
        <f t="shared" si="1"/>
        <v>3892</v>
      </c>
      <c r="AC11" s="37">
        <f t="shared" si="2"/>
        <v>3894</v>
      </c>
      <c r="AD11" s="37">
        <f t="shared" si="3"/>
        <v>2889</v>
      </c>
      <c r="AE11" s="37">
        <f t="shared" si="4"/>
        <v>5934</v>
      </c>
      <c r="AF11" s="37">
        <f t="shared" si="5"/>
        <v>8760</v>
      </c>
      <c r="AG11" s="187"/>
      <c r="AH11" s="187"/>
      <c r="AI11" s="22"/>
      <c r="AJ11" s="44" t="s">
        <v>205</v>
      </c>
      <c r="AK11" s="37" t="s">
        <v>224</v>
      </c>
      <c r="AL11" s="37" t="str">
        <f t="shared" si="6"/>
        <v>Allentown Health - Other</v>
      </c>
      <c r="AM11" s="45">
        <f t="shared" si="7"/>
        <v>0.24</v>
      </c>
      <c r="AN11" s="45">
        <f t="shared" si="8"/>
        <v>0.24</v>
      </c>
      <c r="AO11" s="45">
        <f t="shared" si="9"/>
        <v>0.46</v>
      </c>
      <c r="AP11" s="45">
        <f t="shared" si="10"/>
        <v>0</v>
      </c>
      <c r="AQ11" s="45">
        <f t="shared" si="11"/>
        <v>0.24</v>
      </c>
      <c r="AS11" s="12">
        <v>6</v>
      </c>
      <c r="AT11" s="44" t="str">
        <f>'VFD Custom Load Profile'!$G$5</f>
        <v>Custom Load Profile 3</v>
      </c>
      <c r="AU11" s="48">
        <f>'VFD Custom Load Profile'!$G$6</f>
        <v>0</v>
      </c>
      <c r="AV11" s="48">
        <f>'VFD Custom Load Profile'!$G$7</f>
        <v>0</v>
      </c>
      <c r="AW11" s="48">
        <f>'VFD Custom Load Profile'!$G$8</f>
        <v>0</v>
      </c>
      <c r="AX11" s="48">
        <f>'VFD Custom Load Profile'!$G$9</f>
        <v>0</v>
      </c>
      <c r="AY11" s="48">
        <f>'VFD Custom Load Profile'!$G$10</f>
        <v>0</v>
      </c>
      <c r="AZ11" s="48">
        <f>'VFD Custom Load Profile'!$G$11</f>
        <v>0</v>
      </c>
      <c r="BA11" s="48">
        <f>'VFD Custom Load Profile'!$G$12</f>
        <v>0</v>
      </c>
      <c r="BB11" s="48">
        <f>'VFD Custom Load Profile'!$G$13</f>
        <v>0</v>
      </c>
      <c r="BC11" s="48">
        <f>'VFD Custom Load Profile'!$G$14</f>
        <v>0</v>
      </c>
      <c r="BD11" s="48">
        <f>'VFD Custom Load Profile'!$G$15</f>
        <v>0</v>
      </c>
      <c r="BE11" s="199">
        <f>'VFD Custom Load Profile'!$G$16</f>
        <v>0</v>
      </c>
      <c r="BF11" s="197">
        <f>SUM(AU11:BE11)</f>
        <v>0</v>
      </c>
    </row>
    <row r="12" spans="1:58" ht="15.75" thickBot="1" x14ac:dyDescent="0.3">
      <c r="B12" s="25" t="s">
        <v>311</v>
      </c>
      <c r="C12" s="25" t="s">
        <v>313</v>
      </c>
      <c r="D12" s="25" t="s">
        <v>213</v>
      </c>
      <c r="E12" s="161">
        <v>0.76</v>
      </c>
      <c r="F12" s="275">
        <f>100*Summary!M12</f>
        <v>50</v>
      </c>
      <c r="G12" s="29">
        <v>2</v>
      </c>
      <c r="H12" s="30">
        <v>0.85499999999999998</v>
      </c>
      <c r="I12" s="33">
        <v>0.85499999999999998</v>
      </c>
      <c r="J12" s="30">
        <v>0.86499999999999999</v>
      </c>
      <c r="K12" s="33">
        <v>0.86499999999999999</v>
      </c>
      <c r="L12" s="30">
        <v>0.88500000000000001</v>
      </c>
      <c r="M12" s="33">
        <v>0.875</v>
      </c>
      <c r="N12" s="30">
        <v>0.84</v>
      </c>
      <c r="O12" s="33">
        <v>0.86499999999999999</v>
      </c>
      <c r="P12"/>
      <c r="Q12" s="29">
        <v>2</v>
      </c>
      <c r="R12" s="30">
        <v>0.86499999999999999</v>
      </c>
      <c r="S12" s="33">
        <v>0.86499999999999999</v>
      </c>
      <c r="T12" s="30">
        <v>0.88500000000000001</v>
      </c>
      <c r="U12" s="33">
        <v>0.875</v>
      </c>
      <c r="V12" s="30">
        <v>0.84</v>
      </c>
      <c r="W12" s="33">
        <v>0.86499999999999999</v>
      </c>
      <c r="X12" s="22"/>
      <c r="Y12" s="44" t="s">
        <v>205</v>
      </c>
      <c r="Z12" s="37" t="s">
        <v>225</v>
      </c>
      <c r="AA12" s="37" t="str">
        <f t="shared" si="0"/>
        <v>Allentown Industrial Manufacturing</v>
      </c>
      <c r="AB12" s="37">
        <f t="shared" si="1"/>
        <v>1735</v>
      </c>
      <c r="AC12" s="37">
        <f t="shared" si="2"/>
        <v>1735</v>
      </c>
      <c r="AD12" s="37">
        <f t="shared" si="3"/>
        <v>3527</v>
      </c>
      <c r="AE12" s="37">
        <f t="shared" si="4"/>
        <v>1258</v>
      </c>
      <c r="AF12" s="37">
        <f t="shared" si="5"/>
        <v>3831</v>
      </c>
      <c r="AG12" s="187"/>
      <c r="AH12" s="187"/>
      <c r="AI12" s="22"/>
      <c r="AJ12" s="44" t="s">
        <v>205</v>
      </c>
      <c r="AK12" s="37" t="s">
        <v>225</v>
      </c>
      <c r="AL12" s="37" t="str">
        <f t="shared" si="6"/>
        <v>Allentown Industrial Manufacturing</v>
      </c>
      <c r="AM12" s="45">
        <f t="shared" si="7"/>
        <v>0.53</v>
      </c>
      <c r="AN12" s="45">
        <f t="shared" si="8"/>
        <v>0.53</v>
      </c>
      <c r="AO12" s="45">
        <f t="shared" si="9"/>
        <v>0.40500000000000003</v>
      </c>
      <c r="AP12" s="45">
        <f t="shared" si="10"/>
        <v>0</v>
      </c>
      <c r="AQ12" s="45">
        <f t="shared" si="11"/>
        <v>0.47500000000000003</v>
      </c>
      <c r="AS12" s="12">
        <v>7</v>
      </c>
      <c r="AT12" s="44" t="str">
        <f>'VFD Custom Load Profile'!$H$5</f>
        <v>Custom Load Profile 4</v>
      </c>
      <c r="AU12" s="48">
        <f>'VFD Custom Load Profile'!$H$6</f>
        <v>0</v>
      </c>
      <c r="AV12" s="48">
        <f>'VFD Custom Load Profile'!$H$7</f>
        <v>0</v>
      </c>
      <c r="AW12" s="48">
        <f>'VFD Custom Load Profile'!$H$8</f>
        <v>0</v>
      </c>
      <c r="AX12" s="48">
        <f>'VFD Custom Load Profile'!$H$9</f>
        <v>0</v>
      </c>
      <c r="AY12" s="48">
        <f>'VFD Custom Load Profile'!$H$10</f>
        <v>0</v>
      </c>
      <c r="AZ12" s="48">
        <f>'VFD Custom Load Profile'!$H$11</f>
        <v>0</v>
      </c>
      <c r="BA12" s="48">
        <f>'VFD Custom Load Profile'!$H$12</f>
        <v>0</v>
      </c>
      <c r="BB12" s="48">
        <f>'VFD Custom Load Profile'!$H$13</f>
        <v>0</v>
      </c>
      <c r="BC12" s="48">
        <f>'VFD Custom Load Profile'!$H$14</f>
        <v>0</v>
      </c>
      <c r="BD12" s="48">
        <f>'VFD Custom Load Profile'!$H$15</f>
        <v>0</v>
      </c>
      <c r="BE12" s="199">
        <f>'VFD Custom Load Profile'!$H$16</f>
        <v>0</v>
      </c>
      <c r="BF12" s="197">
        <f t="shared" ref="BF12:BF15" si="12">SUM(AU12:BE12)</f>
        <v>0</v>
      </c>
    </row>
    <row r="13" spans="1:58" ht="14.45" customHeight="1" thickBot="1" x14ac:dyDescent="0.3">
      <c r="B13" s="27" t="s">
        <v>312</v>
      </c>
      <c r="C13" s="27" t="s">
        <v>313</v>
      </c>
      <c r="D13" s="27" t="s">
        <v>208</v>
      </c>
      <c r="E13" s="291">
        <v>0.79</v>
      </c>
      <c r="F13" s="276">
        <f>100*Summary!M12</f>
        <v>50</v>
      </c>
      <c r="G13" s="29">
        <v>3</v>
      </c>
      <c r="H13" s="30">
        <v>0.86499999999999999</v>
      </c>
      <c r="I13" s="33">
        <v>0.85499999999999998</v>
      </c>
      <c r="J13" s="30">
        <v>0.89500000000000002</v>
      </c>
      <c r="K13" s="33">
        <v>0.89500000000000002</v>
      </c>
      <c r="L13" s="30">
        <v>0.89500000000000002</v>
      </c>
      <c r="M13" s="33">
        <v>0.88500000000000001</v>
      </c>
      <c r="N13" s="30">
        <v>0.85499999999999998</v>
      </c>
      <c r="O13" s="33">
        <v>0.875</v>
      </c>
      <c r="P13"/>
      <c r="Q13" s="29">
        <v>3</v>
      </c>
      <c r="R13" s="30">
        <v>0.89500000000000002</v>
      </c>
      <c r="S13" s="33">
        <v>0.89500000000000002</v>
      </c>
      <c r="T13" s="30">
        <v>0.89500000000000002</v>
      </c>
      <c r="U13" s="33">
        <v>0.88500000000000001</v>
      </c>
      <c r="V13" s="30">
        <v>0.85499999999999998</v>
      </c>
      <c r="W13" s="33">
        <v>0.875</v>
      </c>
      <c r="X13" s="22"/>
      <c r="Y13" s="44" t="s">
        <v>205</v>
      </c>
      <c r="Z13" s="37" t="s">
        <v>226</v>
      </c>
      <c r="AA13" s="37" t="str">
        <f t="shared" si="0"/>
        <v>Allentown Institutional/Public Service</v>
      </c>
      <c r="AB13" s="37" t="e">
        <f t="shared" si="1"/>
        <v>#N/A</v>
      </c>
      <c r="AC13" s="37" t="e">
        <f t="shared" si="2"/>
        <v>#N/A</v>
      </c>
      <c r="AD13" s="37" t="e">
        <f t="shared" si="3"/>
        <v>#N/A</v>
      </c>
      <c r="AE13" s="37" t="e">
        <f t="shared" si="4"/>
        <v>#N/A</v>
      </c>
      <c r="AF13" s="37">
        <f t="shared" si="5"/>
        <v>5188</v>
      </c>
      <c r="AG13" s="187"/>
      <c r="AH13" s="187"/>
      <c r="AI13" s="22"/>
      <c r="AJ13" s="44" t="s">
        <v>205</v>
      </c>
      <c r="AK13" s="37" t="s">
        <v>226</v>
      </c>
      <c r="AL13" s="37" t="str">
        <f t="shared" si="6"/>
        <v>Allentown Institutional/Public Service</v>
      </c>
      <c r="AM13" s="45" t="e">
        <f t="shared" si="7"/>
        <v>#N/A</v>
      </c>
      <c r="AN13" s="45" t="e">
        <f t="shared" si="8"/>
        <v>#N/A</v>
      </c>
      <c r="AO13" s="45" t="e">
        <f t="shared" si="9"/>
        <v>#N/A</v>
      </c>
      <c r="AP13" s="45" t="e">
        <f t="shared" si="10"/>
        <v>#N/A</v>
      </c>
      <c r="AQ13" s="45">
        <f t="shared" si="11"/>
        <v>0.53</v>
      </c>
      <c r="AS13" s="12">
        <v>8</v>
      </c>
      <c r="AT13" s="44" t="str">
        <f>'VFD Custom Load Profile'!$I$5</f>
        <v>Custom Load Profile 5</v>
      </c>
      <c r="AU13" s="48">
        <f>'VFD Custom Load Profile'!$I$6</f>
        <v>0</v>
      </c>
      <c r="AV13" s="48">
        <f>'VFD Custom Load Profile'!$I$7</f>
        <v>0</v>
      </c>
      <c r="AW13" s="48">
        <f>'VFD Custom Load Profile'!$I$8</f>
        <v>0</v>
      </c>
      <c r="AX13" s="48">
        <f>'VFD Custom Load Profile'!$I$9</f>
        <v>0</v>
      </c>
      <c r="AY13" s="48">
        <f>'VFD Custom Load Profile'!$I$10</f>
        <v>0</v>
      </c>
      <c r="AZ13" s="48">
        <f>'VFD Custom Load Profile'!$I$11</f>
        <v>0</v>
      </c>
      <c r="BA13" s="48">
        <f>'VFD Custom Load Profile'!$I$12</f>
        <v>0</v>
      </c>
      <c r="BB13" s="48">
        <f>'VFD Custom Load Profile'!$I$13</f>
        <v>0</v>
      </c>
      <c r="BC13" s="48">
        <f>'VFD Custom Load Profile'!$I$14</f>
        <v>0</v>
      </c>
      <c r="BD13" s="48">
        <f>'VFD Custom Load Profile'!$I$15</f>
        <v>0</v>
      </c>
      <c r="BE13" s="199">
        <f>'VFD Custom Load Profile'!$I$16</f>
        <v>0</v>
      </c>
      <c r="BF13" s="197">
        <f t="shared" si="12"/>
        <v>0</v>
      </c>
    </row>
    <row r="14" spans="1:58" ht="15.75" thickBot="1" x14ac:dyDescent="0.3">
      <c r="B14" s="26" t="s">
        <v>227</v>
      </c>
      <c r="C14" s="49"/>
      <c r="D14" s="49"/>
      <c r="E14" s="49"/>
      <c r="F14" s="22"/>
      <c r="G14" s="29">
        <v>5</v>
      </c>
      <c r="H14" s="30">
        <v>0.88500000000000001</v>
      </c>
      <c r="I14" s="33">
        <v>0.86499999999999999</v>
      </c>
      <c r="J14" s="30">
        <v>0.89500000000000002</v>
      </c>
      <c r="K14" s="33">
        <v>0.89500000000000002</v>
      </c>
      <c r="L14" s="30">
        <v>0.89500000000000002</v>
      </c>
      <c r="M14" s="33">
        <v>0.89500000000000002</v>
      </c>
      <c r="N14" s="30">
        <v>0.86499999999999999</v>
      </c>
      <c r="O14" s="33">
        <v>0.88500000000000001</v>
      </c>
      <c r="P14"/>
      <c r="Q14" s="29">
        <v>5</v>
      </c>
      <c r="R14" s="30">
        <v>0.89500000000000002</v>
      </c>
      <c r="S14" s="33">
        <v>0.89500000000000002</v>
      </c>
      <c r="T14" s="30">
        <v>0.89500000000000002</v>
      </c>
      <c r="U14" s="33">
        <v>0.89500000000000002</v>
      </c>
      <c r="V14" s="30">
        <v>0.86499999999999999</v>
      </c>
      <c r="W14" s="33">
        <v>0.88500000000000001</v>
      </c>
      <c r="X14" s="22"/>
      <c r="Y14" s="44" t="s">
        <v>205</v>
      </c>
      <c r="Z14" s="37" t="s">
        <v>228</v>
      </c>
      <c r="AA14" s="37" t="str">
        <f t="shared" si="0"/>
        <v>Allentown Lodging</v>
      </c>
      <c r="AB14" s="37">
        <f t="shared" si="1"/>
        <v>5845</v>
      </c>
      <c r="AC14" s="37">
        <f t="shared" si="2"/>
        <v>5844</v>
      </c>
      <c r="AD14" s="37">
        <f t="shared" si="3"/>
        <v>2448</v>
      </c>
      <c r="AE14" s="37">
        <f t="shared" si="4"/>
        <v>6469</v>
      </c>
      <c r="AF14" s="37">
        <f t="shared" si="5"/>
        <v>8760</v>
      </c>
      <c r="AG14" s="187"/>
      <c r="AH14" s="187"/>
      <c r="AI14" s="22"/>
      <c r="AJ14" s="44" t="s">
        <v>205</v>
      </c>
      <c r="AK14" s="37" t="s">
        <v>228</v>
      </c>
      <c r="AL14" s="37" t="str">
        <f t="shared" si="6"/>
        <v>Allentown Lodging</v>
      </c>
      <c r="AM14" s="45">
        <f t="shared" si="7"/>
        <v>0.61</v>
      </c>
      <c r="AN14" s="45">
        <f t="shared" si="8"/>
        <v>0.61</v>
      </c>
      <c r="AO14" s="45">
        <f t="shared" si="9"/>
        <v>0.11</v>
      </c>
      <c r="AP14" s="45">
        <f t="shared" si="10"/>
        <v>0</v>
      </c>
      <c r="AQ14" s="45">
        <f t="shared" si="11"/>
        <v>0.64</v>
      </c>
      <c r="AS14" s="12">
        <v>9</v>
      </c>
      <c r="AT14" s="44" t="str">
        <f>'VFD Custom Load Profile'!$J$5</f>
        <v>Custom Load Profile 6</v>
      </c>
      <c r="AU14" s="48">
        <f>'VFD Custom Load Profile'!$J$6</f>
        <v>0</v>
      </c>
      <c r="AV14" s="48">
        <f>'VFD Custom Load Profile'!$J$7</f>
        <v>0</v>
      </c>
      <c r="AW14" s="48">
        <f>'VFD Custom Load Profile'!$J$8</f>
        <v>0</v>
      </c>
      <c r="AX14" s="48">
        <f>'VFD Custom Load Profile'!$J$9</f>
        <v>0</v>
      </c>
      <c r="AY14" s="48">
        <f>'VFD Custom Load Profile'!$J$10</f>
        <v>0</v>
      </c>
      <c r="AZ14" s="48">
        <f>'VFD Custom Load Profile'!$J$11</f>
        <v>0</v>
      </c>
      <c r="BA14" s="48">
        <f>'VFD Custom Load Profile'!$J$12</f>
        <v>0</v>
      </c>
      <c r="BB14" s="48">
        <f>'VFD Custom Load Profile'!$J$13</f>
        <v>0</v>
      </c>
      <c r="BC14" s="48">
        <f>'VFD Custom Load Profile'!$J$14</f>
        <v>0</v>
      </c>
      <c r="BD14" s="48">
        <f>'VFD Custom Load Profile'!$J$15</f>
        <v>0</v>
      </c>
      <c r="BE14" s="199">
        <f>'VFD Custom Load Profile'!$J$16</f>
        <v>0</v>
      </c>
      <c r="BF14" s="197">
        <f t="shared" si="12"/>
        <v>0</v>
      </c>
    </row>
    <row r="15" spans="1:58" ht="15.75" thickBot="1" x14ac:dyDescent="0.3">
      <c r="B15" s="25" t="s">
        <v>229</v>
      </c>
      <c r="C15" s="50"/>
      <c r="D15" s="50"/>
      <c r="E15" s="50"/>
      <c r="F15" s="22"/>
      <c r="G15" s="176">
        <v>7.5</v>
      </c>
      <c r="H15" s="30">
        <v>0.89500000000000002</v>
      </c>
      <c r="I15" s="33">
        <v>0.88500000000000001</v>
      </c>
      <c r="J15" s="30">
        <v>0.91700000000000004</v>
      </c>
      <c r="K15" s="33">
        <v>0.91</v>
      </c>
      <c r="L15" s="30">
        <v>0.91</v>
      </c>
      <c r="M15" s="33">
        <v>0.90200000000000002</v>
      </c>
      <c r="N15" s="30">
        <v>0.86499999999999999</v>
      </c>
      <c r="O15" s="33">
        <v>0.89500000000000002</v>
      </c>
      <c r="P15"/>
      <c r="Q15" s="176">
        <v>7.5</v>
      </c>
      <c r="R15" s="30">
        <v>0.91700000000000004</v>
      </c>
      <c r="S15" s="33">
        <v>0.91</v>
      </c>
      <c r="T15" s="30">
        <v>0.91</v>
      </c>
      <c r="U15" s="33">
        <v>0.90200000000000002</v>
      </c>
      <c r="V15" s="30">
        <v>0.86499999999999999</v>
      </c>
      <c r="W15" s="33">
        <v>0.89500000000000002</v>
      </c>
      <c r="X15" s="22"/>
      <c r="Y15" s="44" t="s">
        <v>205</v>
      </c>
      <c r="Z15" s="37" t="s">
        <v>230</v>
      </c>
      <c r="AA15" s="37" t="str">
        <f t="shared" si="0"/>
        <v>Allentown Office</v>
      </c>
      <c r="AB15" s="37">
        <f t="shared" si="1"/>
        <v>1789</v>
      </c>
      <c r="AC15" s="37">
        <f t="shared" si="2"/>
        <v>1789</v>
      </c>
      <c r="AD15" s="37">
        <f t="shared" si="3"/>
        <v>3950</v>
      </c>
      <c r="AE15" s="37">
        <f t="shared" si="4"/>
        <v>3214</v>
      </c>
      <c r="AF15" s="37">
        <f t="shared" si="5"/>
        <v>4195</v>
      </c>
      <c r="AG15" s="187"/>
      <c r="AH15" s="187"/>
      <c r="AI15" s="22"/>
      <c r="AJ15" s="44" t="s">
        <v>205</v>
      </c>
      <c r="AK15" s="37" t="s">
        <v>230</v>
      </c>
      <c r="AL15" s="37" t="str">
        <f t="shared" si="6"/>
        <v>Allentown Office</v>
      </c>
      <c r="AM15" s="45">
        <f t="shared" si="7"/>
        <v>0.29000000000000004</v>
      </c>
      <c r="AN15" s="45">
        <f t="shared" si="8"/>
        <v>0.29000000000000004</v>
      </c>
      <c r="AO15" s="45">
        <f t="shared" si="9"/>
        <v>0.45</v>
      </c>
      <c r="AP15" s="45">
        <f t="shared" si="10"/>
        <v>0</v>
      </c>
      <c r="AQ15" s="45">
        <f t="shared" si="11"/>
        <v>0.29499999999999998</v>
      </c>
      <c r="AS15" s="12">
        <v>10</v>
      </c>
      <c r="AT15" s="44" t="str">
        <f>'VFD Custom Load Profile'!$K$5</f>
        <v>Custom Load Profile 7</v>
      </c>
      <c r="AU15" s="48">
        <f>'VFD Custom Load Profile'!$K$6</f>
        <v>0</v>
      </c>
      <c r="AV15" s="48">
        <f>'VFD Custom Load Profile'!$K$7</f>
        <v>0</v>
      </c>
      <c r="AW15" s="48">
        <f>'VFD Custom Load Profile'!$K$8</f>
        <v>0</v>
      </c>
      <c r="AX15" s="48">
        <f>'VFD Custom Load Profile'!$K$9</f>
        <v>0</v>
      </c>
      <c r="AY15" s="48">
        <f>'VFD Custom Load Profile'!$K$10</f>
        <v>0</v>
      </c>
      <c r="AZ15" s="48">
        <f>'VFD Custom Load Profile'!$K$11</f>
        <v>0</v>
      </c>
      <c r="BA15" s="48">
        <f>'VFD Custom Load Profile'!$K$12</f>
        <v>0</v>
      </c>
      <c r="BB15" s="48">
        <f>'VFD Custom Load Profile'!$K$13</f>
        <v>0</v>
      </c>
      <c r="BC15" s="48">
        <f>'VFD Custom Load Profile'!$K$14</f>
        <v>0</v>
      </c>
      <c r="BD15" s="48">
        <f>'VFD Custom Load Profile'!$K$15</f>
        <v>0</v>
      </c>
      <c r="BE15" s="199">
        <f>'VFD Custom Load Profile'!$K$16</f>
        <v>0</v>
      </c>
      <c r="BF15" s="197">
        <f t="shared" si="12"/>
        <v>0</v>
      </c>
    </row>
    <row r="16" spans="1:58" ht="15.75" thickBot="1" x14ac:dyDescent="0.3">
      <c r="B16" s="25" t="s">
        <v>231</v>
      </c>
      <c r="C16" s="50"/>
      <c r="D16" s="50"/>
      <c r="E16" s="50"/>
      <c r="F16" s="22"/>
      <c r="G16" s="29">
        <v>10</v>
      </c>
      <c r="H16" s="30">
        <v>0.90200000000000002</v>
      </c>
      <c r="I16" s="33">
        <v>0.89500000000000002</v>
      </c>
      <c r="J16" s="30">
        <v>0.91700000000000004</v>
      </c>
      <c r="K16" s="33">
        <v>0.91700000000000004</v>
      </c>
      <c r="L16" s="30">
        <v>0.91</v>
      </c>
      <c r="M16" s="33">
        <v>0.91700000000000004</v>
      </c>
      <c r="N16" s="30">
        <v>0.89500000000000002</v>
      </c>
      <c r="O16" s="33">
        <v>0.90200000000000002</v>
      </c>
      <c r="P16"/>
      <c r="Q16" s="29">
        <v>10</v>
      </c>
      <c r="R16" s="30">
        <v>0.91700000000000004</v>
      </c>
      <c r="S16" s="33">
        <v>0.91700000000000004</v>
      </c>
      <c r="T16" s="30">
        <v>0.91</v>
      </c>
      <c r="U16" s="33">
        <v>0.91700000000000004</v>
      </c>
      <c r="V16" s="30">
        <v>0.89500000000000002</v>
      </c>
      <c r="W16" s="33">
        <v>0.90200000000000002</v>
      </c>
      <c r="X16" s="22"/>
      <c r="Y16" s="44" t="s">
        <v>205</v>
      </c>
      <c r="Z16" s="37" t="s">
        <v>232</v>
      </c>
      <c r="AA16" s="37" t="str">
        <f t="shared" si="0"/>
        <v>Allentown Restaurant</v>
      </c>
      <c r="AB16" s="37" t="e">
        <f t="shared" si="1"/>
        <v>#N/A</v>
      </c>
      <c r="AC16" s="37" t="e">
        <f t="shared" si="2"/>
        <v>#N/A</v>
      </c>
      <c r="AD16" s="37" t="e">
        <f t="shared" si="3"/>
        <v>#N/A</v>
      </c>
      <c r="AE16" s="37" t="e">
        <f t="shared" si="4"/>
        <v>#N/A</v>
      </c>
      <c r="AF16" s="37">
        <f t="shared" si="5"/>
        <v>6282</v>
      </c>
      <c r="AG16" s="187"/>
      <c r="AH16" s="187"/>
      <c r="AI16" s="22"/>
      <c r="AJ16" s="44" t="s">
        <v>205</v>
      </c>
      <c r="AK16" s="37" t="s">
        <v>232</v>
      </c>
      <c r="AL16" s="37" t="str">
        <f t="shared" si="6"/>
        <v>Allentown Restaurant</v>
      </c>
      <c r="AM16" s="45" t="e">
        <f t="shared" si="7"/>
        <v>#N/A</v>
      </c>
      <c r="AN16" s="45" t="e">
        <f t="shared" si="8"/>
        <v>#N/A</v>
      </c>
      <c r="AO16" s="45" t="e">
        <f t="shared" si="9"/>
        <v>#N/A</v>
      </c>
      <c r="AP16" s="45" t="e">
        <f t="shared" si="10"/>
        <v>#N/A</v>
      </c>
      <c r="AQ16" s="45">
        <f t="shared" si="11"/>
        <v>0.375</v>
      </c>
      <c r="AS16" s="12">
        <v>11</v>
      </c>
      <c r="AT16" s="44" t="str">
        <f>'VFD Custom Load Profile'!$L$5</f>
        <v>Custom Load Profile 8</v>
      </c>
      <c r="AU16" s="48">
        <f>'VFD Custom Load Profile'!$L$6</f>
        <v>0</v>
      </c>
      <c r="AV16" s="48">
        <f>'VFD Custom Load Profile'!$L$7</f>
        <v>0</v>
      </c>
      <c r="AW16" s="48">
        <f>'VFD Custom Load Profile'!$L$8</f>
        <v>0</v>
      </c>
      <c r="AX16" s="48">
        <f>'VFD Custom Load Profile'!$L$9</f>
        <v>0</v>
      </c>
      <c r="AY16" s="48">
        <f>'VFD Custom Load Profile'!$L$10</f>
        <v>0</v>
      </c>
      <c r="AZ16" s="48">
        <f>'VFD Custom Load Profile'!$L$11</f>
        <v>0</v>
      </c>
      <c r="BA16" s="48">
        <f>'VFD Custom Load Profile'!$L$12</f>
        <v>0</v>
      </c>
      <c r="BB16" s="48">
        <f>'VFD Custom Load Profile'!$L$13</f>
        <v>0</v>
      </c>
      <c r="BC16" s="48">
        <f>'VFD Custom Load Profile'!$L$14</f>
        <v>0</v>
      </c>
      <c r="BD16" s="48">
        <f>'VFD Custom Load Profile'!$L$15</f>
        <v>0</v>
      </c>
      <c r="BE16" s="199">
        <f>'VFD Custom Load Profile'!$L$16</f>
        <v>0</v>
      </c>
      <c r="BF16" s="197">
        <f t="shared" ref="BF16:BF18" si="13">SUM(AU16:BE16)</f>
        <v>0</v>
      </c>
    </row>
    <row r="17" spans="2:58" ht="15.75" thickBot="1" x14ac:dyDescent="0.3">
      <c r="B17" s="25" t="s">
        <v>233</v>
      </c>
      <c r="C17" s="50"/>
      <c r="D17" s="50"/>
      <c r="E17" s="50"/>
      <c r="F17" s="22"/>
      <c r="G17" s="29">
        <v>15</v>
      </c>
      <c r="H17" s="30">
        <v>0.91</v>
      </c>
      <c r="I17" s="33">
        <v>0.90200000000000002</v>
      </c>
      <c r="J17" s="30">
        <v>0.92400000000000004</v>
      </c>
      <c r="K17" s="33">
        <v>0.93</v>
      </c>
      <c r="L17" s="30">
        <v>0.91700000000000004</v>
      </c>
      <c r="M17" s="33">
        <v>0.91700000000000004</v>
      </c>
      <c r="N17" s="30">
        <v>0.89500000000000002</v>
      </c>
      <c r="O17" s="33">
        <v>0.90200000000000002</v>
      </c>
      <c r="P17"/>
      <c r="Q17" s="29">
        <v>15</v>
      </c>
      <c r="R17" s="30">
        <v>0.92400000000000004</v>
      </c>
      <c r="S17" s="33">
        <v>0.93</v>
      </c>
      <c r="T17" s="30">
        <v>0.91700000000000004</v>
      </c>
      <c r="U17" s="33">
        <v>0.91700000000000004</v>
      </c>
      <c r="V17" s="30">
        <v>0.89500000000000002</v>
      </c>
      <c r="W17" s="33">
        <v>0.90200000000000002</v>
      </c>
      <c r="X17" s="22"/>
      <c r="Y17" s="44" t="s">
        <v>205</v>
      </c>
      <c r="Z17" s="37" t="s">
        <v>234</v>
      </c>
      <c r="AA17" s="37" t="str">
        <f t="shared" si="0"/>
        <v>Allentown Retail</v>
      </c>
      <c r="AB17" s="37">
        <f t="shared" si="1"/>
        <v>2957</v>
      </c>
      <c r="AC17" s="37">
        <f t="shared" si="2"/>
        <v>2957</v>
      </c>
      <c r="AD17" s="37">
        <f t="shared" si="3"/>
        <v>3675</v>
      </c>
      <c r="AE17" s="37">
        <f t="shared" si="4"/>
        <v>2676</v>
      </c>
      <c r="AF17" s="37">
        <f t="shared" si="5"/>
        <v>5136.666666666667</v>
      </c>
      <c r="AG17" s="187"/>
      <c r="AH17" s="187"/>
      <c r="AI17" s="22"/>
      <c r="AJ17" s="44" t="s">
        <v>205</v>
      </c>
      <c r="AK17" s="37" t="s">
        <v>234</v>
      </c>
      <c r="AL17" s="37" t="str">
        <f t="shared" si="6"/>
        <v>Allentown Retail</v>
      </c>
      <c r="AM17" s="45">
        <f t="shared" si="7"/>
        <v>0.46</v>
      </c>
      <c r="AN17" s="45">
        <f t="shared" si="8"/>
        <v>0.46</v>
      </c>
      <c r="AO17" s="45">
        <f t="shared" si="9"/>
        <v>0.24</v>
      </c>
      <c r="AP17" s="45">
        <f t="shared" si="10"/>
        <v>0</v>
      </c>
      <c r="AQ17" s="45">
        <f t="shared" si="11"/>
        <v>0.5033333333333333</v>
      </c>
      <c r="AS17" s="12">
        <v>12</v>
      </c>
      <c r="AT17" s="44" t="str">
        <f>'VFD Custom Load Profile'!$M$5</f>
        <v>Custom Load Profile 9</v>
      </c>
      <c r="AU17" s="48">
        <f>'VFD Custom Load Profile'!$M$6</f>
        <v>0</v>
      </c>
      <c r="AV17" s="48">
        <f>'VFD Custom Load Profile'!$M$7</f>
        <v>0</v>
      </c>
      <c r="AW17" s="48">
        <f>'VFD Custom Load Profile'!$M$8</f>
        <v>0</v>
      </c>
      <c r="AX17" s="48">
        <f>'VFD Custom Load Profile'!$M$9</f>
        <v>0</v>
      </c>
      <c r="AY17" s="48">
        <f>'VFD Custom Load Profile'!$M$10</f>
        <v>0</v>
      </c>
      <c r="AZ17" s="48">
        <f>'VFD Custom Load Profile'!$M$11</f>
        <v>0</v>
      </c>
      <c r="BA17" s="48">
        <f>'VFD Custom Load Profile'!$M$12</f>
        <v>0</v>
      </c>
      <c r="BB17" s="48">
        <f>'VFD Custom Load Profile'!$M$13</f>
        <v>0</v>
      </c>
      <c r="BC17" s="48">
        <f>'VFD Custom Load Profile'!$M$14</f>
        <v>0</v>
      </c>
      <c r="BD17" s="48">
        <f>'VFD Custom Load Profile'!$M$15</f>
        <v>0</v>
      </c>
      <c r="BE17" s="199">
        <f>'VFD Custom Load Profile'!$M$16</f>
        <v>0</v>
      </c>
      <c r="BF17" s="197">
        <f t="shared" si="13"/>
        <v>0</v>
      </c>
    </row>
    <row r="18" spans="2:58" ht="15.75" thickBot="1" x14ac:dyDescent="0.3">
      <c r="B18" s="25" t="s">
        <v>235</v>
      </c>
      <c r="C18" s="50"/>
      <c r="D18" s="50"/>
      <c r="E18" s="50"/>
      <c r="F18" s="22"/>
      <c r="G18" s="29">
        <v>20</v>
      </c>
      <c r="H18" s="30">
        <v>0.91</v>
      </c>
      <c r="I18" s="33">
        <v>0.91</v>
      </c>
      <c r="J18" s="30">
        <v>0.93</v>
      </c>
      <c r="K18" s="33">
        <v>0.93</v>
      </c>
      <c r="L18" s="30">
        <v>0.91700000000000004</v>
      </c>
      <c r="M18" s="33">
        <v>0.92400000000000004</v>
      </c>
      <c r="N18" s="30">
        <v>0.90200000000000002</v>
      </c>
      <c r="O18" s="33">
        <v>0.91</v>
      </c>
      <c r="P18"/>
      <c r="Q18" s="29">
        <v>20</v>
      </c>
      <c r="R18" s="30">
        <v>0.93</v>
      </c>
      <c r="S18" s="33">
        <v>0.93</v>
      </c>
      <c r="T18" s="30">
        <v>0.91700000000000004</v>
      </c>
      <c r="U18" s="33">
        <v>0.92400000000000004</v>
      </c>
      <c r="V18" s="30">
        <v>0.90200000000000002</v>
      </c>
      <c r="W18" s="33">
        <v>0.91</v>
      </c>
      <c r="X18" s="22"/>
      <c r="Y18" s="44" t="s">
        <v>205</v>
      </c>
      <c r="Z18" s="37" t="s">
        <v>236</v>
      </c>
      <c r="AA18" s="37" t="str">
        <f t="shared" si="0"/>
        <v>Allentown Warehouse - Other</v>
      </c>
      <c r="AB18" s="37" t="e">
        <f t="shared" si="1"/>
        <v>#N/A</v>
      </c>
      <c r="AC18" s="37" t="e">
        <f t="shared" si="2"/>
        <v>#N/A</v>
      </c>
      <c r="AD18" s="37" t="e">
        <f t="shared" si="3"/>
        <v>#N/A</v>
      </c>
      <c r="AE18" s="37" t="e">
        <f t="shared" si="4"/>
        <v>#N/A</v>
      </c>
      <c r="AF18" s="37">
        <f t="shared" si="5"/>
        <v>5037</v>
      </c>
      <c r="AG18" s="187"/>
      <c r="AH18" s="187"/>
      <c r="AI18" s="22"/>
      <c r="AJ18" s="44" t="s">
        <v>205</v>
      </c>
      <c r="AK18" s="37" t="s">
        <v>236</v>
      </c>
      <c r="AL18" s="37" t="str">
        <f t="shared" si="6"/>
        <v>Allentown Warehouse - Other</v>
      </c>
      <c r="AM18" s="45" t="e">
        <f t="shared" si="7"/>
        <v>#N/A</v>
      </c>
      <c r="AN18" s="45" t="e">
        <f t="shared" si="8"/>
        <v>#N/A</v>
      </c>
      <c r="AO18" s="45" t="e">
        <f t="shared" si="9"/>
        <v>#N/A</v>
      </c>
      <c r="AP18" s="45" t="e">
        <f t="shared" si="10"/>
        <v>#N/A</v>
      </c>
      <c r="AQ18" s="45">
        <f t="shared" si="11"/>
        <v>0.18</v>
      </c>
      <c r="AS18" s="12">
        <v>13</v>
      </c>
      <c r="AT18" s="200" t="str">
        <f>'VFD Custom Load Profile'!$N$5</f>
        <v>Custom Load Profile 10</v>
      </c>
      <c r="AU18" s="201">
        <f>'VFD Custom Load Profile'!$N$6</f>
        <v>0</v>
      </c>
      <c r="AV18" s="201">
        <f>'VFD Custom Load Profile'!$N$7</f>
        <v>0</v>
      </c>
      <c r="AW18" s="201">
        <f>'VFD Custom Load Profile'!$N$8</f>
        <v>0</v>
      </c>
      <c r="AX18" s="201">
        <f>'VFD Custom Load Profile'!$N$9</f>
        <v>0</v>
      </c>
      <c r="AY18" s="201">
        <f>'VFD Custom Load Profile'!$N$10</f>
        <v>0</v>
      </c>
      <c r="AZ18" s="201">
        <f>'VFD Custom Load Profile'!$N$11</f>
        <v>0</v>
      </c>
      <c r="BA18" s="201">
        <f>'VFD Custom Load Profile'!$N$12</f>
        <v>0</v>
      </c>
      <c r="BB18" s="201">
        <f>'VFD Custom Load Profile'!$N$13</f>
        <v>0</v>
      </c>
      <c r="BC18" s="201">
        <f>'VFD Custom Load Profile'!$N$14</f>
        <v>0</v>
      </c>
      <c r="BD18" s="201">
        <f>'VFD Custom Load Profile'!$N$15</f>
        <v>0</v>
      </c>
      <c r="BE18" s="202">
        <f>'VFD Custom Load Profile'!$N$16</f>
        <v>0</v>
      </c>
      <c r="BF18" s="197">
        <f t="shared" si="13"/>
        <v>0</v>
      </c>
    </row>
    <row r="19" spans="2:58" ht="15.75" thickBot="1" x14ac:dyDescent="0.3">
      <c r="B19" s="25" t="s">
        <v>237</v>
      </c>
      <c r="C19" s="50"/>
      <c r="D19" s="50"/>
      <c r="E19" s="50"/>
      <c r="F19" s="22"/>
      <c r="G19" s="29">
        <v>25</v>
      </c>
      <c r="H19" s="30">
        <v>0.91700000000000004</v>
      </c>
      <c r="I19" s="33">
        <v>0.91700000000000004</v>
      </c>
      <c r="J19" s="30">
        <v>0.93600000000000005</v>
      </c>
      <c r="K19" s="33">
        <v>0.93600000000000005</v>
      </c>
      <c r="L19" s="30">
        <v>0.93</v>
      </c>
      <c r="M19" s="33">
        <v>0.93</v>
      </c>
      <c r="N19" s="30">
        <v>0.90200000000000002</v>
      </c>
      <c r="O19" s="33">
        <v>0.91</v>
      </c>
      <c r="P19"/>
      <c r="Q19" s="29">
        <v>25</v>
      </c>
      <c r="R19" s="30">
        <v>0.93600000000000005</v>
      </c>
      <c r="S19" s="33">
        <v>0.93600000000000005</v>
      </c>
      <c r="T19" s="30">
        <v>0.93</v>
      </c>
      <c r="U19" s="33">
        <v>0.93</v>
      </c>
      <c r="V19" s="30">
        <v>0.90200000000000002</v>
      </c>
      <c r="W19" s="33">
        <v>0.91</v>
      </c>
      <c r="X19" s="22"/>
      <c r="Y19" s="44" t="s">
        <v>205</v>
      </c>
      <c r="Z19" s="37" t="s">
        <v>238</v>
      </c>
      <c r="AA19" s="37" t="str">
        <f t="shared" si="0"/>
        <v>Allentown Warehouse - Refrigerated</v>
      </c>
      <c r="AB19" s="37" t="e">
        <f t="shared" si="1"/>
        <v>#N/A</v>
      </c>
      <c r="AC19" s="37" t="e">
        <f t="shared" si="2"/>
        <v>#N/A</v>
      </c>
      <c r="AD19" s="37" t="e">
        <f t="shared" si="3"/>
        <v>#N/A</v>
      </c>
      <c r="AE19" s="37" t="e">
        <f t="shared" si="4"/>
        <v>#N/A</v>
      </c>
      <c r="AF19" s="37">
        <f t="shared" si="5"/>
        <v>4041</v>
      </c>
      <c r="AG19" s="187"/>
      <c r="AH19" s="187"/>
      <c r="AI19" s="22"/>
      <c r="AJ19" s="44" t="s">
        <v>205</v>
      </c>
      <c r="AK19" s="37" t="s">
        <v>238</v>
      </c>
      <c r="AL19" s="37" t="str">
        <f t="shared" si="6"/>
        <v>Allentown Warehouse - Refrigerated</v>
      </c>
      <c r="AM19" s="45" t="e">
        <f t="shared" si="7"/>
        <v>#N/A</v>
      </c>
      <c r="AN19" s="45" t="e">
        <f t="shared" si="8"/>
        <v>#N/A</v>
      </c>
      <c r="AO19" s="45" t="e">
        <f t="shared" si="9"/>
        <v>#N/A</v>
      </c>
      <c r="AP19" s="45" t="e">
        <f t="shared" si="10"/>
        <v>#N/A</v>
      </c>
      <c r="AQ19" s="45">
        <f t="shared" si="11"/>
        <v>0.5</v>
      </c>
    </row>
    <row r="20" spans="2:58" ht="15.75" thickBot="1" x14ac:dyDescent="0.3">
      <c r="B20" s="25" t="s">
        <v>239</v>
      </c>
      <c r="C20" s="50"/>
      <c r="D20" s="50"/>
      <c r="E20" s="50"/>
      <c r="F20" s="22"/>
      <c r="G20" s="29">
        <v>30</v>
      </c>
      <c r="H20" s="30">
        <v>0.91700000000000004</v>
      </c>
      <c r="I20" s="33">
        <v>0.91700000000000004</v>
      </c>
      <c r="J20" s="30">
        <v>0.93600000000000005</v>
      </c>
      <c r="K20" s="33">
        <v>0.94099999999999995</v>
      </c>
      <c r="L20" s="30">
        <v>0.93</v>
      </c>
      <c r="M20" s="33">
        <v>0.93600000000000005</v>
      </c>
      <c r="N20" s="30">
        <v>0.91700000000000004</v>
      </c>
      <c r="O20" s="33">
        <v>0.91700000000000004</v>
      </c>
      <c r="P20"/>
      <c r="Q20" s="29">
        <v>30</v>
      </c>
      <c r="R20" s="30">
        <v>0.93600000000000005</v>
      </c>
      <c r="S20" s="33">
        <v>0.94099999999999995</v>
      </c>
      <c r="T20" s="30">
        <v>0.93</v>
      </c>
      <c r="U20" s="33">
        <v>0.93600000000000005</v>
      </c>
      <c r="V20" s="30">
        <v>0.91700000000000004</v>
      </c>
      <c r="W20" s="33">
        <v>0.91700000000000004</v>
      </c>
      <c r="X20" s="22"/>
      <c r="Y20" s="44" t="s">
        <v>240</v>
      </c>
      <c r="Z20" s="37" t="s">
        <v>206</v>
      </c>
      <c r="AA20" s="37" t="str">
        <f t="shared" si="0"/>
        <v>Binghamton Education - College/University</v>
      </c>
      <c r="AB20" s="37">
        <f t="shared" si="1"/>
        <v>3435.5</v>
      </c>
      <c r="AC20" s="37">
        <f t="shared" si="2"/>
        <v>3435</v>
      </c>
      <c r="AD20" s="37">
        <f t="shared" si="3"/>
        <v>4591</v>
      </c>
      <c r="AE20" s="37">
        <f t="shared" si="4"/>
        <v>5270.5</v>
      </c>
      <c r="AF20" s="37">
        <f t="shared" si="5"/>
        <v>6054</v>
      </c>
      <c r="AG20" s="187"/>
      <c r="AH20" s="187"/>
      <c r="AI20" s="22"/>
      <c r="AJ20" s="44" t="s">
        <v>240</v>
      </c>
      <c r="AK20" s="37" t="s">
        <v>206</v>
      </c>
      <c r="AL20" s="37" t="str">
        <f t="shared" si="6"/>
        <v>Binghamton Education - College/University</v>
      </c>
      <c r="AM20" s="45">
        <f t="shared" si="7"/>
        <v>0.26500000000000001</v>
      </c>
      <c r="AN20" s="45">
        <f t="shared" si="8"/>
        <v>0.26</v>
      </c>
      <c r="AO20" s="45">
        <f t="shared" si="9"/>
        <v>0.57999999999999996</v>
      </c>
      <c r="AP20" s="45">
        <f t="shared" si="10"/>
        <v>5.0000000000000001E-3</v>
      </c>
      <c r="AQ20" s="45">
        <f t="shared" si="11"/>
        <v>0.3</v>
      </c>
    </row>
    <row r="21" spans="2:58" ht="15.75" thickBot="1" x14ac:dyDescent="0.3">
      <c r="B21" s="27" t="s">
        <v>241</v>
      </c>
      <c r="C21" s="50"/>
      <c r="D21" s="50"/>
      <c r="E21" s="50"/>
      <c r="F21" s="22"/>
      <c r="G21" s="29">
        <v>40</v>
      </c>
      <c r="H21" s="30">
        <v>0.92400000000000004</v>
      </c>
      <c r="I21" s="33">
        <v>0.92400000000000004</v>
      </c>
      <c r="J21" s="30">
        <v>0.94099999999999995</v>
      </c>
      <c r="K21" s="33">
        <v>0.94099999999999995</v>
      </c>
      <c r="L21" s="30">
        <v>0.94099999999999995</v>
      </c>
      <c r="M21" s="33">
        <v>0.94099999999999995</v>
      </c>
      <c r="N21" s="30">
        <v>0.91700000000000004</v>
      </c>
      <c r="O21" s="33">
        <v>0.91700000000000004</v>
      </c>
      <c r="P21"/>
      <c r="Q21" s="29">
        <v>40</v>
      </c>
      <c r="R21" s="30">
        <v>0.94099999999999995</v>
      </c>
      <c r="S21" s="33">
        <v>0.94099999999999995</v>
      </c>
      <c r="T21" s="30">
        <v>0.94099999999999995</v>
      </c>
      <c r="U21" s="33">
        <v>0.94099999999999995</v>
      </c>
      <c r="V21" s="30">
        <v>0.91700000000000004</v>
      </c>
      <c r="W21" s="33">
        <v>0.91700000000000004</v>
      </c>
      <c r="X21" s="22"/>
      <c r="Y21" s="44" t="s">
        <v>240</v>
      </c>
      <c r="Z21" s="37" t="s">
        <v>211</v>
      </c>
      <c r="AA21" s="37" t="str">
        <f t="shared" si="0"/>
        <v>Binghamton Education - Other</v>
      </c>
      <c r="AB21" s="37">
        <f t="shared" si="1"/>
        <v>1849</v>
      </c>
      <c r="AC21" s="37">
        <f t="shared" si="2"/>
        <v>1851</v>
      </c>
      <c r="AD21" s="37">
        <f t="shared" si="3"/>
        <v>1305</v>
      </c>
      <c r="AE21" s="37">
        <f t="shared" si="4"/>
        <v>4251</v>
      </c>
      <c r="AF21" s="37">
        <f t="shared" si="5"/>
        <v>4583</v>
      </c>
      <c r="AG21" s="187"/>
      <c r="AH21" s="187"/>
      <c r="AI21" s="22"/>
      <c r="AJ21" s="44" t="s">
        <v>240</v>
      </c>
      <c r="AK21" s="37" t="s">
        <v>211</v>
      </c>
      <c r="AL21" s="37" t="str">
        <f t="shared" si="6"/>
        <v>Binghamton Education - Other</v>
      </c>
      <c r="AM21" s="45">
        <f t="shared" si="7"/>
        <v>0.08</v>
      </c>
      <c r="AN21" s="45">
        <f t="shared" si="8"/>
        <v>0.08</v>
      </c>
      <c r="AO21" s="45">
        <f t="shared" si="9"/>
        <v>0.4</v>
      </c>
      <c r="AP21" s="45">
        <f t="shared" si="10"/>
        <v>0</v>
      </c>
      <c r="AQ21" s="45">
        <f t="shared" si="11"/>
        <v>0.08</v>
      </c>
    </row>
    <row r="22" spans="2:58" ht="15.75" thickBot="1" x14ac:dyDescent="0.3">
      <c r="B22" s="22"/>
      <c r="C22" s="22"/>
      <c r="D22" s="22"/>
      <c r="E22" s="22"/>
      <c r="F22" s="22"/>
      <c r="G22" s="29">
        <v>50</v>
      </c>
      <c r="H22" s="30">
        <v>0.93</v>
      </c>
      <c r="I22" s="33">
        <v>0.93</v>
      </c>
      <c r="J22" s="30">
        <v>0.94499999999999995</v>
      </c>
      <c r="K22" s="33">
        <v>0.94499999999999995</v>
      </c>
      <c r="L22" s="30">
        <v>0.94099999999999995</v>
      </c>
      <c r="M22" s="33">
        <v>0.94099999999999995</v>
      </c>
      <c r="N22" s="30">
        <v>0.92400000000000004</v>
      </c>
      <c r="O22" s="33">
        <v>0.92400000000000004</v>
      </c>
      <c r="P22"/>
      <c r="Q22" s="29">
        <v>50</v>
      </c>
      <c r="R22" s="30">
        <v>0.94499999999999995</v>
      </c>
      <c r="S22" s="33">
        <v>0.94499999999999995</v>
      </c>
      <c r="T22" s="30">
        <v>0.94099999999999995</v>
      </c>
      <c r="U22" s="33">
        <v>0.94099999999999995</v>
      </c>
      <c r="V22" s="30">
        <v>0.92400000000000004</v>
      </c>
      <c r="W22" s="33">
        <v>0.92400000000000004</v>
      </c>
      <c r="X22" s="22"/>
      <c r="Y22" s="44" t="s">
        <v>240</v>
      </c>
      <c r="Z22" s="37" t="s">
        <v>222</v>
      </c>
      <c r="AA22" s="37" t="str">
        <f t="shared" si="0"/>
        <v>Binghamton Grocery</v>
      </c>
      <c r="AB22" s="37" t="e">
        <f t="shared" si="1"/>
        <v>#N/A</v>
      </c>
      <c r="AC22" s="37" t="e">
        <f t="shared" si="2"/>
        <v>#N/A</v>
      </c>
      <c r="AD22" s="37" t="e">
        <f t="shared" si="3"/>
        <v>#N/A</v>
      </c>
      <c r="AE22" s="37" t="e">
        <f t="shared" si="4"/>
        <v>#N/A</v>
      </c>
      <c r="AF22" s="37">
        <f t="shared" si="5"/>
        <v>6764</v>
      </c>
      <c r="AG22" s="187"/>
      <c r="AH22" s="187"/>
      <c r="AI22" s="22"/>
      <c r="AJ22" s="44" t="s">
        <v>240</v>
      </c>
      <c r="AK22" s="37" t="s">
        <v>222</v>
      </c>
      <c r="AL22" s="37" t="str">
        <f t="shared" si="6"/>
        <v>Binghamton Grocery</v>
      </c>
      <c r="AM22" s="45" t="e">
        <f t="shared" si="7"/>
        <v>#N/A</v>
      </c>
      <c r="AN22" s="45" t="e">
        <f t="shared" si="8"/>
        <v>#N/A</v>
      </c>
      <c r="AO22" s="45" t="e">
        <f t="shared" si="9"/>
        <v>#N/A</v>
      </c>
      <c r="AP22" s="45" t="e">
        <f t="shared" si="10"/>
        <v>#N/A</v>
      </c>
      <c r="AQ22" s="45">
        <f t="shared" si="11"/>
        <v>0.21</v>
      </c>
    </row>
    <row r="23" spans="2:58" ht="15.75" thickBot="1" x14ac:dyDescent="0.3">
      <c r="B23" s="26" t="s">
        <v>242</v>
      </c>
      <c r="C23" s="49"/>
      <c r="D23" s="49"/>
      <c r="E23" s="49"/>
      <c r="F23" s="22"/>
      <c r="G23" s="29">
        <v>60</v>
      </c>
      <c r="H23" s="30">
        <v>0.93600000000000005</v>
      </c>
      <c r="I23" s="33">
        <v>0.93600000000000005</v>
      </c>
      <c r="J23" s="30">
        <v>0.95</v>
      </c>
      <c r="K23" s="33">
        <v>0.95</v>
      </c>
      <c r="L23" s="30">
        <v>0.94499999999999995</v>
      </c>
      <c r="M23" s="33">
        <v>0.94499999999999995</v>
      </c>
      <c r="N23" s="30">
        <v>0.92400000000000004</v>
      </c>
      <c r="O23" s="33">
        <v>0.93</v>
      </c>
      <c r="P23"/>
      <c r="Q23" s="29">
        <v>60</v>
      </c>
      <c r="R23" s="30">
        <v>0.95</v>
      </c>
      <c r="S23" s="33">
        <v>0.95</v>
      </c>
      <c r="T23" s="30">
        <v>0.94499999999999995</v>
      </c>
      <c r="U23" s="33">
        <v>0.94499999999999995</v>
      </c>
      <c r="V23" s="30">
        <v>0.92400000000000004</v>
      </c>
      <c r="W23" s="33">
        <v>0.93</v>
      </c>
      <c r="X23" s="22"/>
      <c r="Y23" s="44" t="s">
        <v>240</v>
      </c>
      <c r="Z23" s="37" t="s">
        <v>223</v>
      </c>
      <c r="AA23" s="37" t="str">
        <f t="shared" si="0"/>
        <v>Binghamton Health - Hospital</v>
      </c>
      <c r="AB23" s="37">
        <f t="shared" si="1"/>
        <v>4801</v>
      </c>
      <c r="AC23" s="37">
        <f t="shared" si="2"/>
        <v>4798</v>
      </c>
      <c r="AD23" s="37">
        <f t="shared" si="3"/>
        <v>1389</v>
      </c>
      <c r="AE23" s="37">
        <f t="shared" si="4"/>
        <v>8760</v>
      </c>
      <c r="AF23" s="37">
        <f t="shared" si="5"/>
        <v>8760</v>
      </c>
      <c r="AG23" s="187"/>
      <c r="AH23" s="187"/>
      <c r="AI23" s="22"/>
      <c r="AJ23" s="44" t="s">
        <v>240</v>
      </c>
      <c r="AK23" s="37" t="s">
        <v>223</v>
      </c>
      <c r="AL23" s="37" t="str">
        <f t="shared" si="6"/>
        <v>Binghamton Health - Hospital</v>
      </c>
      <c r="AM23" s="45">
        <f t="shared" si="7"/>
        <v>0.38</v>
      </c>
      <c r="AN23" s="45">
        <f t="shared" si="8"/>
        <v>0.37</v>
      </c>
      <c r="AO23" s="45">
        <f t="shared" si="9"/>
        <v>0.245</v>
      </c>
      <c r="AP23" s="45">
        <f t="shared" si="10"/>
        <v>0.09</v>
      </c>
      <c r="AQ23" s="45">
        <f t="shared" si="11"/>
        <v>0.24</v>
      </c>
    </row>
    <row r="24" spans="2:58" ht="15.75" thickBot="1" x14ac:dyDescent="0.3">
      <c r="B24" s="25" t="s">
        <v>206</v>
      </c>
      <c r="C24" s="50"/>
      <c r="D24" s="50"/>
      <c r="E24" s="50"/>
      <c r="F24" s="22"/>
      <c r="G24" s="29">
        <v>75</v>
      </c>
      <c r="H24" s="30">
        <v>0.93600000000000005</v>
      </c>
      <c r="I24" s="33">
        <v>0.93600000000000005</v>
      </c>
      <c r="J24" s="30">
        <v>0.95399999999999996</v>
      </c>
      <c r="K24" s="33">
        <v>0.95</v>
      </c>
      <c r="L24" s="30">
        <v>0.94499999999999995</v>
      </c>
      <c r="M24" s="33">
        <v>0.94499999999999995</v>
      </c>
      <c r="N24" s="30">
        <v>0.93600000000000005</v>
      </c>
      <c r="O24" s="33">
        <v>0.94099999999999995</v>
      </c>
      <c r="P24"/>
      <c r="Q24" s="29">
        <v>75</v>
      </c>
      <c r="R24" s="30">
        <v>0.95399999999999996</v>
      </c>
      <c r="S24" s="33">
        <v>0.95</v>
      </c>
      <c r="T24" s="30">
        <v>0.94499999999999995</v>
      </c>
      <c r="U24" s="33">
        <v>0.94499999999999995</v>
      </c>
      <c r="V24" s="30">
        <v>0.93600000000000005</v>
      </c>
      <c r="W24" s="33">
        <v>0.94099999999999995</v>
      </c>
      <c r="X24" s="22"/>
      <c r="Y24" s="44" t="s">
        <v>240</v>
      </c>
      <c r="Z24" s="37" t="s">
        <v>224</v>
      </c>
      <c r="AA24" s="37" t="str">
        <f t="shared" si="0"/>
        <v>Binghamton Health - Other</v>
      </c>
      <c r="AB24" s="37">
        <f t="shared" si="1"/>
        <v>3093</v>
      </c>
      <c r="AC24" s="37">
        <f t="shared" si="2"/>
        <v>3093</v>
      </c>
      <c r="AD24" s="37">
        <f t="shared" si="3"/>
        <v>2381</v>
      </c>
      <c r="AE24" s="37">
        <f t="shared" si="4"/>
        <v>6627</v>
      </c>
      <c r="AF24" s="37">
        <f t="shared" si="5"/>
        <v>8760</v>
      </c>
      <c r="AG24" s="187"/>
      <c r="AH24" s="187"/>
      <c r="AI24" s="22"/>
      <c r="AJ24" s="44" t="s">
        <v>240</v>
      </c>
      <c r="AK24" s="37" t="s">
        <v>224</v>
      </c>
      <c r="AL24" s="37" t="str">
        <f t="shared" si="6"/>
        <v>Binghamton Health - Other</v>
      </c>
      <c r="AM24" s="45">
        <f t="shared" si="7"/>
        <v>0.2</v>
      </c>
      <c r="AN24" s="45">
        <f t="shared" si="8"/>
        <v>0.2</v>
      </c>
      <c r="AO24" s="45">
        <f t="shared" si="9"/>
        <v>0.33</v>
      </c>
      <c r="AP24" s="45">
        <f t="shared" si="10"/>
        <v>0</v>
      </c>
      <c r="AQ24" s="45">
        <f t="shared" si="11"/>
        <v>0.21</v>
      </c>
    </row>
    <row r="25" spans="2:58" ht="15.75" thickBot="1" x14ac:dyDescent="0.3">
      <c r="B25" s="25" t="s">
        <v>211</v>
      </c>
      <c r="C25" s="50"/>
      <c r="D25" s="50"/>
      <c r="E25" s="50"/>
      <c r="F25" s="22"/>
      <c r="G25" s="29">
        <v>100</v>
      </c>
      <c r="H25" s="30">
        <v>0.94099999999999995</v>
      </c>
      <c r="I25" s="33">
        <v>0.93600000000000005</v>
      </c>
      <c r="J25" s="30">
        <v>0.95399999999999996</v>
      </c>
      <c r="K25" s="33">
        <v>0.95399999999999996</v>
      </c>
      <c r="L25" s="30">
        <v>0.95</v>
      </c>
      <c r="M25" s="33">
        <v>0.95</v>
      </c>
      <c r="N25" s="30">
        <v>0.93600000000000005</v>
      </c>
      <c r="O25" s="33">
        <v>0.94099999999999995</v>
      </c>
      <c r="P25"/>
      <c r="Q25" s="29">
        <v>100</v>
      </c>
      <c r="R25" s="30">
        <v>0.95399999999999996</v>
      </c>
      <c r="S25" s="33">
        <v>0.95399999999999996</v>
      </c>
      <c r="T25" s="30">
        <v>0.95</v>
      </c>
      <c r="U25" s="33">
        <v>0.95</v>
      </c>
      <c r="V25" s="30">
        <v>0.93600000000000005</v>
      </c>
      <c r="W25" s="33">
        <v>0.94099999999999995</v>
      </c>
      <c r="X25" s="22"/>
      <c r="Y25" s="44" t="s">
        <v>240</v>
      </c>
      <c r="Z25" s="37" t="s">
        <v>225</v>
      </c>
      <c r="AA25" s="37" t="str">
        <f t="shared" si="0"/>
        <v>Binghamton Industrial Manufacturing</v>
      </c>
      <c r="AB25" s="37">
        <f t="shared" si="1"/>
        <v>1306</v>
      </c>
      <c r="AC25" s="37">
        <f t="shared" si="2"/>
        <v>1306</v>
      </c>
      <c r="AD25" s="37">
        <f t="shared" si="3"/>
        <v>2938</v>
      </c>
      <c r="AE25" s="37">
        <f t="shared" si="4"/>
        <v>1684</v>
      </c>
      <c r="AF25" s="37">
        <f t="shared" si="5"/>
        <v>3980.5</v>
      </c>
      <c r="AG25" s="187"/>
      <c r="AH25" s="187"/>
      <c r="AI25" s="22"/>
      <c r="AJ25" s="44" t="s">
        <v>240</v>
      </c>
      <c r="AK25" s="37" t="s">
        <v>225</v>
      </c>
      <c r="AL25" s="37" t="str">
        <f t="shared" si="6"/>
        <v>Binghamton Industrial Manufacturing</v>
      </c>
      <c r="AM25" s="45">
        <f t="shared" si="7"/>
        <v>0.4</v>
      </c>
      <c r="AN25" s="45">
        <f t="shared" si="8"/>
        <v>0.4</v>
      </c>
      <c r="AO25" s="45">
        <f t="shared" si="9"/>
        <v>0.26</v>
      </c>
      <c r="AP25" s="45">
        <f t="shared" si="10"/>
        <v>0</v>
      </c>
      <c r="AQ25" s="45">
        <f t="shared" si="11"/>
        <v>0.33499999999999996</v>
      </c>
      <c r="AT25" s="346" t="s">
        <v>243</v>
      </c>
      <c r="AU25" s="347"/>
      <c r="AV25" s="347"/>
      <c r="AW25" s="347"/>
      <c r="AX25" s="347"/>
      <c r="AY25" s="347"/>
      <c r="AZ25" s="347"/>
      <c r="BA25" s="347"/>
      <c r="BB25" s="347"/>
      <c r="BC25" s="347"/>
      <c r="BD25" s="347"/>
      <c r="BE25" s="348"/>
    </row>
    <row r="26" spans="2:58" ht="15.75" thickBot="1" x14ac:dyDescent="0.3">
      <c r="B26" s="25" t="s">
        <v>222</v>
      </c>
      <c r="C26" s="50"/>
      <c r="D26" s="50"/>
      <c r="E26" s="50"/>
      <c r="F26" s="22"/>
      <c r="G26" s="29">
        <v>125</v>
      </c>
      <c r="H26" s="30">
        <v>0.95</v>
      </c>
      <c r="I26" s="33">
        <v>0.94099999999999995</v>
      </c>
      <c r="J26" s="30">
        <v>0.95399999999999996</v>
      </c>
      <c r="K26" s="33">
        <v>0.95399999999999996</v>
      </c>
      <c r="L26" s="30">
        <v>0.95</v>
      </c>
      <c r="M26" s="33">
        <v>0.95</v>
      </c>
      <c r="N26" s="30">
        <v>0.94099999999999995</v>
      </c>
      <c r="O26" s="33">
        <v>0.94099999999999995</v>
      </c>
      <c r="P26"/>
      <c r="Q26" s="29">
        <v>125</v>
      </c>
      <c r="R26" s="30">
        <v>0.95399999999999996</v>
      </c>
      <c r="S26" s="33">
        <v>0.95399999999999996</v>
      </c>
      <c r="T26" s="30">
        <v>0.95</v>
      </c>
      <c r="U26" s="33">
        <v>0.95</v>
      </c>
      <c r="V26" s="30">
        <v>0.94099999999999995</v>
      </c>
      <c r="W26" s="33">
        <v>0.94099999999999995</v>
      </c>
      <c r="X26" s="22"/>
      <c r="Y26" s="44" t="s">
        <v>240</v>
      </c>
      <c r="Z26" s="37" t="s">
        <v>226</v>
      </c>
      <c r="AA26" s="37" t="str">
        <f t="shared" si="0"/>
        <v>Binghamton Institutional/Public Service</v>
      </c>
      <c r="AB26" s="37" t="e">
        <f t="shared" si="1"/>
        <v>#N/A</v>
      </c>
      <c r="AC26" s="37" t="e">
        <f t="shared" si="2"/>
        <v>#N/A</v>
      </c>
      <c r="AD26" s="37" t="e">
        <f t="shared" si="3"/>
        <v>#N/A</v>
      </c>
      <c r="AE26" s="37" t="e">
        <f t="shared" si="4"/>
        <v>#N/A</v>
      </c>
      <c r="AF26" s="37">
        <f t="shared" si="5"/>
        <v>5223</v>
      </c>
      <c r="AG26" s="187"/>
      <c r="AH26" s="187"/>
      <c r="AI26" s="22"/>
      <c r="AJ26" s="44" t="s">
        <v>240</v>
      </c>
      <c r="AK26" s="37" t="s">
        <v>226</v>
      </c>
      <c r="AL26" s="37" t="str">
        <f t="shared" si="6"/>
        <v>Binghamton Institutional/Public Service</v>
      </c>
      <c r="AM26" s="45" t="e">
        <f t="shared" si="7"/>
        <v>#N/A</v>
      </c>
      <c r="AN26" s="45" t="e">
        <f t="shared" si="8"/>
        <v>#N/A</v>
      </c>
      <c r="AO26" s="45" t="e">
        <f t="shared" si="9"/>
        <v>#N/A</v>
      </c>
      <c r="AP26" s="45" t="e">
        <f t="shared" si="10"/>
        <v>#N/A</v>
      </c>
      <c r="AQ26" s="45">
        <f t="shared" si="11"/>
        <v>0.38</v>
      </c>
      <c r="AT26" s="47" t="s">
        <v>197</v>
      </c>
      <c r="AU26" s="46">
        <v>0</v>
      </c>
      <c r="AV26" s="46">
        <v>0.1</v>
      </c>
      <c r="AW26" s="46">
        <v>0.2</v>
      </c>
      <c r="AX26" s="46">
        <v>0.3</v>
      </c>
      <c r="AY26" s="46">
        <v>0.4</v>
      </c>
      <c r="AZ26" s="46">
        <v>0.5</v>
      </c>
      <c r="BA26" s="46">
        <v>0.6</v>
      </c>
      <c r="BB26" s="46">
        <v>0.7</v>
      </c>
      <c r="BC26" s="46">
        <v>0.8</v>
      </c>
      <c r="BD26" s="46">
        <v>0.9</v>
      </c>
      <c r="BE26" s="198">
        <v>1</v>
      </c>
    </row>
    <row r="27" spans="2:58" ht="15.75" thickBot="1" x14ac:dyDescent="0.3">
      <c r="B27" s="25" t="s">
        <v>223</v>
      </c>
      <c r="C27" s="50"/>
      <c r="D27" s="50"/>
      <c r="E27" s="50"/>
      <c r="F27" s="22"/>
      <c r="G27" s="29">
        <v>150</v>
      </c>
      <c r="H27" s="30">
        <v>0.95</v>
      </c>
      <c r="I27" s="33">
        <v>0.94099999999999995</v>
      </c>
      <c r="J27" s="30">
        <v>0.95799999999999996</v>
      </c>
      <c r="K27" s="33">
        <v>0.95799999999999996</v>
      </c>
      <c r="L27" s="30">
        <v>0.95799999999999996</v>
      </c>
      <c r="M27" s="33">
        <v>0.95399999999999996</v>
      </c>
      <c r="N27" s="30">
        <v>0.94099999999999995</v>
      </c>
      <c r="O27" s="33">
        <v>0.94099999999999995</v>
      </c>
      <c r="P27"/>
      <c r="Q27" s="29">
        <v>150</v>
      </c>
      <c r="R27" s="30">
        <v>0.95799999999999996</v>
      </c>
      <c r="S27" s="33">
        <v>0.95799999999999996</v>
      </c>
      <c r="T27" s="30">
        <v>0.95799999999999996</v>
      </c>
      <c r="U27" s="33">
        <v>0.95399999999999996</v>
      </c>
      <c r="V27" s="30">
        <v>0.94099999999999995</v>
      </c>
      <c r="W27" s="33">
        <v>0.94099999999999995</v>
      </c>
      <c r="X27" s="22"/>
      <c r="Y27" s="44" t="s">
        <v>240</v>
      </c>
      <c r="Z27" s="37" t="s">
        <v>228</v>
      </c>
      <c r="AA27" s="37" t="str">
        <f t="shared" si="0"/>
        <v>Binghamton Lodging</v>
      </c>
      <c r="AB27" s="37">
        <f t="shared" si="1"/>
        <v>5042</v>
      </c>
      <c r="AC27" s="37">
        <f t="shared" si="2"/>
        <v>5039</v>
      </c>
      <c r="AD27" s="37">
        <f t="shared" si="3"/>
        <v>1733</v>
      </c>
      <c r="AE27" s="37">
        <f t="shared" si="4"/>
        <v>7072</v>
      </c>
      <c r="AF27" s="37">
        <f t="shared" si="5"/>
        <v>8760</v>
      </c>
      <c r="AG27" s="187"/>
      <c r="AH27" s="187"/>
      <c r="AI27" s="22"/>
      <c r="AJ27" s="44" t="s">
        <v>240</v>
      </c>
      <c r="AK27" s="37" t="s">
        <v>228</v>
      </c>
      <c r="AL27" s="37" t="str">
        <f t="shared" si="6"/>
        <v>Binghamton Lodging</v>
      </c>
      <c r="AM27" s="45">
        <f t="shared" si="7"/>
        <v>0.57999999999999996</v>
      </c>
      <c r="AN27" s="45">
        <f t="shared" si="8"/>
        <v>0.57999999999999996</v>
      </c>
      <c r="AO27" s="45">
        <f t="shared" si="9"/>
        <v>0.08</v>
      </c>
      <c r="AP27" s="45">
        <f t="shared" si="10"/>
        <v>0</v>
      </c>
      <c r="AQ27" s="45">
        <f t="shared" si="11"/>
        <v>0.64</v>
      </c>
      <c r="AS27" s="12">
        <v>2</v>
      </c>
      <c r="AT27" s="44" t="s">
        <v>213</v>
      </c>
      <c r="AU27" s="45">
        <v>4.7500000000000001E-2</v>
      </c>
      <c r="AV27" s="45">
        <v>4.7500000000000001E-2</v>
      </c>
      <c r="AW27" s="45">
        <v>5.3699999999999998E-2</v>
      </c>
      <c r="AX27" s="45">
        <v>0.08</v>
      </c>
      <c r="AY27" s="45">
        <v>0.12890000000000001</v>
      </c>
      <c r="AZ27" s="45">
        <v>0.20269999999999999</v>
      </c>
      <c r="BA27" s="45">
        <v>0.30380000000000001</v>
      </c>
      <c r="BB27" s="45">
        <v>0.43459999999999999</v>
      </c>
      <c r="BC27" s="45">
        <v>0.59750000000000003</v>
      </c>
      <c r="BD27" s="45">
        <v>0.79500000000000004</v>
      </c>
      <c r="BE27" s="203">
        <v>1.0293000000000001</v>
      </c>
    </row>
    <row r="28" spans="2:58" ht="15.75" thickBot="1" x14ac:dyDescent="0.3">
      <c r="B28" s="25" t="s">
        <v>224</v>
      </c>
      <c r="C28" s="50"/>
      <c r="D28" s="50"/>
      <c r="E28" s="50"/>
      <c r="F28" s="22"/>
      <c r="G28" s="29">
        <v>200</v>
      </c>
      <c r="H28" s="30">
        <v>0.95399999999999996</v>
      </c>
      <c r="I28" s="33">
        <v>0.95</v>
      </c>
      <c r="J28" s="30">
        <v>0.96199999999999997</v>
      </c>
      <c r="K28" s="33">
        <v>0.95799999999999996</v>
      </c>
      <c r="L28" s="30">
        <v>0.95799999999999996</v>
      </c>
      <c r="M28" s="33">
        <v>0.95399999999999996</v>
      </c>
      <c r="N28" s="30">
        <v>0.94499999999999995</v>
      </c>
      <c r="O28" s="33">
        <v>0.94099999999999995</v>
      </c>
      <c r="P28"/>
      <c r="Q28" s="29">
        <v>200</v>
      </c>
      <c r="R28" s="30">
        <v>0.96199999999999997</v>
      </c>
      <c r="S28" s="33">
        <v>0.95799999999999996</v>
      </c>
      <c r="T28" s="30">
        <v>0.95799999999999996</v>
      </c>
      <c r="U28" s="33">
        <v>0.95399999999999996</v>
      </c>
      <c r="V28" s="30">
        <v>0.94499999999999995</v>
      </c>
      <c r="W28" s="33">
        <v>0.94099999999999995</v>
      </c>
      <c r="X28" s="22"/>
      <c r="Y28" s="44" t="s">
        <v>240</v>
      </c>
      <c r="Z28" s="37" t="s">
        <v>230</v>
      </c>
      <c r="AA28" s="37" t="str">
        <f t="shared" si="0"/>
        <v>Binghamton Office</v>
      </c>
      <c r="AB28" s="37">
        <f t="shared" si="1"/>
        <v>1401.5</v>
      </c>
      <c r="AC28" s="37">
        <f t="shared" si="2"/>
        <v>1401.5</v>
      </c>
      <c r="AD28" s="37">
        <f t="shared" si="3"/>
        <v>3546</v>
      </c>
      <c r="AE28" s="37">
        <f t="shared" si="4"/>
        <v>3876</v>
      </c>
      <c r="AF28" s="37">
        <f t="shared" si="5"/>
        <v>4472.5</v>
      </c>
      <c r="AG28" s="187"/>
      <c r="AH28" s="187"/>
      <c r="AI28" s="22"/>
      <c r="AJ28" s="44" t="s">
        <v>240</v>
      </c>
      <c r="AK28" s="37" t="s">
        <v>230</v>
      </c>
      <c r="AL28" s="37" t="str">
        <f t="shared" si="6"/>
        <v>Binghamton Office</v>
      </c>
      <c r="AM28" s="45">
        <f t="shared" si="7"/>
        <v>0.245</v>
      </c>
      <c r="AN28" s="45">
        <f t="shared" si="8"/>
        <v>0.245</v>
      </c>
      <c r="AO28" s="45">
        <f t="shared" si="9"/>
        <v>0.37</v>
      </c>
      <c r="AP28" s="45">
        <f t="shared" si="10"/>
        <v>0</v>
      </c>
      <c r="AQ28" s="45">
        <f t="shared" si="11"/>
        <v>0.255</v>
      </c>
      <c r="AS28" s="12">
        <v>3</v>
      </c>
      <c r="AT28" s="44" t="s">
        <v>208</v>
      </c>
      <c r="AU28" s="45">
        <v>0.27447510000000003</v>
      </c>
      <c r="AV28" s="45">
        <v>0.19124210000000003</v>
      </c>
      <c r="AW28" s="45">
        <v>0.14324910000000002</v>
      </c>
      <c r="AX28" s="45">
        <v>0.13049610000000006</v>
      </c>
      <c r="AY28" s="45">
        <v>0.15298310000000001</v>
      </c>
      <c r="AZ28" s="45">
        <v>0.21071010000000001</v>
      </c>
      <c r="BA28" s="45">
        <v>0.30367710000000009</v>
      </c>
      <c r="BB28" s="45">
        <v>0.4318841000000001</v>
      </c>
      <c r="BC28" s="45">
        <v>0.5953311</v>
      </c>
      <c r="BD28" s="45">
        <v>0.79401810000000017</v>
      </c>
      <c r="BE28" s="203">
        <v>1.0279450999999999</v>
      </c>
    </row>
    <row r="29" spans="2:58" ht="15.75" thickBot="1" x14ac:dyDescent="0.3">
      <c r="B29" s="25" t="s">
        <v>225</v>
      </c>
      <c r="C29" s="50"/>
      <c r="D29" s="50"/>
      <c r="E29" s="50"/>
      <c r="F29" s="22"/>
      <c r="G29" s="29">
        <v>250</v>
      </c>
      <c r="H29" s="30">
        <v>0.95799999999999996</v>
      </c>
      <c r="I29" s="33">
        <v>0.95</v>
      </c>
      <c r="J29" s="30">
        <v>0.96199999999999997</v>
      </c>
      <c r="K29" s="33">
        <v>0.95799999999999996</v>
      </c>
      <c r="L29" s="30">
        <v>0.95799999999999996</v>
      </c>
      <c r="M29" s="33">
        <v>0.95799999999999996</v>
      </c>
      <c r="N29" s="30">
        <v>0.95</v>
      </c>
      <c r="O29" s="33">
        <v>0.95</v>
      </c>
      <c r="P29"/>
      <c r="Q29" s="29" t="s">
        <v>244</v>
      </c>
      <c r="R29" s="30" t="s">
        <v>245</v>
      </c>
      <c r="S29" s="33" t="s">
        <v>245</v>
      </c>
      <c r="T29" s="30" t="s">
        <v>245</v>
      </c>
      <c r="U29" s="33" t="s">
        <v>245</v>
      </c>
      <c r="V29" s="30" t="s">
        <v>245</v>
      </c>
      <c r="W29" s="33" t="s">
        <v>245</v>
      </c>
      <c r="X29" s="22"/>
      <c r="Y29" s="44" t="s">
        <v>240</v>
      </c>
      <c r="Z29" s="37" t="s">
        <v>232</v>
      </c>
      <c r="AA29" s="37" t="str">
        <f t="shared" si="0"/>
        <v>Binghamton Restaurant</v>
      </c>
      <c r="AB29" s="37" t="e">
        <f t="shared" si="1"/>
        <v>#N/A</v>
      </c>
      <c r="AC29" s="37" t="e">
        <f t="shared" si="2"/>
        <v>#N/A</v>
      </c>
      <c r="AD29" s="37" t="e">
        <f t="shared" si="3"/>
        <v>#N/A</v>
      </c>
      <c r="AE29" s="37" t="e">
        <f t="shared" si="4"/>
        <v>#N/A</v>
      </c>
      <c r="AF29" s="37">
        <f t="shared" si="5"/>
        <v>2679.5</v>
      </c>
      <c r="AG29" s="187"/>
      <c r="AH29" s="187"/>
      <c r="AI29" s="22"/>
      <c r="AJ29" s="44" t="s">
        <v>240</v>
      </c>
      <c r="AK29" s="37" t="s">
        <v>232</v>
      </c>
      <c r="AL29" s="37" t="str">
        <f t="shared" si="6"/>
        <v>Binghamton Restaurant</v>
      </c>
      <c r="AM29" s="45" t="e">
        <f t="shared" si="7"/>
        <v>#N/A</v>
      </c>
      <c r="AN29" s="45" t="e">
        <f t="shared" si="8"/>
        <v>#N/A</v>
      </c>
      <c r="AO29" s="45" t="e">
        <f t="shared" si="9"/>
        <v>#N/A</v>
      </c>
      <c r="AP29" s="45" t="e">
        <f t="shared" si="10"/>
        <v>#N/A</v>
      </c>
      <c r="AQ29" s="45">
        <f t="shared" si="11"/>
        <v>0.185</v>
      </c>
      <c r="AS29" s="12">
        <v>4</v>
      </c>
      <c r="AT29" s="44" t="s">
        <v>246</v>
      </c>
      <c r="AU29" s="45">
        <v>0.2</v>
      </c>
      <c r="AV29" s="45">
        <v>0.206428</v>
      </c>
      <c r="AW29" s="45">
        <v>0.215696</v>
      </c>
      <c r="AX29" s="45">
        <v>0.23320399999999999</v>
      </c>
      <c r="AY29" s="45">
        <v>0.26435200000000003</v>
      </c>
      <c r="AZ29" s="45">
        <v>0.31453999999999999</v>
      </c>
      <c r="BA29" s="45">
        <v>0.38916800000000001</v>
      </c>
      <c r="BB29" s="45">
        <v>0.49363599999999996</v>
      </c>
      <c r="BC29" s="45">
        <v>0.63334400000000002</v>
      </c>
      <c r="BD29" s="45">
        <v>0.81369200000000008</v>
      </c>
      <c r="BE29" s="203">
        <v>1.0400800000000001</v>
      </c>
    </row>
    <row r="30" spans="2:58" ht="15.75" thickBot="1" x14ac:dyDescent="0.3">
      <c r="B30" s="25" t="s">
        <v>226</v>
      </c>
      <c r="C30" s="50"/>
      <c r="D30" s="50"/>
      <c r="E30" s="50"/>
      <c r="F30" s="22"/>
      <c r="G30" s="29">
        <v>300</v>
      </c>
      <c r="H30" s="30">
        <v>0.95799999999999996</v>
      </c>
      <c r="I30" s="33">
        <v>0.95399999999999996</v>
      </c>
      <c r="J30" s="30">
        <v>0.96199999999999997</v>
      </c>
      <c r="K30" s="33">
        <v>0.95799999999999996</v>
      </c>
      <c r="L30" s="30">
        <v>0.95799999999999996</v>
      </c>
      <c r="M30" s="33">
        <v>0.95799999999999996</v>
      </c>
      <c r="N30" s="30" t="s">
        <v>247</v>
      </c>
      <c r="O30" s="33" t="s">
        <v>247</v>
      </c>
      <c r="P30"/>
      <c r="Q30" s="29" t="s">
        <v>248</v>
      </c>
      <c r="R30" s="30" t="s">
        <v>245</v>
      </c>
      <c r="S30" s="33" t="s">
        <v>245</v>
      </c>
      <c r="T30" s="30" t="s">
        <v>245</v>
      </c>
      <c r="U30" s="33" t="s">
        <v>245</v>
      </c>
      <c r="V30" s="30" t="s">
        <v>245</v>
      </c>
      <c r="W30" s="33" t="s">
        <v>245</v>
      </c>
      <c r="X30" s="22"/>
      <c r="Y30" s="44" t="s">
        <v>240</v>
      </c>
      <c r="Z30" s="37" t="s">
        <v>234</v>
      </c>
      <c r="AA30" s="37" t="str">
        <f t="shared" si="0"/>
        <v>Binghamton Retail</v>
      </c>
      <c r="AB30" s="37">
        <f t="shared" si="1"/>
        <v>2416</v>
      </c>
      <c r="AC30" s="37">
        <f t="shared" si="2"/>
        <v>2416</v>
      </c>
      <c r="AD30" s="37">
        <f t="shared" si="3"/>
        <v>3100</v>
      </c>
      <c r="AE30" s="37">
        <f t="shared" si="4"/>
        <v>3183</v>
      </c>
      <c r="AF30" s="37">
        <f t="shared" si="5"/>
        <v>5188</v>
      </c>
      <c r="AG30" s="187"/>
      <c r="AH30" s="187"/>
      <c r="AI30" s="22"/>
      <c r="AJ30" s="44" t="s">
        <v>240</v>
      </c>
      <c r="AK30" s="37" t="s">
        <v>234</v>
      </c>
      <c r="AL30" s="37" t="str">
        <f t="shared" si="6"/>
        <v>Binghamton Retail</v>
      </c>
      <c r="AM30" s="45">
        <f t="shared" si="7"/>
        <v>0.33</v>
      </c>
      <c r="AN30" s="45">
        <f t="shared" si="8"/>
        <v>0.33</v>
      </c>
      <c r="AO30" s="45">
        <f t="shared" si="9"/>
        <v>0.2</v>
      </c>
      <c r="AP30" s="45">
        <f t="shared" si="10"/>
        <v>0</v>
      </c>
      <c r="AQ30" s="45">
        <f t="shared" si="11"/>
        <v>0.39999999999999997</v>
      </c>
      <c r="AS30" s="12">
        <v>5</v>
      </c>
      <c r="AT30" s="44" t="s">
        <v>249</v>
      </c>
      <c r="AU30" s="45">
        <v>0.47261899999999996</v>
      </c>
      <c r="AV30" s="45">
        <v>0.52642299999999997</v>
      </c>
      <c r="AW30" s="45">
        <v>0.55754700000000001</v>
      </c>
      <c r="AX30" s="45">
        <v>0.57439099999999998</v>
      </c>
      <c r="AY30" s="45">
        <v>0.58535499999999996</v>
      </c>
      <c r="AZ30" s="45">
        <v>0.59883900000000001</v>
      </c>
      <c r="BA30" s="45">
        <v>0.62324299999999999</v>
      </c>
      <c r="BB30" s="45">
        <v>0.66696699999999998</v>
      </c>
      <c r="BC30" s="45">
        <v>0.73841099999999982</v>
      </c>
      <c r="BD30" s="45">
        <v>0.84597499999999992</v>
      </c>
      <c r="BE30" s="203">
        <v>0.99805899999999992</v>
      </c>
    </row>
    <row r="31" spans="2:58" ht="15.75" thickBot="1" x14ac:dyDescent="0.3">
      <c r="B31" s="25" t="s">
        <v>228</v>
      </c>
      <c r="C31" s="50"/>
      <c r="D31" s="50"/>
      <c r="E31" s="50"/>
      <c r="F31" s="22"/>
      <c r="G31" s="29">
        <v>350</v>
      </c>
      <c r="H31" s="30">
        <v>0.95799999999999996</v>
      </c>
      <c r="I31" s="33">
        <v>0.95399999999999996</v>
      </c>
      <c r="J31" s="30">
        <v>0.96199999999999997</v>
      </c>
      <c r="K31" s="33">
        <v>0.95799999999999996</v>
      </c>
      <c r="L31" s="30">
        <v>0.95799999999999996</v>
      </c>
      <c r="M31" s="33">
        <v>0.95799999999999996</v>
      </c>
      <c r="N31" s="30" t="s">
        <v>247</v>
      </c>
      <c r="O31" s="33" t="s">
        <v>247</v>
      </c>
      <c r="P31"/>
      <c r="Q31" s="29" t="s">
        <v>250</v>
      </c>
      <c r="R31" s="30" t="s">
        <v>245</v>
      </c>
      <c r="S31" s="33" t="s">
        <v>245</v>
      </c>
      <c r="T31" s="30" t="s">
        <v>245</v>
      </c>
      <c r="U31" s="33" t="s">
        <v>245</v>
      </c>
      <c r="V31" s="30" t="s">
        <v>245</v>
      </c>
      <c r="W31" s="33" t="s">
        <v>245</v>
      </c>
      <c r="X31" s="22"/>
      <c r="Y31" s="44" t="s">
        <v>240</v>
      </c>
      <c r="Z31" s="37" t="s">
        <v>236</v>
      </c>
      <c r="AA31" s="37" t="str">
        <f t="shared" si="0"/>
        <v>Binghamton Warehouse - Other</v>
      </c>
      <c r="AB31" s="37" t="e">
        <f t="shared" si="1"/>
        <v>#N/A</v>
      </c>
      <c r="AC31" s="37" t="e">
        <f t="shared" si="2"/>
        <v>#N/A</v>
      </c>
      <c r="AD31" s="37" t="e">
        <f t="shared" si="3"/>
        <v>#N/A</v>
      </c>
      <c r="AE31" s="37" t="e">
        <f t="shared" si="4"/>
        <v>#N/A</v>
      </c>
      <c r="AF31" s="37">
        <f t="shared" si="5"/>
        <v>5189</v>
      </c>
      <c r="AG31" s="187"/>
      <c r="AH31" s="187"/>
      <c r="AI31" s="22"/>
      <c r="AJ31" s="44" t="s">
        <v>240</v>
      </c>
      <c r="AK31" s="37" t="s">
        <v>236</v>
      </c>
      <c r="AL31" s="37" t="str">
        <f t="shared" si="6"/>
        <v>Binghamton Warehouse - Other</v>
      </c>
      <c r="AM31" s="45" t="e">
        <f t="shared" si="7"/>
        <v>#N/A</v>
      </c>
      <c r="AN31" s="45" t="e">
        <f t="shared" si="8"/>
        <v>#N/A</v>
      </c>
      <c r="AO31" s="45" t="e">
        <f t="shared" si="9"/>
        <v>#N/A</v>
      </c>
      <c r="AP31" s="45" t="e">
        <f t="shared" si="10"/>
        <v>#N/A</v>
      </c>
      <c r="AQ31" s="45">
        <f t="shared" si="11"/>
        <v>0.11</v>
      </c>
      <c r="AS31" s="12">
        <v>6</v>
      </c>
      <c r="AT31" s="44" t="s">
        <v>251</v>
      </c>
      <c r="AU31" s="45">
        <v>0.5</v>
      </c>
      <c r="AV31" s="45">
        <v>0.5</v>
      </c>
      <c r="AW31" s="45">
        <v>0.5</v>
      </c>
      <c r="AX31" s="45">
        <v>0.5</v>
      </c>
      <c r="AY31" s="45">
        <v>0.5</v>
      </c>
      <c r="AZ31" s="45">
        <v>0.5</v>
      </c>
      <c r="BA31" s="45">
        <v>0.5</v>
      </c>
      <c r="BB31" s="45">
        <v>1</v>
      </c>
      <c r="BC31" s="45">
        <v>1</v>
      </c>
      <c r="BD31" s="45">
        <v>1</v>
      </c>
      <c r="BE31" s="203">
        <v>1</v>
      </c>
    </row>
    <row r="32" spans="2:58" ht="15.75" thickBot="1" x14ac:dyDescent="0.3">
      <c r="B32" s="25" t="s">
        <v>230</v>
      </c>
      <c r="C32" s="50"/>
      <c r="D32" s="50"/>
      <c r="E32" s="50"/>
      <c r="F32" s="22"/>
      <c r="G32" s="29">
        <v>400</v>
      </c>
      <c r="H32" s="30">
        <v>0.95799999999999996</v>
      </c>
      <c r="I32" s="33">
        <v>0.95799999999999996</v>
      </c>
      <c r="J32" s="30">
        <v>0.96199999999999997</v>
      </c>
      <c r="K32" s="33">
        <v>0.95799999999999996</v>
      </c>
      <c r="L32" s="30" t="s">
        <v>247</v>
      </c>
      <c r="M32" s="33" t="s">
        <v>247</v>
      </c>
      <c r="N32" s="30" t="s">
        <v>247</v>
      </c>
      <c r="O32" s="33" t="s">
        <v>247</v>
      </c>
      <c r="P32"/>
      <c r="Q32" s="22"/>
      <c r="R32" s="22"/>
      <c r="S32" s="22"/>
      <c r="T32" s="22"/>
      <c r="U32" s="22"/>
      <c r="V32" s="22"/>
      <c r="W32" s="22"/>
      <c r="X32" s="22"/>
      <c r="Y32" s="44" t="s">
        <v>240</v>
      </c>
      <c r="Z32" s="37" t="s">
        <v>238</v>
      </c>
      <c r="AA32" s="37" t="str">
        <f t="shared" si="0"/>
        <v>Binghamton Warehouse - Refrigerated</v>
      </c>
      <c r="AB32" s="37" t="e">
        <f t="shared" si="1"/>
        <v>#N/A</v>
      </c>
      <c r="AC32" s="37" t="e">
        <f t="shared" si="2"/>
        <v>#N/A</v>
      </c>
      <c r="AD32" s="37" t="e">
        <f t="shared" si="3"/>
        <v>#N/A</v>
      </c>
      <c r="AE32" s="37" t="e">
        <f t="shared" si="4"/>
        <v>#N/A</v>
      </c>
      <c r="AF32" s="37">
        <f t="shared" si="5"/>
        <v>4041</v>
      </c>
      <c r="AG32" s="187"/>
      <c r="AH32" s="187"/>
      <c r="AI32" s="22"/>
      <c r="AJ32" s="44" t="s">
        <v>240</v>
      </c>
      <c r="AK32" s="37" t="s">
        <v>238</v>
      </c>
      <c r="AL32" s="37" t="str">
        <f t="shared" si="6"/>
        <v>Binghamton Warehouse - Refrigerated</v>
      </c>
      <c r="AM32" s="45" t="e">
        <f t="shared" si="7"/>
        <v>#N/A</v>
      </c>
      <c r="AN32" s="45" t="e">
        <f t="shared" si="8"/>
        <v>#N/A</v>
      </c>
      <c r="AO32" s="45" t="e">
        <f t="shared" si="9"/>
        <v>#N/A</v>
      </c>
      <c r="AP32" s="45" t="e">
        <f t="shared" si="10"/>
        <v>#N/A</v>
      </c>
      <c r="AQ32" s="45">
        <f t="shared" si="11"/>
        <v>0.46</v>
      </c>
      <c r="AS32" s="12">
        <v>7</v>
      </c>
      <c r="AT32" s="44" t="s">
        <v>252</v>
      </c>
      <c r="AU32" s="45">
        <v>0.2041905</v>
      </c>
      <c r="AV32" s="45">
        <v>0.22262349999999997</v>
      </c>
      <c r="AW32" s="45">
        <v>0.25595649999999998</v>
      </c>
      <c r="AX32" s="45">
        <v>0.3041895</v>
      </c>
      <c r="AY32" s="45">
        <v>0.3673225</v>
      </c>
      <c r="AZ32" s="45">
        <v>0.44535550000000002</v>
      </c>
      <c r="BA32" s="45">
        <v>0.53828849999999995</v>
      </c>
      <c r="BB32" s="45">
        <v>0.64612150000000002</v>
      </c>
      <c r="BC32" s="45">
        <v>0.76885449999999989</v>
      </c>
      <c r="BD32" s="45">
        <v>0.90648749999999989</v>
      </c>
      <c r="BE32" s="203">
        <v>1.0590204999999999</v>
      </c>
    </row>
    <row r="33" spans="2:57" ht="15.75" thickBot="1" x14ac:dyDescent="0.3">
      <c r="B33" s="25" t="s">
        <v>232</v>
      </c>
      <c r="C33" s="50"/>
      <c r="D33" s="50"/>
      <c r="E33" s="50"/>
      <c r="F33" s="22"/>
      <c r="G33" s="29">
        <v>450</v>
      </c>
      <c r="H33" s="30">
        <v>0.95799999999999996</v>
      </c>
      <c r="I33" s="33">
        <v>0.96199999999999997</v>
      </c>
      <c r="J33" s="30">
        <v>0.96199999999999997</v>
      </c>
      <c r="K33" s="33">
        <v>0.96199999999999997</v>
      </c>
      <c r="L33" s="30" t="s">
        <v>247</v>
      </c>
      <c r="M33" s="33" t="s">
        <v>247</v>
      </c>
      <c r="N33" s="30" t="s">
        <v>247</v>
      </c>
      <c r="O33" s="33" t="s">
        <v>247</v>
      </c>
      <c r="P33"/>
      <c r="Q33"/>
      <c r="R33"/>
      <c r="S33"/>
      <c r="T33"/>
      <c r="U33"/>
      <c r="V33" s="22"/>
      <c r="W33" s="22"/>
      <c r="X33" s="22"/>
      <c r="Y33" s="44" t="s">
        <v>253</v>
      </c>
      <c r="Z33" s="37" t="s">
        <v>206</v>
      </c>
      <c r="AA33" s="37" t="str">
        <f t="shared" si="0"/>
        <v>Bradford Education - College/University</v>
      </c>
      <c r="AB33" s="37">
        <f t="shared" si="1"/>
        <v>3096</v>
      </c>
      <c r="AC33" s="37">
        <f t="shared" si="2"/>
        <v>3095.5</v>
      </c>
      <c r="AD33" s="37">
        <f t="shared" si="3"/>
        <v>3939</v>
      </c>
      <c r="AE33" s="37">
        <f t="shared" si="4"/>
        <v>5900</v>
      </c>
      <c r="AF33" s="37">
        <f t="shared" si="5"/>
        <v>6126</v>
      </c>
      <c r="AG33" s="187"/>
      <c r="AH33" s="187"/>
      <c r="AI33" s="22"/>
      <c r="AJ33" s="44" t="s">
        <v>253</v>
      </c>
      <c r="AK33" s="37" t="s">
        <v>206</v>
      </c>
      <c r="AL33" s="37" t="str">
        <f t="shared" si="6"/>
        <v>Bradford Education - College/University</v>
      </c>
      <c r="AM33" s="45">
        <f t="shared" si="7"/>
        <v>0.22500000000000001</v>
      </c>
      <c r="AN33" s="45">
        <f t="shared" si="8"/>
        <v>0.22500000000000001</v>
      </c>
      <c r="AO33" s="45">
        <f t="shared" si="9"/>
        <v>0.53</v>
      </c>
      <c r="AP33" s="45">
        <f t="shared" si="10"/>
        <v>5.0000000000000001E-3</v>
      </c>
      <c r="AQ33" s="45">
        <f t="shared" si="11"/>
        <v>0.23499999999999999</v>
      </c>
      <c r="AS33" s="12">
        <v>8</v>
      </c>
      <c r="AT33" s="44" t="s">
        <v>254</v>
      </c>
      <c r="AU33" s="45">
        <v>0.5592857</v>
      </c>
      <c r="AV33" s="45">
        <v>0.52560070000000003</v>
      </c>
      <c r="AW33" s="45">
        <v>0.53275570000000005</v>
      </c>
      <c r="AX33" s="45">
        <v>0.5723507000000001</v>
      </c>
      <c r="AY33" s="45">
        <v>0.63598569999999999</v>
      </c>
      <c r="AZ33" s="45">
        <v>0.71526070000000008</v>
      </c>
      <c r="BA33" s="45">
        <v>0.8017757000000002</v>
      </c>
      <c r="BB33" s="45">
        <v>0.88713070000000005</v>
      </c>
      <c r="BC33" s="45">
        <v>0.9629257</v>
      </c>
      <c r="BD33" s="45">
        <v>1.0207607000000001</v>
      </c>
      <c r="BE33" s="203">
        <v>1.0522357</v>
      </c>
    </row>
    <row r="34" spans="2:57" ht="15.75" thickBot="1" x14ac:dyDescent="0.3">
      <c r="B34" s="25" t="s">
        <v>234</v>
      </c>
      <c r="C34" s="50"/>
      <c r="D34" s="50"/>
      <c r="E34" s="50"/>
      <c r="F34" s="22"/>
      <c r="G34" s="34">
        <v>500</v>
      </c>
      <c r="H34" s="30">
        <v>0.95799999999999996</v>
      </c>
      <c r="I34" s="33">
        <v>0.96199999999999997</v>
      </c>
      <c r="J34" s="30">
        <v>0.96199999999999997</v>
      </c>
      <c r="K34" s="33">
        <v>0.96199999999999997</v>
      </c>
      <c r="L34" s="30" t="s">
        <v>247</v>
      </c>
      <c r="M34" s="33" t="s">
        <v>247</v>
      </c>
      <c r="N34" s="30" t="s">
        <v>247</v>
      </c>
      <c r="O34" s="33" t="s">
        <v>247</v>
      </c>
      <c r="P34"/>
      <c r="Q34"/>
      <c r="R34"/>
      <c r="S34"/>
      <c r="T34"/>
      <c r="U34"/>
      <c r="V34" s="22"/>
      <c r="W34" s="22"/>
      <c r="X34" s="22"/>
      <c r="Y34" s="44" t="s">
        <v>253</v>
      </c>
      <c r="Z34" s="37" t="s">
        <v>211</v>
      </c>
      <c r="AA34" s="37" t="str">
        <f t="shared" si="0"/>
        <v>Bradford Education - Other</v>
      </c>
      <c r="AB34" s="37">
        <f t="shared" si="1"/>
        <v>1631</v>
      </c>
      <c r="AC34" s="37">
        <f t="shared" si="2"/>
        <v>1634</v>
      </c>
      <c r="AD34" s="37">
        <f t="shared" si="3"/>
        <v>1084</v>
      </c>
      <c r="AE34" s="37">
        <f t="shared" si="4"/>
        <v>4722</v>
      </c>
      <c r="AF34" s="37">
        <f t="shared" si="5"/>
        <v>4718</v>
      </c>
      <c r="AG34" s="187"/>
      <c r="AH34" s="187"/>
      <c r="AI34" s="22"/>
      <c r="AJ34" s="44" t="s">
        <v>253</v>
      </c>
      <c r="AK34" s="37" t="s">
        <v>211</v>
      </c>
      <c r="AL34" s="37" t="str">
        <f t="shared" si="6"/>
        <v>Bradford Education - Other</v>
      </c>
      <c r="AM34" s="45">
        <f t="shared" si="7"/>
        <v>7.0000000000000007E-2</v>
      </c>
      <c r="AN34" s="45">
        <f t="shared" si="8"/>
        <v>7.0000000000000007E-2</v>
      </c>
      <c r="AO34" s="45">
        <f t="shared" si="9"/>
        <v>0.32</v>
      </c>
      <c r="AP34" s="45">
        <f t="shared" si="10"/>
        <v>0</v>
      </c>
      <c r="AQ34" s="45">
        <f t="shared" si="11"/>
        <v>6.6666666666666666E-2</v>
      </c>
      <c r="AS34" s="12">
        <v>9</v>
      </c>
      <c r="AT34" s="44" t="s">
        <v>173</v>
      </c>
      <c r="AU34" s="45">
        <v>1</v>
      </c>
      <c r="AV34" s="45">
        <v>1</v>
      </c>
      <c r="AW34" s="45">
        <v>1</v>
      </c>
      <c r="AX34" s="45">
        <v>1</v>
      </c>
      <c r="AY34" s="45">
        <v>1</v>
      </c>
      <c r="AZ34" s="45">
        <v>1</v>
      </c>
      <c r="BA34" s="45">
        <v>1</v>
      </c>
      <c r="BB34" s="45">
        <v>1</v>
      </c>
      <c r="BC34" s="45">
        <v>1</v>
      </c>
      <c r="BD34" s="45">
        <v>1</v>
      </c>
      <c r="BE34" s="203">
        <v>1</v>
      </c>
    </row>
    <row r="35" spans="2:57" ht="15.75" thickBot="1" x14ac:dyDescent="0.3">
      <c r="B35" s="25" t="s">
        <v>236</v>
      </c>
      <c r="C35" s="50"/>
      <c r="D35" s="50"/>
      <c r="E35" s="50"/>
      <c r="F35" s="22"/>
      <c r="G35" s="29" t="s">
        <v>244</v>
      </c>
      <c r="H35" s="30" t="s">
        <v>245</v>
      </c>
      <c r="I35" s="33" t="s">
        <v>245</v>
      </c>
      <c r="J35" s="30" t="s">
        <v>245</v>
      </c>
      <c r="K35" s="33" t="s">
        <v>245</v>
      </c>
      <c r="L35" s="30" t="s">
        <v>245</v>
      </c>
      <c r="M35" s="33" t="s">
        <v>245</v>
      </c>
      <c r="N35" s="30" t="s">
        <v>245</v>
      </c>
      <c r="O35" s="33" t="s">
        <v>245</v>
      </c>
      <c r="P35"/>
      <c r="Q35"/>
      <c r="R35"/>
      <c r="S35"/>
      <c r="T35"/>
      <c r="U35"/>
      <c r="V35" s="23"/>
      <c r="W35" s="23"/>
      <c r="X35" s="22"/>
      <c r="Y35" s="44" t="s">
        <v>253</v>
      </c>
      <c r="Z35" s="37" t="s">
        <v>222</v>
      </c>
      <c r="AA35" s="37" t="str">
        <f t="shared" si="0"/>
        <v>Bradford Grocery</v>
      </c>
      <c r="AB35" s="37" t="e">
        <f t="shared" si="1"/>
        <v>#N/A</v>
      </c>
      <c r="AC35" s="37" t="e">
        <f t="shared" si="2"/>
        <v>#N/A</v>
      </c>
      <c r="AD35" s="37" t="e">
        <f t="shared" si="3"/>
        <v>#N/A</v>
      </c>
      <c r="AE35" s="37" t="e">
        <f t="shared" si="4"/>
        <v>#N/A</v>
      </c>
      <c r="AF35" s="37">
        <f t="shared" si="5"/>
        <v>6810</v>
      </c>
      <c r="AG35" s="187"/>
      <c r="AH35" s="187"/>
      <c r="AI35" s="22"/>
      <c r="AJ35" s="44" t="s">
        <v>253</v>
      </c>
      <c r="AK35" s="37" t="s">
        <v>222</v>
      </c>
      <c r="AL35" s="37" t="str">
        <f t="shared" si="6"/>
        <v>Bradford Grocery</v>
      </c>
      <c r="AM35" s="45" t="e">
        <f t="shared" si="7"/>
        <v>#N/A</v>
      </c>
      <c r="AN35" s="45" t="e">
        <f t="shared" si="8"/>
        <v>#N/A</v>
      </c>
      <c r="AO35" s="45" t="e">
        <f t="shared" si="9"/>
        <v>#N/A</v>
      </c>
      <c r="AP35" s="45" t="e">
        <f t="shared" si="10"/>
        <v>#N/A</v>
      </c>
      <c r="AQ35" s="45">
        <f t="shared" si="11"/>
        <v>0.19</v>
      </c>
      <c r="AT35" s="44" t="s">
        <v>255</v>
      </c>
      <c r="AU35" s="45">
        <v>0.55212399999999995</v>
      </c>
      <c r="AV35" s="45">
        <v>0.61392400000000003</v>
      </c>
      <c r="AW35" s="45">
        <v>0.67192400000000008</v>
      </c>
      <c r="AX35" s="45">
        <v>0.7261240000000001</v>
      </c>
      <c r="AY35" s="45">
        <v>0.77652399999999999</v>
      </c>
      <c r="AZ35" s="45">
        <v>0.82312399999999997</v>
      </c>
      <c r="BA35" s="45">
        <v>0.86592400000000003</v>
      </c>
      <c r="BB35" s="45">
        <v>0.90492400000000006</v>
      </c>
      <c r="BC35" s="45">
        <v>0.94012399999999996</v>
      </c>
      <c r="BD35" s="45">
        <v>0.97152400000000005</v>
      </c>
      <c r="BE35" s="203">
        <v>0.99912400000000001</v>
      </c>
    </row>
    <row r="36" spans="2:57" ht="15.75" thickBot="1" x14ac:dyDescent="0.3">
      <c r="B36" s="25" t="s">
        <v>238</v>
      </c>
      <c r="C36" s="50"/>
      <c r="D36" s="50"/>
      <c r="E36" s="50"/>
      <c r="F36" s="22"/>
      <c r="G36" s="29" t="s">
        <v>248</v>
      </c>
      <c r="H36" s="30" t="s">
        <v>245</v>
      </c>
      <c r="I36" s="33" t="s">
        <v>245</v>
      </c>
      <c r="J36" s="30" t="s">
        <v>245</v>
      </c>
      <c r="K36" s="33" t="s">
        <v>245</v>
      </c>
      <c r="L36" s="30" t="s">
        <v>245</v>
      </c>
      <c r="M36" s="33" t="s">
        <v>245</v>
      </c>
      <c r="N36" s="30" t="s">
        <v>245</v>
      </c>
      <c r="O36" s="33" t="s">
        <v>245</v>
      </c>
      <c r="P36" s="22"/>
      <c r="Q36"/>
      <c r="R36"/>
      <c r="S36"/>
      <c r="T36"/>
      <c r="U36"/>
      <c r="V36" s="23"/>
      <c r="W36" s="23"/>
      <c r="X36" s="22"/>
      <c r="Y36" s="44" t="s">
        <v>253</v>
      </c>
      <c r="Z36" s="37" t="s">
        <v>223</v>
      </c>
      <c r="AA36" s="37" t="str">
        <f t="shared" si="0"/>
        <v>Bradford Health - Hospital</v>
      </c>
      <c r="AB36" s="37">
        <f t="shared" si="1"/>
        <v>4167</v>
      </c>
      <c r="AC36" s="37">
        <f t="shared" si="2"/>
        <v>4165</v>
      </c>
      <c r="AD36" s="37">
        <f t="shared" si="3"/>
        <v>1177</v>
      </c>
      <c r="AE36" s="37">
        <f t="shared" si="4"/>
        <v>8760</v>
      </c>
      <c r="AF36" s="37">
        <f t="shared" si="5"/>
        <v>8760</v>
      </c>
      <c r="AG36" s="187"/>
      <c r="AH36" s="187"/>
      <c r="AI36" s="22"/>
      <c r="AJ36" s="44" t="s">
        <v>253</v>
      </c>
      <c r="AK36" s="37" t="s">
        <v>223</v>
      </c>
      <c r="AL36" s="37" t="str">
        <f t="shared" si="6"/>
        <v>Bradford Health - Hospital</v>
      </c>
      <c r="AM36" s="45">
        <f t="shared" si="7"/>
        <v>0.31</v>
      </c>
      <c r="AN36" s="45">
        <f t="shared" si="8"/>
        <v>0.31</v>
      </c>
      <c r="AO36" s="45">
        <f t="shared" si="9"/>
        <v>0.2</v>
      </c>
      <c r="AP36" s="45">
        <f t="shared" si="10"/>
        <v>0.09</v>
      </c>
      <c r="AQ36" s="45">
        <f t="shared" si="11"/>
        <v>0.28999999999999998</v>
      </c>
      <c r="AT36" s="200" t="s">
        <v>256</v>
      </c>
      <c r="AU36" s="204">
        <v>1</v>
      </c>
      <c r="AV36" s="204">
        <v>1</v>
      </c>
      <c r="AW36" s="204">
        <v>1</v>
      </c>
      <c r="AX36" s="204">
        <v>1</v>
      </c>
      <c r="AY36" s="204">
        <v>1</v>
      </c>
      <c r="AZ36" s="204">
        <v>1</v>
      </c>
      <c r="BA36" s="204">
        <v>1</v>
      </c>
      <c r="BB36" s="204">
        <v>1</v>
      </c>
      <c r="BC36" s="204">
        <v>1</v>
      </c>
      <c r="BD36" s="204">
        <v>1</v>
      </c>
      <c r="BE36" s="205">
        <v>1</v>
      </c>
    </row>
    <row r="37" spans="2:57" ht="15.75" thickBot="1" x14ac:dyDescent="0.3">
      <c r="B37" s="25" t="s">
        <v>315</v>
      </c>
      <c r="C37" s="50"/>
      <c r="D37" s="50"/>
      <c r="E37" s="50"/>
      <c r="F37" s="22"/>
      <c r="G37" s="40" t="s">
        <v>250</v>
      </c>
      <c r="H37" s="41" t="s">
        <v>245</v>
      </c>
      <c r="I37" s="42" t="s">
        <v>245</v>
      </c>
      <c r="J37" s="41" t="s">
        <v>245</v>
      </c>
      <c r="K37" s="42" t="s">
        <v>245</v>
      </c>
      <c r="L37" s="41" t="s">
        <v>245</v>
      </c>
      <c r="M37" s="42" t="s">
        <v>245</v>
      </c>
      <c r="N37" s="41" t="s">
        <v>245</v>
      </c>
      <c r="O37" s="42" t="s">
        <v>245</v>
      </c>
      <c r="P37"/>
      <c r="Q37"/>
      <c r="R37"/>
      <c r="S37"/>
      <c r="T37"/>
      <c r="U37"/>
      <c r="V37" s="23"/>
      <c r="W37" s="23"/>
      <c r="X37" s="22"/>
      <c r="Y37" s="44" t="s">
        <v>253</v>
      </c>
      <c r="Z37" s="37" t="s">
        <v>224</v>
      </c>
      <c r="AA37" s="37" t="str">
        <f t="shared" si="0"/>
        <v>Bradford Health - Other</v>
      </c>
      <c r="AB37" s="37">
        <f t="shared" si="1"/>
        <v>2592</v>
      </c>
      <c r="AC37" s="37">
        <f t="shared" si="2"/>
        <v>2593</v>
      </c>
      <c r="AD37" s="37">
        <f t="shared" si="3"/>
        <v>1986</v>
      </c>
      <c r="AE37" s="37">
        <f t="shared" si="4"/>
        <v>7170</v>
      </c>
      <c r="AF37" s="37">
        <f t="shared" si="5"/>
        <v>8760</v>
      </c>
      <c r="AG37" s="187"/>
      <c r="AH37" s="187"/>
      <c r="AI37" s="22"/>
      <c r="AJ37" s="44" t="s">
        <v>253</v>
      </c>
      <c r="AK37" s="37" t="s">
        <v>224</v>
      </c>
      <c r="AL37" s="37" t="str">
        <f t="shared" si="6"/>
        <v>Bradford Health - Other</v>
      </c>
      <c r="AM37" s="45">
        <f t="shared" si="7"/>
        <v>0.16</v>
      </c>
      <c r="AN37" s="45">
        <f t="shared" si="8"/>
        <v>0.16</v>
      </c>
      <c r="AO37" s="45">
        <f t="shared" si="9"/>
        <v>0.28000000000000003</v>
      </c>
      <c r="AP37" s="45">
        <f t="shared" si="10"/>
        <v>0</v>
      </c>
      <c r="AQ37" s="45">
        <f t="shared" si="11"/>
        <v>0.17</v>
      </c>
    </row>
    <row r="38" spans="2:57" ht="15.75" thickBot="1" x14ac:dyDescent="0.3">
      <c r="B38" s="25"/>
      <c r="C38" s="50"/>
      <c r="D38" s="50"/>
      <c r="E38" s="50"/>
      <c r="F38" s="22"/>
      <c r="G38" s="22"/>
      <c r="H38" s="22"/>
      <c r="I38" s="22"/>
      <c r="J38" s="22"/>
      <c r="K38" s="22"/>
      <c r="L38" s="22"/>
      <c r="M38" s="22"/>
      <c r="N38" s="22"/>
      <c r="O38" s="22"/>
      <c r="P38"/>
      <c r="Q38"/>
      <c r="R38"/>
      <c r="S38"/>
      <c r="T38"/>
      <c r="U38"/>
      <c r="V38" s="23"/>
      <c r="W38" s="23"/>
      <c r="X38" s="22"/>
      <c r="Y38" s="44" t="s">
        <v>253</v>
      </c>
      <c r="Z38" s="37" t="s">
        <v>225</v>
      </c>
      <c r="AA38" s="37" t="str">
        <f t="shared" si="0"/>
        <v>Bradford Industrial Manufacturing</v>
      </c>
      <c r="AB38" s="37">
        <f t="shared" si="1"/>
        <v>1086</v>
      </c>
      <c r="AC38" s="37">
        <f t="shared" si="2"/>
        <v>1086</v>
      </c>
      <c r="AD38" s="37">
        <f t="shared" si="3"/>
        <v>2465.5</v>
      </c>
      <c r="AE38" s="37">
        <f t="shared" si="4"/>
        <v>1944</v>
      </c>
      <c r="AF38" s="37">
        <f t="shared" si="5"/>
        <v>4080</v>
      </c>
      <c r="AG38" s="187"/>
      <c r="AH38" s="187"/>
      <c r="AI38" s="22"/>
      <c r="AJ38" s="44" t="s">
        <v>253</v>
      </c>
      <c r="AK38" s="37" t="s">
        <v>225</v>
      </c>
      <c r="AL38" s="37" t="str">
        <f t="shared" si="6"/>
        <v>Bradford Industrial Manufacturing</v>
      </c>
      <c r="AM38" s="45">
        <f t="shared" si="7"/>
        <v>0.32</v>
      </c>
      <c r="AN38" s="45">
        <f t="shared" si="8"/>
        <v>0.32</v>
      </c>
      <c r="AO38" s="45">
        <f t="shared" si="9"/>
        <v>0.19500000000000001</v>
      </c>
      <c r="AP38" s="45">
        <f t="shared" si="10"/>
        <v>0</v>
      </c>
      <c r="AQ38" s="45">
        <f t="shared" si="11"/>
        <v>0.28000000000000003</v>
      </c>
    </row>
    <row r="39" spans="2:57" ht="15.75" thickBot="1" x14ac:dyDescent="0.3">
      <c r="B39" s="25"/>
      <c r="C39" s="50"/>
      <c r="D39" s="50"/>
      <c r="E39" s="50"/>
      <c r="F39" s="22"/>
      <c r="G39" s="22"/>
      <c r="H39" s="22"/>
      <c r="I39" s="22"/>
      <c r="J39" s="22"/>
      <c r="K39" s="22"/>
      <c r="L39" s="22"/>
      <c r="M39" s="22"/>
      <c r="N39" s="22"/>
      <c r="O39"/>
      <c r="P39"/>
      <c r="Q39"/>
      <c r="R39"/>
      <c r="S39"/>
      <c r="T39"/>
      <c r="U39"/>
      <c r="V39" s="23"/>
      <c r="W39" s="23"/>
      <c r="X39" s="22"/>
      <c r="Y39" s="44" t="s">
        <v>253</v>
      </c>
      <c r="Z39" s="37" t="s">
        <v>226</v>
      </c>
      <c r="AA39" s="37" t="str">
        <f t="shared" si="0"/>
        <v>Bradford Institutional/Public Service</v>
      </c>
      <c r="AB39" s="37" t="e">
        <f t="shared" si="1"/>
        <v>#N/A</v>
      </c>
      <c r="AC39" s="37" t="e">
        <f t="shared" si="2"/>
        <v>#N/A</v>
      </c>
      <c r="AD39" s="37" t="e">
        <f t="shared" si="3"/>
        <v>#N/A</v>
      </c>
      <c r="AE39" s="37" t="e">
        <f t="shared" si="4"/>
        <v>#N/A</v>
      </c>
      <c r="AF39" s="37">
        <f t="shared" si="5"/>
        <v>5248</v>
      </c>
      <c r="AG39" s="187"/>
      <c r="AH39" s="187"/>
      <c r="AI39" s="22"/>
      <c r="AJ39" s="44" t="s">
        <v>253</v>
      </c>
      <c r="AK39" s="37" t="s">
        <v>226</v>
      </c>
      <c r="AL39" s="37" t="str">
        <f t="shared" si="6"/>
        <v>Bradford Institutional/Public Service</v>
      </c>
      <c r="AM39" s="45" t="e">
        <f t="shared" si="7"/>
        <v>#N/A</v>
      </c>
      <c r="AN39" s="45" t="e">
        <f t="shared" si="8"/>
        <v>#N/A</v>
      </c>
      <c r="AO39" s="45" t="e">
        <f t="shared" si="9"/>
        <v>#N/A</v>
      </c>
      <c r="AP39" s="45" t="e">
        <f t="shared" si="10"/>
        <v>#N/A</v>
      </c>
      <c r="AQ39" s="45">
        <f t="shared" si="11"/>
        <v>0.34</v>
      </c>
    </row>
    <row r="40" spans="2:57" ht="15.75" thickBot="1" x14ac:dyDescent="0.3">
      <c r="B40" s="25"/>
      <c r="C40" s="50"/>
      <c r="D40" s="50"/>
      <c r="E40" s="50"/>
      <c r="F40" s="22"/>
      <c r="G40" s="22"/>
      <c r="H40" s="22"/>
      <c r="I40" s="22"/>
      <c r="J40" s="22"/>
      <c r="K40" s="22"/>
      <c r="L40" s="22"/>
      <c r="M40" s="22"/>
      <c r="N40" s="22"/>
      <c r="O40"/>
      <c r="P40"/>
      <c r="Q40"/>
      <c r="R40"/>
      <c r="S40"/>
      <c r="T40"/>
      <c r="U40"/>
      <c r="V40" s="23"/>
      <c r="W40" s="23"/>
      <c r="X40" s="22"/>
      <c r="Y40" s="44" t="s">
        <v>253</v>
      </c>
      <c r="Z40" s="37" t="s">
        <v>228</v>
      </c>
      <c r="AA40" s="37" t="str">
        <f t="shared" si="0"/>
        <v>Bradford Lodging</v>
      </c>
      <c r="AB40" s="37">
        <f t="shared" si="1"/>
        <v>4444</v>
      </c>
      <c r="AC40" s="37">
        <f t="shared" si="2"/>
        <v>4442</v>
      </c>
      <c r="AD40" s="37">
        <f t="shared" si="3"/>
        <v>1529</v>
      </c>
      <c r="AE40" s="37">
        <f t="shared" si="4"/>
        <v>7587</v>
      </c>
      <c r="AF40" s="37">
        <f t="shared" si="5"/>
        <v>8760</v>
      </c>
      <c r="AG40" s="187"/>
      <c r="AH40" s="187"/>
      <c r="AI40" s="22"/>
      <c r="AJ40" s="44" t="s">
        <v>253</v>
      </c>
      <c r="AK40" s="37" t="s">
        <v>228</v>
      </c>
      <c r="AL40" s="37" t="str">
        <f t="shared" si="6"/>
        <v>Bradford Lodging</v>
      </c>
      <c r="AM40" s="45">
        <f t="shared" si="7"/>
        <v>0.53</v>
      </c>
      <c r="AN40" s="45">
        <f t="shared" si="8"/>
        <v>0.53</v>
      </c>
      <c r="AO40" s="45">
        <f t="shared" si="9"/>
        <v>7.0000000000000007E-2</v>
      </c>
      <c r="AP40" s="45">
        <f t="shared" si="10"/>
        <v>0</v>
      </c>
      <c r="AQ40" s="45">
        <f t="shared" si="11"/>
        <v>0.6</v>
      </c>
    </row>
    <row r="41" spans="2:57" ht="15.75" thickBot="1" x14ac:dyDescent="0.3">
      <c r="B41" s="25"/>
      <c r="C41" s="50"/>
      <c r="D41" s="50"/>
      <c r="E41" s="50"/>
      <c r="F41" s="22"/>
      <c r="G41" s="26" t="s">
        <v>257</v>
      </c>
      <c r="H41" s="22"/>
      <c r="I41" s="22"/>
      <c r="J41" s="22"/>
      <c r="K41" s="22"/>
      <c r="L41" s="22"/>
      <c r="M41" s="22"/>
      <c r="N41" s="22"/>
      <c r="O41"/>
      <c r="P41"/>
      <c r="Q41"/>
      <c r="R41"/>
      <c r="S41"/>
      <c r="T41"/>
      <c r="U41"/>
      <c r="V41" s="23"/>
      <c r="W41" s="23"/>
      <c r="X41" s="22"/>
      <c r="Y41" s="44" t="s">
        <v>253</v>
      </c>
      <c r="Z41" s="37" t="s">
        <v>230</v>
      </c>
      <c r="AA41" s="37" t="str">
        <f t="shared" si="0"/>
        <v>Bradford Office</v>
      </c>
      <c r="AB41" s="37">
        <f t="shared" si="1"/>
        <v>1188.5</v>
      </c>
      <c r="AC41" s="37">
        <f t="shared" si="2"/>
        <v>1188.5</v>
      </c>
      <c r="AD41" s="37">
        <f t="shared" si="3"/>
        <v>3293</v>
      </c>
      <c r="AE41" s="37">
        <f t="shared" si="4"/>
        <v>4445.5</v>
      </c>
      <c r="AF41" s="37">
        <f t="shared" si="5"/>
        <v>4698.5</v>
      </c>
      <c r="AG41" s="187"/>
      <c r="AH41" s="187"/>
      <c r="AI41" s="22"/>
      <c r="AJ41" s="44" t="s">
        <v>253</v>
      </c>
      <c r="AK41" s="37" t="s">
        <v>230</v>
      </c>
      <c r="AL41" s="37" t="str">
        <f t="shared" si="6"/>
        <v>Bradford Office</v>
      </c>
      <c r="AM41" s="45">
        <f t="shared" si="7"/>
        <v>0.2</v>
      </c>
      <c r="AN41" s="45">
        <f t="shared" si="8"/>
        <v>0.2</v>
      </c>
      <c r="AO41" s="45">
        <f t="shared" si="9"/>
        <v>0.28999999999999998</v>
      </c>
      <c r="AP41" s="45">
        <f t="shared" si="10"/>
        <v>0</v>
      </c>
      <c r="AQ41" s="45">
        <f t="shared" si="11"/>
        <v>0.21000000000000002</v>
      </c>
    </row>
    <row r="42" spans="2:57" ht="15.75" thickBot="1" x14ac:dyDescent="0.3">
      <c r="B42" s="25"/>
      <c r="C42" s="50"/>
      <c r="D42" s="50"/>
      <c r="E42" s="50"/>
      <c r="F42" s="22"/>
      <c r="G42" s="25" t="s">
        <v>173</v>
      </c>
      <c r="H42" s="22"/>
      <c r="I42" s="22"/>
      <c r="J42" s="22"/>
      <c r="K42" s="22"/>
      <c r="L42" s="22"/>
      <c r="M42" s="22"/>
      <c r="N42" s="22"/>
      <c r="O42"/>
      <c r="P42"/>
      <c r="Q42"/>
      <c r="R42"/>
      <c r="S42"/>
      <c r="T42"/>
      <c r="U42"/>
      <c r="V42" s="23"/>
      <c r="W42" s="23"/>
      <c r="X42" s="22"/>
      <c r="Y42" s="44" t="s">
        <v>253</v>
      </c>
      <c r="Z42" s="37" t="s">
        <v>232</v>
      </c>
      <c r="AA42" s="37" t="str">
        <f t="shared" si="0"/>
        <v>Bradford Restaurant</v>
      </c>
      <c r="AB42" s="37" t="e">
        <f t="shared" si="1"/>
        <v>#N/A</v>
      </c>
      <c r="AC42" s="37" t="e">
        <f t="shared" si="2"/>
        <v>#N/A</v>
      </c>
      <c r="AD42" s="37" t="e">
        <f t="shared" si="3"/>
        <v>#N/A</v>
      </c>
      <c r="AE42" s="37" t="e">
        <f t="shared" si="4"/>
        <v>#N/A</v>
      </c>
      <c r="AF42" s="37">
        <f t="shared" si="5"/>
        <v>6486.5</v>
      </c>
      <c r="AG42" s="187"/>
      <c r="AH42" s="187"/>
      <c r="AI42" s="22"/>
      <c r="AJ42" s="44" t="s">
        <v>253</v>
      </c>
      <c r="AK42" s="37" t="s">
        <v>232</v>
      </c>
      <c r="AL42" s="37" t="str">
        <f t="shared" si="6"/>
        <v>Bradford Restaurant</v>
      </c>
      <c r="AM42" s="45" t="e">
        <f t="shared" si="7"/>
        <v>#N/A</v>
      </c>
      <c r="AN42" s="45" t="e">
        <f t="shared" si="8"/>
        <v>#N/A</v>
      </c>
      <c r="AO42" s="45" t="e">
        <f t="shared" si="9"/>
        <v>#N/A</v>
      </c>
      <c r="AP42" s="45" t="e">
        <f t="shared" si="10"/>
        <v>#N/A</v>
      </c>
      <c r="AQ42" s="45">
        <f t="shared" si="11"/>
        <v>0.28000000000000003</v>
      </c>
    </row>
    <row r="43" spans="2:57" ht="15.75" thickBot="1" x14ac:dyDescent="0.3">
      <c r="B43" s="25"/>
      <c r="C43" s="50"/>
      <c r="D43" s="50"/>
      <c r="E43" s="50"/>
      <c r="F43" s="22"/>
      <c r="G43" s="25" t="s">
        <v>254</v>
      </c>
      <c r="H43" s="22"/>
      <c r="I43" s="22"/>
      <c r="J43" s="22"/>
      <c r="K43" s="22"/>
      <c r="L43" s="22"/>
      <c r="M43" s="22"/>
      <c r="N43" s="22"/>
      <c r="O43"/>
      <c r="P43"/>
      <c r="Q43"/>
      <c r="R43"/>
      <c r="S43"/>
      <c r="T43"/>
      <c r="U43"/>
      <c r="V43" s="23"/>
      <c r="W43" s="23"/>
      <c r="X43" s="22"/>
      <c r="Y43" s="44" t="s">
        <v>253</v>
      </c>
      <c r="Z43" s="37" t="s">
        <v>234</v>
      </c>
      <c r="AA43" s="37" t="str">
        <f t="shared" si="0"/>
        <v>Bradford Retail</v>
      </c>
      <c r="AB43" s="37">
        <f t="shared" si="1"/>
        <v>2012</v>
      </c>
      <c r="AC43" s="37">
        <f t="shared" si="2"/>
        <v>2012</v>
      </c>
      <c r="AD43" s="37">
        <f t="shared" si="3"/>
        <v>2585</v>
      </c>
      <c r="AE43" s="37">
        <f t="shared" si="4"/>
        <v>3568</v>
      </c>
      <c r="AF43" s="37">
        <f t="shared" si="5"/>
        <v>5234</v>
      </c>
      <c r="AG43" s="187"/>
      <c r="AH43" s="187"/>
      <c r="AI43" s="22"/>
      <c r="AJ43" s="44" t="s">
        <v>253</v>
      </c>
      <c r="AK43" s="37" t="s">
        <v>234</v>
      </c>
      <c r="AL43" s="37" t="str">
        <f t="shared" si="6"/>
        <v>Bradford Retail</v>
      </c>
      <c r="AM43" s="45">
        <f t="shared" si="7"/>
        <v>0.28000000000000003</v>
      </c>
      <c r="AN43" s="45">
        <f t="shared" si="8"/>
        <v>0.28000000000000003</v>
      </c>
      <c r="AO43" s="45">
        <f t="shared" si="9"/>
        <v>0.16</v>
      </c>
      <c r="AP43" s="45">
        <f t="shared" si="10"/>
        <v>0</v>
      </c>
      <c r="AQ43" s="45">
        <f t="shared" si="11"/>
        <v>0.35666666666666663</v>
      </c>
    </row>
    <row r="44" spans="2:57" ht="15.75" thickBot="1" x14ac:dyDescent="0.3">
      <c r="B44" s="27"/>
      <c r="C44" s="50"/>
      <c r="D44" s="50"/>
      <c r="E44" s="50"/>
      <c r="F44" s="22"/>
      <c r="G44" s="25" t="s">
        <v>249</v>
      </c>
      <c r="H44" s="22"/>
      <c r="I44" s="22"/>
      <c r="J44" s="22"/>
      <c r="K44" s="22"/>
      <c r="L44" s="22"/>
      <c r="M44" s="22"/>
      <c r="N44" s="22"/>
      <c r="O44"/>
      <c r="P44"/>
      <c r="Q44"/>
      <c r="R44"/>
      <c r="S44"/>
      <c r="T44"/>
      <c r="U44"/>
      <c r="V44" s="23"/>
      <c r="W44" s="23"/>
      <c r="X44" s="22"/>
      <c r="Y44" s="44" t="s">
        <v>253</v>
      </c>
      <c r="Z44" s="37" t="s">
        <v>236</v>
      </c>
      <c r="AA44" s="37" t="str">
        <f t="shared" si="0"/>
        <v>Bradford Warehouse - Other</v>
      </c>
      <c r="AB44" s="37" t="e">
        <f t="shared" si="1"/>
        <v>#N/A</v>
      </c>
      <c r="AC44" s="37" t="e">
        <f t="shared" si="2"/>
        <v>#N/A</v>
      </c>
      <c r="AD44" s="37" t="e">
        <f t="shared" si="3"/>
        <v>#N/A</v>
      </c>
      <c r="AE44" s="37" t="e">
        <f t="shared" si="4"/>
        <v>#N/A</v>
      </c>
      <c r="AF44" s="37">
        <f t="shared" si="5"/>
        <v>5259</v>
      </c>
      <c r="AG44" s="187"/>
      <c r="AH44" s="187"/>
      <c r="AI44" s="22"/>
      <c r="AJ44" s="44" t="s">
        <v>253</v>
      </c>
      <c r="AK44" s="37" t="s">
        <v>236</v>
      </c>
      <c r="AL44" s="37" t="str">
        <f t="shared" si="6"/>
        <v>Bradford Warehouse - Other</v>
      </c>
      <c r="AM44" s="45" t="e">
        <f t="shared" si="7"/>
        <v>#N/A</v>
      </c>
      <c r="AN44" s="45" t="e">
        <f t="shared" si="8"/>
        <v>#N/A</v>
      </c>
      <c r="AO44" s="45" t="e">
        <f t="shared" si="9"/>
        <v>#N/A</v>
      </c>
      <c r="AP44" s="45" t="e">
        <f t="shared" si="10"/>
        <v>#N/A</v>
      </c>
      <c r="AQ44" s="45">
        <f t="shared" si="11"/>
        <v>0.1</v>
      </c>
    </row>
    <row r="45" spans="2:57" ht="15.75" thickBot="1" x14ac:dyDescent="0.3">
      <c r="B45" s="22"/>
      <c r="C45" s="22"/>
      <c r="D45" s="22"/>
      <c r="E45" s="22"/>
      <c r="F45" s="22"/>
      <c r="G45" s="25" t="s">
        <v>252</v>
      </c>
      <c r="H45" s="22"/>
      <c r="I45" s="22"/>
      <c r="J45" s="22"/>
      <c r="K45" s="22"/>
      <c r="L45" s="22"/>
      <c r="M45" s="22"/>
      <c r="N45" s="22"/>
      <c r="O45"/>
      <c r="P45"/>
      <c r="Q45"/>
      <c r="R45"/>
      <c r="S45"/>
      <c r="T45"/>
      <c r="U45"/>
      <c r="V45" s="23"/>
      <c r="W45" s="23"/>
      <c r="X45" s="22"/>
      <c r="Y45" s="44" t="s">
        <v>253</v>
      </c>
      <c r="Z45" s="37" t="s">
        <v>238</v>
      </c>
      <c r="AA45" s="37" t="str">
        <f t="shared" si="0"/>
        <v>Bradford Warehouse - Refrigerated</v>
      </c>
      <c r="AB45" s="37" t="e">
        <f t="shared" si="1"/>
        <v>#N/A</v>
      </c>
      <c r="AC45" s="37" t="e">
        <f t="shared" si="2"/>
        <v>#N/A</v>
      </c>
      <c r="AD45" s="37" t="e">
        <f t="shared" si="3"/>
        <v>#N/A</v>
      </c>
      <c r="AE45" s="37" t="e">
        <f t="shared" si="4"/>
        <v>#N/A</v>
      </c>
      <c r="AF45" s="37">
        <f t="shared" si="5"/>
        <v>4041</v>
      </c>
      <c r="AG45" s="187"/>
      <c r="AH45" s="187"/>
      <c r="AI45" s="22"/>
      <c r="AJ45" s="44" t="s">
        <v>253</v>
      </c>
      <c r="AK45" s="37" t="s">
        <v>238</v>
      </c>
      <c r="AL45" s="37" t="str">
        <f t="shared" si="6"/>
        <v>Bradford Warehouse - Refrigerated</v>
      </c>
      <c r="AM45" s="45" t="e">
        <f t="shared" si="7"/>
        <v>#N/A</v>
      </c>
      <c r="AN45" s="45" t="e">
        <f t="shared" si="8"/>
        <v>#N/A</v>
      </c>
      <c r="AO45" s="45" t="e">
        <f t="shared" si="9"/>
        <v>#N/A</v>
      </c>
      <c r="AP45" s="45" t="e">
        <f t="shared" si="10"/>
        <v>#N/A</v>
      </c>
      <c r="AQ45" s="45">
        <f t="shared" si="11"/>
        <v>0.43</v>
      </c>
    </row>
    <row r="46" spans="2:57" ht="15.75" thickBot="1" x14ac:dyDescent="0.3">
      <c r="B46" s="22"/>
      <c r="C46" s="22"/>
      <c r="D46" s="22"/>
      <c r="E46" s="22"/>
      <c r="F46" s="22"/>
      <c r="G46" s="25" t="s">
        <v>246</v>
      </c>
      <c r="H46" s="22"/>
      <c r="I46" s="22"/>
      <c r="J46" s="22"/>
      <c r="K46" s="22"/>
      <c r="L46" s="22"/>
      <c r="M46" s="22"/>
      <c r="N46" s="22"/>
      <c r="O46"/>
      <c r="P46"/>
      <c r="Q46"/>
      <c r="R46"/>
      <c r="S46"/>
      <c r="T46"/>
      <c r="U46"/>
      <c r="V46" s="23"/>
      <c r="W46" s="23"/>
      <c r="X46" s="22"/>
      <c r="Y46" s="44" t="s">
        <v>258</v>
      </c>
      <c r="Z46" s="37" t="s">
        <v>206</v>
      </c>
      <c r="AA46" s="37" t="str">
        <f t="shared" si="0"/>
        <v>Erie Education - College/University</v>
      </c>
      <c r="AB46" s="37">
        <f t="shared" si="1"/>
        <v>3641</v>
      </c>
      <c r="AC46" s="37">
        <f t="shared" si="2"/>
        <v>3640.5</v>
      </c>
      <c r="AD46" s="37">
        <f t="shared" si="3"/>
        <v>4766</v>
      </c>
      <c r="AE46" s="37">
        <f t="shared" si="4"/>
        <v>5036</v>
      </c>
      <c r="AF46" s="37">
        <f t="shared" si="5"/>
        <v>6138.5</v>
      </c>
      <c r="AG46" s="187"/>
      <c r="AH46" s="187"/>
      <c r="AI46" s="22"/>
      <c r="AJ46" s="44" t="s">
        <v>258</v>
      </c>
      <c r="AK46" s="37" t="s">
        <v>206</v>
      </c>
      <c r="AL46" s="37" t="str">
        <f t="shared" si="6"/>
        <v>Erie Education - College/University</v>
      </c>
      <c r="AM46" s="45">
        <f t="shared" si="7"/>
        <v>0.29499999999999998</v>
      </c>
      <c r="AN46" s="45">
        <f t="shared" si="8"/>
        <v>0.29499999999999998</v>
      </c>
      <c r="AO46" s="45">
        <f t="shared" si="9"/>
        <v>0.61</v>
      </c>
      <c r="AP46" s="45">
        <f t="shared" si="10"/>
        <v>5.0000000000000001E-3</v>
      </c>
      <c r="AQ46" s="45">
        <f t="shared" si="11"/>
        <v>0.315</v>
      </c>
    </row>
    <row r="47" spans="2:57" ht="15.4" customHeight="1" thickBot="1" x14ac:dyDescent="0.3">
      <c r="B47" s="26" t="s">
        <v>259</v>
      </c>
      <c r="C47" s="49"/>
      <c r="D47" s="49"/>
      <c r="E47" s="49"/>
      <c r="F47" s="22"/>
      <c r="G47" s="25"/>
      <c r="H47" s="22"/>
      <c r="I47" s="22"/>
      <c r="J47" s="22"/>
      <c r="K47" s="22"/>
      <c r="L47" s="22"/>
      <c r="M47" s="22"/>
      <c r="N47" s="22"/>
      <c r="O47"/>
      <c r="P47"/>
      <c r="Q47"/>
      <c r="R47"/>
      <c r="S47"/>
      <c r="T47"/>
      <c r="U47"/>
      <c r="V47" s="23"/>
      <c r="W47" s="23"/>
      <c r="X47" s="22"/>
      <c r="Y47" s="44" t="s">
        <v>258</v>
      </c>
      <c r="Z47" s="37" t="s">
        <v>211</v>
      </c>
      <c r="AA47" s="37" t="str">
        <f t="shared" si="0"/>
        <v>Erie Education - Other</v>
      </c>
      <c r="AB47" s="37">
        <f t="shared" si="1"/>
        <v>2175</v>
      </c>
      <c r="AC47" s="37">
        <f t="shared" si="2"/>
        <v>2178</v>
      </c>
      <c r="AD47" s="37">
        <f t="shared" si="3"/>
        <v>1445</v>
      </c>
      <c r="AE47" s="37">
        <f t="shared" si="4"/>
        <v>4080</v>
      </c>
      <c r="AF47" s="37">
        <f t="shared" si="5"/>
        <v>4572</v>
      </c>
      <c r="AG47" s="187"/>
      <c r="AH47" s="187"/>
      <c r="AI47" s="22"/>
      <c r="AJ47" s="44" t="s">
        <v>258</v>
      </c>
      <c r="AK47" s="37" t="s">
        <v>211</v>
      </c>
      <c r="AL47" s="37" t="str">
        <f t="shared" si="6"/>
        <v>Erie Education - Other</v>
      </c>
      <c r="AM47" s="45">
        <f t="shared" si="7"/>
        <v>0.09</v>
      </c>
      <c r="AN47" s="45">
        <f t="shared" si="8"/>
        <v>0.09</v>
      </c>
      <c r="AO47" s="45">
        <f t="shared" si="9"/>
        <v>0.43</v>
      </c>
      <c r="AP47" s="45">
        <f t="shared" si="10"/>
        <v>0</v>
      </c>
      <c r="AQ47" s="45">
        <f t="shared" si="11"/>
        <v>9.0000000000000011E-2</v>
      </c>
    </row>
    <row r="48" spans="2:57" ht="15.75" thickBot="1" x14ac:dyDescent="0.3">
      <c r="B48" s="25" t="s">
        <v>160</v>
      </c>
      <c r="C48" s="50"/>
      <c r="D48" s="50"/>
      <c r="E48" s="50"/>
      <c r="F48" s="22"/>
      <c r="G48" s="25"/>
      <c r="H48" s="22"/>
      <c r="I48" s="22"/>
      <c r="J48" s="22"/>
      <c r="K48" s="22"/>
      <c r="L48" s="22"/>
      <c r="M48" s="22"/>
      <c r="N48" s="22"/>
      <c r="O48"/>
      <c r="P48"/>
      <c r="Q48"/>
      <c r="R48"/>
      <c r="S48"/>
      <c r="T48"/>
      <c r="U48"/>
      <c r="V48" s="23"/>
      <c r="W48" s="23"/>
      <c r="X48" s="22"/>
      <c r="Y48" s="44" t="s">
        <v>258</v>
      </c>
      <c r="Z48" s="37" t="s">
        <v>222</v>
      </c>
      <c r="AA48" s="37" t="str">
        <f t="shared" si="0"/>
        <v>Erie Grocery</v>
      </c>
      <c r="AB48" s="37" t="e">
        <f t="shared" si="1"/>
        <v>#N/A</v>
      </c>
      <c r="AC48" s="37" t="e">
        <f t="shared" si="2"/>
        <v>#N/A</v>
      </c>
      <c r="AD48" s="37" t="e">
        <f t="shared" si="3"/>
        <v>#N/A</v>
      </c>
      <c r="AE48" s="37" t="e">
        <f t="shared" si="4"/>
        <v>#N/A</v>
      </c>
      <c r="AF48" s="37">
        <f t="shared" si="5"/>
        <v>6738</v>
      </c>
      <c r="AG48" s="187"/>
      <c r="AH48" s="187"/>
      <c r="AI48" s="22"/>
      <c r="AJ48" s="44" t="s">
        <v>258</v>
      </c>
      <c r="AK48" s="37" t="s">
        <v>222</v>
      </c>
      <c r="AL48" s="37" t="str">
        <f t="shared" si="6"/>
        <v>Erie Grocery</v>
      </c>
      <c r="AM48" s="45" t="e">
        <f t="shared" si="7"/>
        <v>#N/A</v>
      </c>
      <c r="AN48" s="45" t="e">
        <f t="shared" si="8"/>
        <v>#N/A</v>
      </c>
      <c r="AO48" s="45" t="e">
        <f t="shared" si="9"/>
        <v>#N/A</v>
      </c>
      <c r="AP48" s="45" t="e">
        <f t="shared" si="10"/>
        <v>#N/A</v>
      </c>
      <c r="AQ48" s="45">
        <f t="shared" si="11"/>
        <v>0.22</v>
      </c>
    </row>
    <row r="49" spans="2:43" ht="15.75" thickBot="1" x14ac:dyDescent="0.3">
      <c r="B49" s="25" t="s">
        <v>260</v>
      </c>
      <c r="C49" s="50"/>
      <c r="D49" s="50"/>
      <c r="E49" s="50"/>
      <c r="F49" s="22"/>
      <c r="G49" s="25" t="s">
        <v>261</v>
      </c>
      <c r="H49" s="22"/>
      <c r="I49" s="22"/>
      <c r="J49" s="22"/>
      <c r="K49" s="22"/>
      <c r="L49" s="22"/>
      <c r="M49" s="22"/>
      <c r="N49" s="22"/>
      <c r="O49"/>
      <c r="P49"/>
      <c r="Q49"/>
      <c r="R49"/>
      <c r="S49"/>
      <c r="T49"/>
      <c r="U49"/>
      <c r="V49" s="23"/>
      <c r="W49" s="23"/>
      <c r="X49" s="22"/>
      <c r="Y49" s="44" t="s">
        <v>258</v>
      </c>
      <c r="Z49" s="37" t="s">
        <v>223</v>
      </c>
      <c r="AA49" s="37" t="str">
        <f t="shared" si="0"/>
        <v>Erie Health - Hospital</v>
      </c>
      <c r="AB49" s="37">
        <f t="shared" si="1"/>
        <v>5109</v>
      </c>
      <c r="AC49" s="37">
        <f t="shared" si="2"/>
        <v>5107</v>
      </c>
      <c r="AD49" s="37">
        <f t="shared" si="3"/>
        <v>1569</v>
      </c>
      <c r="AE49" s="37">
        <f t="shared" si="4"/>
        <v>8760</v>
      </c>
      <c r="AF49" s="37">
        <f t="shared" si="5"/>
        <v>8760</v>
      </c>
      <c r="AG49" s="187"/>
      <c r="AH49" s="187"/>
      <c r="AI49" s="22"/>
      <c r="AJ49" s="44" t="s">
        <v>258</v>
      </c>
      <c r="AK49" s="37" t="s">
        <v>223</v>
      </c>
      <c r="AL49" s="37" t="str">
        <f t="shared" si="6"/>
        <v>Erie Health - Hospital</v>
      </c>
      <c r="AM49" s="45">
        <f t="shared" si="7"/>
        <v>0.42</v>
      </c>
      <c r="AN49" s="45">
        <f t="shared" si="8"/>
        <v>0.41</v>
      </c>
      <c r="AO49" s="45">
        <f t="shared" si="9"/>
        <v>0.27</v>
      </c>
      <c r="AP49" s="45">
        <f t="shared" si="10"/>
        <v>0.09</v>
      </c>
      <c r="AQ49" s="45">
        <f t="shared" si="11"/>
        <v>0.39</v>
      </c>
    </row>
    <row r="50" spans="2:43" ht="15.75" thickBot="1" x14ac:dyDescent="0.3">
      <c r="B50" s="27" t="s">
        <v>262</v>
      </c>
      <c r="C50" s="50"/>
      <c r="D50" s="50"/>
      <c r="E50" s="50"/>
      <c r="F50" s="22"/>
      <c r="G50" s="25" t="s">
        <v>263</v>
      </c>
      <c r="H50" s="22"/>
      <c r="I50" s="22"/>
      <c r="J50" s="22"/>
      <c r="K50" s="22"/>
      <c r="L50" s="22"/>
      <c r="M50" s="22"/>
      <c r="N50" s="22"/>
      <c r="O50"/>
      <c r="P50"/>
      <c r="Q50"/>
      <c r="R50"/>
      <c r="S50"/>
      <c r="T50"/>
      <c r="U50"/>
      <c r="V50" s="23"/>
      <c r="W50" s="23"/>
      <c r="X50" s="22"/>
      <c r="Y50" s="44" t="s">
        <v>258</v>
      </c>
      <c r="Z50" s="37" t="s">
        <v>224</v>
      </c>
      <c r="AA50" s="37" t="str">
        <f t="shared" si="0"/>
        <v>Erie Health - Other</v>
      </c>
      <c r="AB50" s="37">
        <f t="shared" si="1"/>
        <v>3456</v>
      </c>
      <c r="AC50" s="37">
        <f t="shared" si="2"/>
        <v>3457</v>
      </c>
      <c r="AD50" s="37">
        <f t="shared" si="3"/>
        <v>2616</v>
      </c>
      <c r="AE50" s="37">
        <f t="shared" si="4"/>
        <v>6280</v>
      </c>
      <c r="AF50" s="37">
        <f t="shared" si="5"/>
        <v>8760</v>
      </c>
      <c r="AG50" s="187"/>
      <c r="AH50" s="187"/>
      <c r="AI50" s="22"/>
      <c r="AJ50" s="44" t="s">
        <v>258</v>
      </c>
      <c r="AK50" s="37" t="s">
        <v>224</v>
      </c>
      <c r="AL50" s="37" t="str">
        <f t="shared" si="6"/>
        <v>Erie Health - Other</v>
      </c>
      <c r="AM50" s="45">
        <f t="shared" si="7"/>
        <v>0.22</v>
      </c>
      <c r="AN50" s="45">
        <f t="shared" si="8"/>
        <v>0.22</v>
      </c>
      <c r="AO50" s="45">
        <f t="shared" si="9"/>
        <v>0.38</v>
      </c>
      <c r="AP50" s="45">
        <f t="shared" si="10"/>
        <v>0</v>
      </c>
      <c r="AQ50" s="45">
        <f t="shared" si="11"/>
        <v>0.23</v>
      </c>
    </row>
    <row r="51" spans="2:43" ht="15.75" thickBot="1" x14ac:dyDescent="0.3">
      <c r="B51" s="22"/>
      <c r="C51" s="50"/>
      <c r="D51" s="50"/>
      <c r="E51" s="50"/>
      <c r="F51" s="22"/>
      <c r="G51" s="25"/>
      <c r="H51" s="22"/>
      <c r="I51" s="22"/>
      <c r="J51" s="22"/>
      <c r="K51" s="22"/>
      <c r="L51" s="22"/>
      <c r="M51" s="22"/>
      <c r="N51" s="22"/>
      <c r="O51"/>
      <c r="P51"/>
      <c r="Q51"/>
      <c r="R51"/>
      <c r="S51"/>
      <c r="T51"/>
      <c r="U51"/>
      <c r="V51" s="23"/>
      <c r="W51" s="23"/>
      <c r="X51" s="22"/>
      <c r="Y51" s="44" t="s">
        <v>258</v>
      </c>
      <c r="Z51" s="37" t="s">
        <v>225</v>
      </c>
      <c r="AA51" s="37" t="str">
        <f t="shared" si="0"/>
        <v>Erie Industrial Manufacturing</v>
      </c>
      <c r="AB51" s="37">
        <f t="shared" si="1"/>
        <v>1448</v>
      </c>
      <c r="AC51" s="37">
        <f t="shared" si="2"/>
        <v>1448</v>
      </c>
      <c r="AD51" s="37">
        <f t="shared" si="3"/>
        <v>3063</v>
      </c>
      <c r="AE51" s="37">
        <f t="shared" si="4"/>
        <v>1555</v>
      </c>
      <c r="AF51" s="37">
        <f t="shared" si="5"/>
        <v>3977</v>
      </c>
      <c r="AG51" s="187"/>
      <c r="AH51" s="187"/>
      <c r="AI51" s="22"/>
      <c r="AJ51" s="44" t="s">
        <v>258</v>
      </c>
      <c r="AK51" s="37" t="s">
        <v>225</v>
      </c>
      <c r="AL51" s="37" t="str">
        <f t="shared" si="6"/>
        <v>Erie Industrial Manufacturing</v>
      </c>
      <c r="AM51" s="45">
        <f t="shared" si="7"/>
        <v>0.43</v>
      </c>
      <c r="AN51" s="45">
        <f t="shared" si="8"/>
        <v>0.43</v>
      </c>
      <c r="AO51" s="45">
        <f t="shared" si="9"/>
        <v>0.29499999999999998</v>
      </c>
      <c r="AP51" s="45">
        <f t="shared" si="10"/>
        <v>0</v>
      </c>
      <c r="AQ51" s="45">
        <f t="shared" si="11"/>
        <v>0.375</v>
      </c>
    </row>
    <row r="52" spans="2:43" ht="15.75" thickBot="1" x14ac:dyDescent="0.3">
      <c r="B52" s="22"/>
      <c r="C52" s="50"/>
      <c r="D52" s="50"/>
      <c r="E52" s="50"/>
      <c r="F52" s="22"/>
      <c r="G52" s="27"/>
      <c r="H52" s="22"/>
      <c r="I52" s="22"/>
      <c r="J52" s="22"/>
      <c r="K52" s="22"/>
      <c r="L52" s="22"/>
      <c r="M52" s="22"/>
      <c r="N52" s="24"/>
      <c r="O52"/>
      <c r="P52"/>
      <c r="Q52"/>
      <c r="R52"/>
      <c r="S52"/>
      <c r="T52"/>
      <c r="U52"/>
      <c r="V52" s="22"/>
      <c r="W52" s="22"/>
      <c r="X52" s="22"/>
      <c r="Y52" s="44" t="s">
        <v>258</v>
      </c>
      <c r="Z52" s="37" t="s">
        <v>226</v>
      </c>
      <c r="AA52" s="37" t="str">
        <f t="shared" si="0"/>
        <v>Erie Institutional/Public Service</v>
      </c>
      <c r="AB52" s="37" t="e">
        <f t="shared" si="1"/>
        <v>#N/A</v>
      </c>
      <c r="AC52" s="37" t="e">
        <f t="shared" si="2"/>
        <v>#N/A</v>
      </c>
      <c r="AD52" s="37" t="e">
        <f t="shared" si="3"/>
        <v>#N/A</v>
      </c>
      <c r="AE52" s="37" t="e">
        <f t="shared" si="4"/>
        <v>#N/A</v>
      </c>
      <c r="AF52" s="37">
        <f t="shared" si="5"/>
        <v>5217</v>
      </c>
      <c r="AG52" s="187"/>
      <c r="AH52" s="187"/>
      <c r="AI52" s="22"/>
      <c r="AJ52" s="44" t="s">
        <v>258</v>
      </c>
      <c r="AK52" s="37" t="s">
        <v>226</v>
      </c>
      <c r="AL52" s="37" t="str">
        <f t="shared" si="6"/>
        <v>Erie Institutional/Public Service</v>
      </c>
      <c r="AM52" s="45" t="e">
        <f t="shared" si="7"/>
        <v>#N/A</v>
      </c>
      <c r="AN52" s="45" t="e">
        <f t="shared" si="8"/>
        <v>#N/A</v>
      </c>
      <c r="AO52" s="45" t="e">
        <f t="shared" si="9"/>
        <v>#N/A</v>
      </c>
      <c r="AP52" s="45" t="e">
        <f t="shared" si="10"/>
        <v>#N/A</v>
      </c>
      <c r="AQ52" s="45">
        <f t="shared" si="11"/>
        <v>0.45</v>
      </c>
    </row>
    <row r="53" spans="2:43" ht="15.75" thickBot="1" x14ac:dyDescent="0.3">
      <c r="B53" s="26" t="s">
        <v>264</v>
      </c>
      <c r="C53" s="22"/>
      <c r="D53" s="22"/>
      <c r="E53" s="22"/>
      <c r="F53" s="22"/>
      <c r="G53" s="22"/>
      <c r="H53" s="22"/>
      <c r="I53" s="22"/>
      <c r="J53" s="22"/>
      <c r="K53" s="22"/>
      <c r="L53" s="22"/>
      <c r="M53" s="22"/>
      <c r="N53" s="24"/>
      <c r="O53"/>
      <c r="P53"/>
      <c r="Q53"/>
      <c r="R53"/>
      <c r="S53"/>
      <c r="T53"/>
      <c r="U53"/>
      <c r="V53" s="22"/>
      <c r="W53" s="22"/>
      <c r="X53" s="22"/>
      <c r="Y53" s="44" t="s">
        <v>258</v>
      </c>
      <c r="Z53" s="37" t="s">
        <v>228</v>
      </c>
      <c r="AA53" s="37" t="str">
        <f t="shared" si="0"/>
        <v>Erie Lodging</v>
      </c>
      <c r="AB53" s="37">
        <f t="shared" si="1"/>
        <v>5198</v>
      </c>
      <c r="AC53" s="37">
        <f t="shared" si="2"/>
        <v>5197</v>
      </c>
      <c r="AD53" s="37">
        <f t="shared" si="3"/>
        <v>2039</v>
      </c>
      <c r="AE53" s="37">
        <f t="shared" si="4"/>
        <v>6829</v>
      </c>
      <c r="AF53" s="37">
        <f t="shared" si="5"/>
        <v>8760</v>
      </c>
      <c r="AG53" s="187"/>
      <c r="AH53" s="187"/>
      <c r="AI53" s="22"/>
      <c r="AJ53" s="44" t="s">
        <v>258</v>
      </c>
      <c r="AK53" s="37" t="s">
        <v>228</v>
      </c>
      <c r="AL53" s="37" t="str">
        <f t="shared" si="6"/>
        <v>Erie Lodging</v>
      </c>
      <c r="AM53" s="45">
        <f t="shared" si="7"/>
        <v>0.6</v>
      </c>
      <c r="AN53" s="45">
        <f t="shared" si="8"/>
        <v>0.61</v>
      </c>
      <c r="AO53" s="45">
        <f t="shared" si="9"/>
        <v>0.09</v>
      </c>
      <c r="AP53" s="45">
        <f t="shared" si="10"/>
        <v>0</v>
      </c>
      <c r="AQ53" s="45">
        <f t="shared" si="11"/>
        <v>0.65</v>
      </c>
    </row>
    <row r="54" spans="2:43" ht="15.75" thickBot="1" x14ac:dyDescent="0.3">
      <c r="B54" s="25" t="s">
        <v>205</v>
      </c>
      <c r="C54" s="22"/>
      <c r="D54" s="22"/>
      <c r="E54" s="22"/>
      <c r="F54" s="22"/>
      <c r="G54" s="22"/>
      <c r="H54" s="22"/>
      <c r="I54" s="22"/>
      <c r="J54" s="22"/>
      <c r="K54" s="22"/>
      <c r="L54" s="22"/>
      <c r="M54" s="22"/>
      <c r="N54" s="24"/>
      <c r="O54"/>
      <c r="P54"/>
      <c r="Q54"/>
      <c r="R54"/>
      <c r="S54"/>
      <c r="T54"/>
      <c r="U54"/>
      <c r="V54" s="22"/>
      <c r="W54" s="22"/>
      <c r="X54" s="22"/>
      <c r="Y54" s="44" t="s">
        <v>258</v>
      </c>
      <c r="Z54" s="37" t="s">
        <v>230</v>
      </c>
      <c r="AA54" s="37" t="str">
        <f t="shared" si="0"/>
        <v>Erie Office</v>
      </c>
      <c r="AB54" s="37">
        <f t="shared" si="1"/>
        <v>1584.5</v>
      </c>
      <c r="AC54" s="37">
        <f t="shared" si="2"/>
        <v>1584.5</v>
      </c>
      <c r="AD54" s="37">
        <f t="shared" si="3"/>
        <v>3698</v>
      </c>
      <c r="AE54" s="37">
        <f t="shared" si="4"/>
        <v>3610.5</v>
      </c>
      <c r="AF54" s="37">
        <f t="shared" si="5"/>
        <v>4440.5</v>
      </c>
      <c r="AG54" s="187"/>
      <c r="AH54" s="187"/>
      <c r="AI54" s="22"/>
      <c r="AJ54" s="44" t="s">
        <v>258</v>
      </c>
      <c r="AK54" s="37" t="s">
        <v>230</v>
      </c>
      <c r="AL54" s="37" t="str">
        <f t="shared" si="6"/>
        <v>Erie Office</v>
      </c>
      <c r="AM54" s="45">
        <f t="shared" si="7"/>
        <v>0.27</v>
      </c>
      <c r="AN54" s="45">
        <f t="shared" si="8"/>
        <v>0.27</v>
      </c>
      <c r="AO54" s="45">
        <f t="shared" si="9"/>
        <v>0.41</v>
      </c>
      <c r="AP54" s="45">
        <f t="shared" si="10"/>
        <v>0</v>
      </c>
      <c r="AQ54" s="45">
        <f t="shared" si="11"/>
        <v>0.28000000000000003</v>
      </c>
    </row>
    <row r="55" spans="2:43" ht="15.75" thickBot="1" x14ac:dyDescent="0.3">
      <c r="B55" s="25" t="s">
        <v>240</v>
      </c>
      <c r="C55" s="49"/>
      <c r="D55" s="49"/>
      <c r="E55" s="49"/>
      <c r="F55" s="22"/>
      <c r="G55" s="22"/>
      <c r="H55" s="22"/>
      <c r="I55" s="22"/>
      <c r="J55" s="22"/>
      <c r="K55" s="22"/>
      <c r="L55" s="22"/>
      <c r="M55" s="22"/>
      <c r="N55" s="24"/>
      <c r="O55"/>
      <c r="P55"/>
      <c r="Q55"/>
      <c r="R55"/>
      <c r="S55"/>
      <c r="T55"/>
      <c r="U55"/>
      <c r="V55" s="22"/>
      <c r="W55" s="22"/>
      <c r="X55" s="22"/>
      <c r="Y55" s="44" t="s">
        <v>258</v>
      </c>
      <c r="Z55" s="37" t="s">
        <v>232</v>
      </c>
      <c r="AA55" s="37" t="str">
        <f t="shared" si="0"/>
        <v>Erie Restaurant</v>
      </c>
      <c r="AB55" s="37" t="e">
        <f t="shared" si="1"/>
        <v>#N/A</v>
      </c>
      <c r="AC55" s="37" t="e">
        <f t="shared" si="2"/>
        <v>#N/A</v>
      </c>
      <c r="AD55" s="37" t="e">
        <f t="shared" si="3"/>
        <v>#N/A</v>
      </c>
      <c r="AE55" s="37" t="e">
        <f t="shared" si="4"/>
        <v>#N/A</v>
      </c>
      <c r="AF55" s="37">
        <f t="shared" si="5"/>
        <v>6365</v>
      </c>
      <c r="AG55" s="187"/>
      <c r="AH55" s="187"/>
      <c r="AI55" s="22"/>
      <c r="AJ55" s="44" t="s">
        <v>258</v>
      </c>
      <c r="AK55" s="37" t="s">
        <v>232</v>
      </c>
      <c r="AL55" s="37" t="str">
        <f t="shared" si="6"/>
        <v>Erie Restaurant</v>
      </c>
      <c r="AM55" s="45" t="e">
        <f t="shared" si="7"/>
        <v>#N/A</v>
      </c>
      <c r="AN55" s="45" t="e">
        <f t="shared" si="8"/>
        <v>#N/A</v>
      </c>
      <c r="AO55" s="45" t="e">
        <f t="shared" si="9"/>
        <v>#N/A</v>
      </c>
      <c r="AP55" s="45" t="e">
        <f t="shared" si="10"/>
        <v>#N/A</v>
      </c>
      <c r="AQ55" s="45">
        <f t="shared" si="11"/>
        <v>0.37</v>
      </c>
    </row>
    <row r="56" spans="2:43" ht="15.75" thickBot="1" x14ac:dyDescent="0.3">
      <c r="B56" s="25" t="s">
        <v>253</v>
      </c>
      <c r="C56" s="50"/>
      <c r="D56" s="50"/>
      <c r="E56" s="50"/>
      <c r="F56" s="22"/>
      <c r="G56" s="22"/>
      <c r="H56" s="22"/>
      <c r="I56" s="22"/>
      <c r="J56" s="22"/>
      <c r="K56" s="22"/>
      <c r="L56" s="22"/>
      <c r="M56" s="22"/>
      <c r="N56" s="24"/>
      <c r="O56"/>
      <c r="P56"/>
      <c r="Q56"/>
      <c r="R56"/>
      <c r="S56"/>
      <c r="T56"/>
      <c r="U56"/>
      <c r="V56" s="22"/>
      <c r="W56" s="22"/>
      <c r="X56" s="22"/>
      <c r="Y56" s="44" t="s">
        <v>258</v>
      </c>
      <c r="Z56" s="37" t="s">
        <v>234</v>
      </c>
      <c r="AA56" s="37" t="str">
        <f t="shared" si="0"/>
        <v>Erie Retail</v>
      </c>
      <c r="AB56" s="37">
        <f t="shared" si="1"/>
        <v>2653</v>
      </c>
      <c r="AC56" s="37">
        <f t="shared" si="2"/>
        <v>2653</v>
      </c>
      <c r="AD56" s="37">
        <f t="shared" si="3"/>
        <v>3394</v>
      </c>
      <c r="AE56" s="37">
        <f t="shared" si="4"/>
        <v>2960</v>
      </c>
      <c r="AF56" s="37">
        <f t="shared" si="5"/>
        <v>5158</v>
      </c>
      <c r="AG56" s="187"/>
      <c r="AH56" s="187"/>
      <c r="AI56" s="22"/>
      <c r="AJ56" s="44" t="s">
        <v>258</v>
      </c>
      <c r="AK56" s="37" t="s">
        <v>234</v>
      </c>
      <c r="AL56" s="37" t="str">
        <f t="shared" si="6"/>
        <v>Erie Retail</v>
      </c>
      <c r="AM56" s="45">
        <f t="shared" si="7"/>
        <v>0.38</v>
      </c>
      <c r="AN56" s="45">
        <f t="shared" si="8"/>
        <v>0.38</v>
      </c>
      <c r="AO56" s="45">
        <f t="shared" si="9"/>
        <v>0.22</v>
      </c>
      <c r="AP56" s="45">
        <f t="shared" si="10"/>
        <v>0</v>
      </c>
      <c r="AQ56" s="45">
        <f t="shared" si="11"/>
        <v>0.4366666666666667</v>
      </c>
    </row>
    <row r="57" spans="2:43" ht="15.75" thickBot="1" x14ac:dyDescent="0.3">
      <c r="B57" s="25" t="s">
        <v>258</v>
      </c>
      <c r="C57" s="50"/>
      <c r="D57" s="50"/>
      <c r="E57" s="50"/>
      <c r="F57" s="22"/>
      <c r="G57" s="22"/>
      <c r="H57" s="22"/>
      <c r="I57" s="22"/>
      <c r="J57" s="22"/>
      <c r="K57" s="22"/>
      <c r="L57" s="22"/>
      <c r="M57" s="22"/>
      <c r="N57" s="24"/>
      <c r="O57"/>
      <c r="P57"/>
      <c r="Q57"/>
      <c r="R57"/>
      <c r="S57"/>
      <c r="T57"/>
      <c r="U57"/>
      <c r="V57" s="22"/>
      <c r="W57" s="22"/>
      <c r="X57" s="22"/>
      <c r="Y57" s="44" t="s">
        <v>258</v>
      </c>
      <c r="Z57" s="37" t="s">
        <v>236</v>
      </c>
      <c r="AA57" s="37" t="str">
        <f t="shared" si="0"/>
        <v>Erie Warehouse - Other</v>
      </c>
      <c r="AB57" s="37" t="e">
        <f t="shared" si="1"/>
        <v>#N/A</v>
      </c>
      <c r="AC57" s="37" t="e">
        <f t="shared" si="2"/>
        <v>#N/A</v>
      </c>
      <c r="AD57" s="37" t="e">
        <f t="shared" si="3"/>
        <v>#N/A</v>
      </c>
      <c r="AE57" s="37" t="e">
        <f t="shared" si="4"/>
        <v>#N/A</v>
      </c>
      <c r="AF57" s="37">
        <f t="shared" si="5"/>
        <v>5222</v>
      </c>
      <c r="AG57" s="187"/>
      <c r="AH57" s="187"/>
      <c r="AI57" s="22"/>
      <c r="AJ57" s="44" t="s">
        <v>258</v>
      </c>
      <c r="AK57" s="37" t="s">
        <v>236</v>
      </c>
      <c r="AL57" s="37" t="str">
        <f t="shared" si="6"/>
        <v>Erie Warehouse - Other</v>
      </c>
      <c r="AM57" s="45" t="e">
        <f t="shared" si="7"/>
        <v>#N/A</v>
      </c>
      <c r="AN57" s="45" t="e">
        <f t="shared" si="8"/>
        <v>#N/A</v>
      </c>
      <c r="AO57" s="45" t="e">
        <f t="shared" si="9"/>
        <v>#N/A</v>
      </c>
      <c r="AP57" s="45" t="e">
        <f t="shared" si="10"/>
        <v>#N/A</v>
      </c>
      <c r="AQ57" s="45">
        <f t="shared" si="11"/>
        <v>0.13</v>
      </c>
    </row>
    <row r="58" spans="2:43" ht="15.75" thickBot="1" x14ac:dyDescent="0.3">
      <c r="B58" s="25" t="s">
        <v>265</v>
      </c>
      <c r="C58" s="50"/>
      <c r="D58" s="50"/>
      <c r="E58" s="50"/>
      <c r="F58" s="22"/>
      <c r="G58" s="22"/>
      <c r="H58" s="22"/>
      <c r="I58" s="22"/>
      <c r="J58" s="22"/>
      <c r="K58" s="22"/>
      <c r="L58" s="22"/>
      <c r="M58" s="22"/>
      <c r="N58" s="24"/>
      <c r="O58"/>
      <c r="P58"/>
      <c r="Q58"/>
      <c r="R58"/>
      <c r="S58"/>
      <c r="T58"/>
      <c r="U58"/>
      <c r="V58" s="22"/>
      <c r="W58" s="22"/>
      <c r="X58" s="22"/>
      <c r="Y58" s="44" t="s">
        <v>258</v>
      </c>
      <c r="Z58" s="37" t="s">
        <v>238</v>
      </c>
      <c r="AA58" s="37" t="str">
        <f t="shared" si="0"/>
        <v>Erie Warehouse - Refrigerated</v>
      </c>
      <c r="AB58" s="37" t="e">
        <f t="shared" si="1"/>
        <v>#N/A</v>
      </c>
      <c r="AC58" s="37" t="e">
        <f t="shared" si="2"/>
        <v>#N/A</v>
      </c>
      <c r="AD58" s="37" t="e">
        <f t="shared" si="3"/>
        <v>#N/A</v>
      </c>
      <c r="AE58" s="37" t="e">
        <f t="shared" si="4"/>
        <v>#N/A</v>
      </c>
      <c r="AF58" s="37">
        <f t="shared" si="5"/>
        <v>4041</v>
      </c>
      <c r="AG58" s="187"/>
      <c r="AH58" s="187"/>
      <c r="AI58" s="22"/>
      <c r="AJ58" s="44" t="s">
        <v>258</v>
      </c>
      <c r="AK58" s="37" t="s">
        <v>238</v>
      </c>
      <c r="AL58" s="37" t="str">
        <f t="shared" si="6"/>
        <v>Erie Warehouse - Refrigerated</v>
      </c>
      <c r="AM58" s="45" t="e">
        <f t="shared" si="7"/>
        <v>#N/A</v>
      </c>
      <c r="AN58" s="45" t="e">
        <f t="shared" si="8"/>
        <v>#N/A</v>
      </c>
      <c r="AO58" s="45" t="e">
        <f t="shared" si="9"/>
        <v>#N/A</v>
      </c>
      <c r="AP58" s="45" t="e">
        <f t="shared" si="10"/>
        <v>#N/A</v>
      </c>
      <c r="AQ58" s="45">
        <f t="shared" si="11"/>
        <v>0.48</v>
      </c>
    </row>
    <row r="59" spans="2:43" ht="15.75" thickBot="1" x14ac:dyDescent="0.3">
      <c r="B59" s="25" t="s">
        <v>266</v>
      </c>
      <c r="C59" s="22"/>
      <c r="D59" s="22"/>
      <c r="E59" s="22"/>
      <c r="F59" s="22"/>
      <c r="G59" s="22"/>
      <c r="H59" s="22"/>
      <c r="I59" s="22"/>
      <c r="J59" s="22"/>
      <c r="K59" s="22"/>
      <c r="L59" s="22"/>
      <c r="M59" s="22"/>
      <c r="N59" s="24"/>
      <c r="O59"/>
      <c r="P59"/>
      <c r="Q59"/>
      <c r="R59"/>
      <c r="S59"/>
      <c r="T59"/>
      <c r="U59"/>
      <c r="V59" s="22"/>
      <c r="W59" s="22"/>
      <c r="X59" s="22"/>
      <c r="Y59" s="44" t="s">
        <v>265</v>
      </c>
      <c r="Z59" s="37" t="s">
        <v>206</v>
      </c>
      <c r="AA59" s="37" t="str">
        <f t="shared" si="0"/>
        <v>Harrisburg Education - College/University</v>
      </c>
      <c r="AB59" s="37">
        <f t="shared" si="1"/>
        <v>4057</v>
      </c>
      <c r="AC59" s="37">
        <f t="shared" si="2"/>
        <v>4056.5</v>
      </c>
      <c r="AD59" s="37">
        <f t="shared" si="3"/>
        <v>5569</v>
      </c>
      <c r="AE59" s="37">
        <f t="shared" si="4"/>
        <v>4250</v>
      </c>
      <c r="AF59" s="37">
        <f t="shared" si="5"/>
        <v>5860</v>
      </c>
      <c r="AG59" s="187"/>
      <c r="AH59" s="187"/>
      <c r="AI59" s="22"/>
      <c r="AJ59" s="44" t="s">
        <v>265</v>
      </c>
      <c r="AK59" s="37" t="s">
        <v>206</v>
      </c>
      <c r="AL59" s="37" t="str">
        <f t="shared" si="6"/>
        <v>Harrisburg Education - College/University</v>
      </c>
      <c r="AM59" s="45">
        <f t="shared" si="7"/>
        <v>0.41500000000000004</v>
      </c>
      <c r="AN59" s="45">
        <f t="shared" si="8"/>
        <v>0.41500000000000004</v>
      </c>
      <c r="AO59" s="45">
        <f t="shared" si="9"/>
        <v>0.67</v>
      </c>
      <c r="AP59" s="45">
        <f t="shared" si="10"/>
        <v>0</v>
      </c>
      <c r="AQ59" s="45">
        <f t="shared" si="11"/>
        <v>0.44</v>
      </c>
    </row>
    <row r="60" spans="2:43" ht="15.75" thickBot="1" x14ac:dyDescent="0.3">
      <c r="B60" s="25" t="s">
        <v>267</v>
      </c>
      <c r="C60" s="22"/>
      <c r="D60" s="22"/>
      <c r="E60" s="22"/>
      <c r="F60" s="22"/>
      <c r="G60" s="22"/>
      <c r="H60" s="22"/>
      <c r="I60" s="22"/>
      <c r="J60" s="22"/>
      <c r="K60" s="22"/>
      <c r="L60" s="22"/>
      <c r="M60" s="22"/>
      <c r="N60" s="24"/>
      <c r="O60"/>
      <c r="P60"/>
      <c r="Q60"/>
      <c r="R60"/>
      <c r="S60"/>
      <c r="T60"/>
      <c r="U60"/>
      <c r="V60" s="22"/>
      <c r="W60" s="22"/>
      <c r="X60" s="22"/>
      <c r="Y60" s="44" t="s">
        <v>265</v>
      </c>
      <c r="Z60" s="37" t="s">
        <v>211</v>
      </c>
      <c r="AA60" s="37" t="str">
        <f t="shared" si="0"/>
        <v>Harrisburg Education - Other</v>
      </c>
      <c r="AB60" s="37">
        <f t="shared" si="1"/>
        <v>2730</v>
      </c>
      <c r="AC60" s="37">
        <f t="shared" si="2"/>
        <v>2744</v>
      </c>
      <c r="AD60" s="37">
        <f t="shared" si="3"/>
        <v>1737</v>
      </c>
      <c r="AE60" s="37">
        <f t="shared" si="4"/>
        <v>3492</v>
      </c>
      <c r="AF60" s="37">
        <f t="shared" si="5"/>
        <v>4313.333333333333</v>
      </c>
      <c r="AG60" s="187"/>
      <c r="AH60" s="187"/>
      <c r="AI60" s="22"/>
      <c r="AJ60" s="44" t="s">
        <v>265</v>
      </c>
      <c r="AK60" s="37" t="s">
        <v>211</v>
      </c>
      <c r="AL60" s="37" t="str">
        <f t="shared" si="6"/>
        <v>Harrisburg Education - Other</v>
      </c>
      <c r="AM60" s="45">
        <f t="shared" si="7"/>
        <v>0.18</v>
      </c>
      <c r="AN60" s="45">
        <f t="shared" si="8"/>
        <v>0.18</v>
      </c>
      <c r="AO60" s="45">
        <f t="shared" si="9"/>
        <v>0.54</v>
      </c>
      <c r="AP60" s="45">
        <f t="shared" si="10"/>
        <v>0</v>
      </c>
      <c r="AQ60" s="45">
        <f t="shared" si="11"/>
        <v>0.17333333333333334</v>
      </c>
    </row>
    <row r="61" spans="2:43" ht="15.75" thickBot="1" x14ac:dyDescent="0.3">
      <c r="B61" s="25" t="s">
        <v>268</v>
      </c>
      <c r="C61" s="49"/>
      <c r="D61" s="49"/>
      <c r="E61" s="49"/>
      <c r="F61" s="22"/>
      <c r="G61" s="22"/>
      <c r="H61" s="22"/>
      <c r="I61" s="22"/>
      <c r="J61" s="22"/>
      <c r="K61" s="22"/>
      <c r="L61" s="22"/>
      <c r="M61" s="22"/>
      <c r="N61" s="24"/>
      <c r="O61"/>
      <c r="P61"/>
      <c r="Q61" s="22"/>
      <c r="R61" s="22"/>
      <c r="S61" s="22"/>
      <c r="T61" s="22"/>
      <c r="U61" s="22"/>
      <c r="V61" s="22"/>
      <c r="W61" s="22"/>
      <c r="X61" s="22"/>
      <c r="Y61" s="44" t="s">
        <v>265</v>
      </c>
      <c r="Z61" s="37" t="s">
        <v>222</v>
      </c>
      <c r="AA61" s="37" t="str">
        <f t="shared" si="0"/>
        <v>Harrisburg Grocery</v>
      </c>
      <c r="AB61" s="37" t="e">
        <f t="shared" si="1"/>
        <v>#N/A</v>
      </c>
      <c r="AC61" s="37" t="e">
        <f t="shared" si="2"/>
        <v>#N/A</v>
      </c>
      <c r="AD61" s="37" t="e">
        <f t="shared" si="3"/>
        <v>#N/A</v>
      </c>
      <c r="AE61" s="37" t="e">
        <f t="shared" si="4"/>
        <v>#N/A</v>
      </c>
      <c r="AF61" s="37">
        <f t="shared" si="5"/>
        <v>6692</v>
      </c>
      <c r="AG61" s="187"/>
      <c r="AH61" s="187"/>
      <c r="AI61" s="22"/>
      <c r="AJ61" s="44" t="s">
        <v>265</v>
      </c>
      <c r="AK61" s="37" t="s">
        <v>222</v>
      </c>
      <c r="AL61" s="37" t="str">
        <f t="shared" si="6"/>
        <v>Harrisburg Grocery</v>
      </c>
      <c r="AM61" s="45" t="e">
        <f t="shared" si="7"/>
        <v>#N/A</v>
      </c>
      <c r="AN61" s="45" t="e">
        <f t="shared" si="8"/>
        <v>#N/A</v>
      </c>
      <c r="AO61" s="45" t="e">
        <f t="shared" si="9"/>
        <v>#N/A</v>
      </c>
      <c r="AP61" s="45" t="e">
        <f t="shared" si="10"/>
        <v>#N/A</v>
      </c>
      <c r="AQ61" s="45">
        <f t="shared" si="11"/>
        <v>0.24</v>
      </c>
    </row>
    <row r="62" spans="2:43" ht="15.75" thickBot="1" x14ac:dyDescent="0.3">
      <c r="B62" s="27" t="s">
        <v>308</v>
      </c>
      <c r="C62" s="50"/>
      <c r="D62" s="50"/>
      <c r="E62" s="50"/>
      <c r="F62" s="22"/>
      <c r="G62" s="22"/>
      <c r="H62" s="22"/>
      <c r="I62" s="22"/>
      <c r="J62" s="22"/>
      <c r="K62" s="22"/>
      <c r="L62" s="22"/>
      <c r="M62" s="22"/>
      <c r="N62" s="24"/>
      <c r="O62"/>
      <c r="P62"/>
      <c r="Q62" s="22"/>
      <c r="R62" s="22"/>
      <c r="S62" s="22"/>
      <c r="T62" s="22"/>
      <c r="U62" s="22"/>
      <c r="V62" s="22"/>
      <c r="W62" s="22"/>
      <c r="X62" s="22"/>
      <c r="Y62" s="44" t="s">
        <v>265</v>
      </c>
      <c r="Z62" s="37" t="s">
        <v>223</v>
      </c>
      <c r="AA62" s="37" t="str">
        <f t="shared" si="0"/>
        <v>Harrisburg Health - Hospital</v>
      </c>
      <c r="AB62" s="37">
        <f t="shared" si="1"/>
        <v>5717</v>
      </c>
      <c r="AC62" s="37">
        <f t="shared" si="2"/>
        <v>5714</v>
      </c>
      <c r="AD62" s="37">
        <f t="shared" si="3"/>
        <v>1792</v>
      </c>
      <c r="AE62" s="37">
        <f t="shared" si="4"/>
        <v>8760</v>
      </c>
      <c r="AF62" s="37">
        <f t="shared" si="5"/>
        <v>8760</v>
      </c>
      <c r="AG62" s="187"/>
      <c r="AH62" s="187"/>
      <c r="AI62" s="22"/>
      <c r="AJ62" s="44" t="s">
        <v>265</v>
      </c>
      <c r="AK62" s="37" t="s">
        <v>223</v>
      </c>
      <c r="AL62" s="37" t="str">
        <f t="shared" si="6"/>
        <v>Harrisburg Health - Hospital</v>
      </c>
      <c r="AM62" s="45">
        <f t="shared" si="7"/>
        <v>0.5</v>
      </c>
      <c r="AN62" s="45">
        <f t="shared" si="8"/>
        <v>0.49</v>
      </c>
      <c r="AO62" s="45">
        <f t="shared" si="9"/>
        <v>0.34499999999999997</v>
      </c>
      <c r="AP62" s="45">
        <f t="shared" si="10"/>
        <v>0.09</v>
      </c>
      <c r="AQ62" s="45">
        <f t="shared" si="11"/>
        <v>0.45</v>
      </c>
    </row>
    <row r="63" spans="2:43" ht="15.75" thickBot="1" x14ac:dyDescent="0.3">
      <c r="B63" s="22"/>
      <c r="C63" s="50"/>
      <c r="D63" s="50"/>
      <c r="E63" s="50"/>
      <c r="F63" s="22"/>
      <c r="G63" s="22"/>
      <c r="H63" s="22"/>
      <c r="I63" s="22"/>
      <c r="J63" s="22"/>
      <c r="K63" s="22"/>
      <c r="L63" s="22"/>
      <c r="M63" s="22"/>
      <c r="N63" s="24"/>
      <c r="O63"/>
      <c r="P63"/>
      <c r="Q63" s="22"/>
      <c r="R63" s="22"/>
      <c r="S63" s="22"/>
      <c r="T63" s="22"/>
      <c r="U63" s="22"/>
      <c r="V63" s="22"/>
      <c r="W63" s="22"/>
      <c r="X63" s="22"/>
      <c r="Y63" s="44" t="s">
        <v>265</v>
      </c>
      <c r="Z63" s="37" t="s">
        <v>224</v>
      </c>
      <c r="AA63" s="37" t="str">
        <f t="shared" si="0"/>
        <v>Harrisburg Health - Other</v>
      </c>
      <c r="AB63" s="37">
        <f t="shared" si="1"/>
        <v>4104</v>
      </c>
      <c r="AC63" s="37">
        <f t="shared" si="2"/>
        <v>4106</v>
      </c>
      <c r="AD63" s="37">
        <f t="shared" si="3"/>
        <v>3025</v>
      </c>
      <c r="AE63" s="37">
        <f t="shared" si="4"/>
        <v>5823</v>
      </c>
      <c r="AF63" s="37">
        <f t="shared" si="5"/>
        <v>8760</v>
      </c>
      <c r="AG63" s="187"/>
      <c r="AH63" s="187"/>
      <c r="AI63" s="22"/>
      <c r="AJ63" s="44" t="s">
        <v>265</v>
      </c>
      <c r="AK63" s="37" t="s">
        <v>224</v>
      </c>
      <c r="AL63" s="37" t="str">
        <f t="shared" si="6"/>
        <v>Harrisburg Health - Other</v>
      </c>
      <c r="AM63" s="45">
        <f t="shared" si="7"/>
        <v>0.28000000000000003</v>
      </c>
      <c r="AN63" s="45">
        <f t="shared" si="8"/>
        <v>0.28000000000000003</v>
      </c>
      <c r="AO63" s="45">
        <f t="shared" si="9"/>
        <v>0.53</v>
      </c>
      <c r="AP63" s="45">
        <f t="shared" si="10"/>
        <v>0</v>
      </c>
      <c r="AQ63" s="45">
        <f t="shared" si="11"/>
        <v>0.28999999999999998</v>
      </c>
    </row>
    <row r="64" spans="2:43" ht="15.75" thickBot="1" x14ac:dyDescent="0.3">
      <c r="B64" s="22"/>
      <c r="C64" s="50"/>
      <c r="D64" s="50"/>
      <c r="E64" s="50"/>
      <c r="F64" s="22"/>
      <c r="G64" s="22"/>
      <c r="H64" s="22"/>
      <c r="I64" s="22"/>
      <c r="J64" s="22"/>
      <c r="K64" s="22"/>
      <c r="L64" s="22"/>
      <c r="M64" s="22"/>
      <c r="N64" s="24"/>
      <c r="O64"/>
      <c r="P64"/>
      <c r="Q64" s="22"/>
      <c r="R64" s="22"/>
      <c r="S64" s="22"/>
      <c r="T64" s="22"/>
      <c r="U64" s="22"/>
      <c r="V64" s="22"/>
      <c r="W64" s="22"/>
      <c r="X64" s="22"/>
      <c r="Y64" s="44" t="s">
        <v>265</v>
      </c>
      <c r="Z64" s="37" t="s">
        <v>225</v>
      </c>
      <c r="AA64" s="37" t="str">
        <f t="shared" si="0"/>
        <v>Harrisburg Industrial Manufacturing</v>
      </c>
      <c r="AB64" s="37">
        <f t="shared" si="1"/>
        <v>1742</v>
      </c>
      <c r="AC64" s="37">
        <f t="shared" si="2"/>
        <v>1742</v>
      </c>
      <c r="AD64" s="37">
        <f t="shared" si="3"/>
        <v>3602</v>
      </c>
      <c r="AE64" s="37">
        <f t="shared" si="4"/>
        <v>1184</v>
      </c>
      <c r="AF64" s="37">
        <f t="shared" si="5"/>
        <v>3768.5</v>
      </c>
      <c r="AG64" s="187"/>
      <c r="AH64" s="187"/>
      <c r="AI64" s="22"/>
      <c r="AJ64" s="44" t="s">
        <v>265</v>
      </c>
      <c r="AK64" s="37" t="s">
        <v>225</v>
      </c>
      <c r="AL64" s="37" t="str">
        <f t="shared" si="6"/>
        <v>Harrisburg Industrial Manufacturing</v>
      </c>
      <c r="AM64" s="45">
        <f t="shared" si="7"/>
        <v>0.53</v>
      </c>
      <c r="AN64" s="45">
        <f t="shared" si="8"/>
        <v>0.54</v>
      </c>
      <c r="AO64" s="45">
        <f t="shared" si="9"/>
        <v>0.41500000000000004</v>
      </c>
      <c r="AP64" s="45">
        <f t="shared" si="10"/>
        <v>0</v>
      </c>
      <c r="AQ64" s="45">
        <f t="shared" si="11"/>
        <v>0.53</v>
      </c>
    </row>
    <row r="65" spans="2:43" ht="15.75" thickBot="1" x14ac:dyDescent="0.3">
      <c r="B65" s="50"/>
      <c r="C65" s="50"/>
      <c r="D65" s="22"/>
      <c r="E65" s="22"/>
      <c r="F65" s="22"/>
      <c r="G65" s="22"/>
      <c r="H65" s="22"/>
      <c r="I65" s="22"/>
      <c r="J65" s="22"/>
      <c r="K65" s="22"/>
      <c r="L65" s="22"/>
      <c r="M65" s="24"/>
      <c r="N65"/>
      <c r="O65"/>
      <c r="P65" s="22"/>
      <c r="Q65" s="22"/>
      <c r="R65" s="22"/>
      <c r="S65" s="22"/>
      <c r="T65" s="22"/>
      <c r="U65" s="22"/>
      <c r="V65" s="22"/>
      <c r="W65" s="22"/>
      <c r="X65" s="22"/>
      <c r="Y65" s="44" t="s">
        <v>265</v>
      </c>
      <c r="Z65" s="37" t="s">
        <v>226</v>
      </c>
      <c r="AA65" s="37" t="str">
        <f t="shared" ref="AA65:AA67" si="14">CONCATENATE(Y65," ",Z65)</f>
        <v>Harrisburg Institutional/Public Service</v>
      </c>
      <c r="AB65" s="37" t="e">
        <f t="shared" si="1"/>
        <v>#N/A</v>
      </c>
      <c r="AC65" s="37" t="e">
        <f t="shared" si="2"/>
        <v>#N/A</v>
      </c>
      <c r="AD65" s="37" t="e">
        <f t="shared" si="3"/>
        <v>#N/A</v>
      </c>
      <c r="AE65" s="37" t="e">
        <f t="shared" si="4"/>
        <v>#N/A</v>
      </c>
      <c r="AF65" s="37">
        <f t="shared" si="5"/>
        <v>5172</v>
      </c>
      <c r="AG65" s="187"/>
      <c r="AH65" s="187"/>
      <c r="AI65" s="22"/>
      <c r="AJ65" s="44" t="s">
        <v>265</v>
      </c>
      <c r="AK65" s="37" t="s">
        <v>226</v>
      </c>
      <c r="AL65" s="37" t="str">
        <f t="shared" ref="AL65:AL67" si="15">CONCATENATE(AJ65," ",AK65)</f>
        <v>Harrisburg Institutional/Public Service</v>
      </c>
      <c r="AM65" s="45" t="e">
        <f t="shared" si="7"/>
        <v>#N/A</v>
      </c>
      <c r="AN65" s="45" t="e">
        <f t="shared" si="8"/>
        <v>#N/A</v>
      </c>
      <c r="AO65" s="45" t="e">
        <f t="shared" si="9"/>
        <v>#N/A</v>
      </c>
      <c r="AP65" s="45" t="e">
        <f t="shared" si="10"/>
        <v>#N/A</v>
      </c>
      <c r="AQ65" s="45">
        <f t="shared" si="11"/>
        <v>0.6</v>
      </c>
    </row>
    <row r="66" spans="2:43" ht="15.75" thickBot="1" x14ac:dyDescent="0.3">
      <c r="B66" s="50"/>
      <c r="C66" s="50"/>
      <c r="D66" s="22"/>
      <c r="E66" s="22"/>
      <c r="F66" s="22"/>
      <c r="G66" s="22"/>
      <c r="H66" s="22"/>
      <c r="I66" s="22"/>
      <c r="J66" s="22"/>
      <c r="K66" s="22"/>
      <c r="L66" s="22"/>
      <c r="M66" s="24"/>
      <c r="N66"/>
      <c r="O66"/>
      <c r="P66" s="22"/>
      <c r="Q66" s="22"/>
      <c r="R66" s="22"/>
      <c r="S66" s="22"/>
      <c r="T66" s="22"/>
      <c r="U66" s="22"/>
      <c r="V66" s="22"/>
      <c r="W66" s="22"/>
      <c r="X66" s="22"/>
      <c r="Y66" s="44" t="s">
        <v>265</v>
      </c>
      <c r="Z66" s="37" t="s">
        <v>228</v>
      </c>
      <c r="AA66" s="37" t="str">
        <f t="shared" si="14"/>
        <v>Harrisburg Lodging</v>
      </c>
      <c r="AB66" s="37">
        <f t="shared" si="1"/>
        <v>6045</v>
      </c>
      <c r="AC66" s="37">
        <f t="shared" si="2"/>
        <v>6043</v>
      </c>
      <c r="AD66" s="37">
        <f t="shared" si="3"/>
        <v>2539</v>
      </c>
      <c r="AE66" s="37">
        <f t="shared" si="4"/>
        <v>6155</v>
      </c>
      <c r="AF66" s="37">
        <f t="shared" si="5"/>
        <v>8760</v>
      </c>
      <c r="AG66" s="187"/>
      <c r="AH66" s="187"/>
      <c r="AI66" s="22"/>
      <c r="AJ66" s="44" t="s">
        <v>265</v>
      </c>
      <c r="AK66" s="37" t="s">
        <v>228</v>
      </c>
      <c r="AL66" s="37" t="str">
        <f t="shared" si="15"/>
        <v>Harrisburg Lodging</v>
      </c>
      <c r="AM66" s="45">
        <f t="shared" si="7"/>
        <v>0.66</v>
      </c>
      <c r="AN66" s="45">
        <f t="shared" si="8"/>
        <v>0.67</v>
      </c>
      <c r="AO66" s="45">
        <f t="shared" si="9"/>
        <v>0.18</v>
      </c>
      <c r="AP66" s="45">
        <f t="shared" si="10"/>
        <v>0</v>
      </c>
      <c r="AQ66" s="45">
        <f t="shared" si="11"/>
        <v>0.71</v>
      </c>
    </row>
    <row r="67" spans="2:43" ht="15.75" thickBot="1" x14ac:dyDescent="0.3">
      <c r="B67" s="50"/>
      <c r="C67" s="50"/>
      <c r="D67" s="22"/>
      <c r="E67" s="22"/>
      <c r="F67" s="22"/>
      <c r="G67" s="22"/>
      <c r="H67" s="22"/>
      <c r="I67" s="22"/>
      <c r="J67" s="22"/>
      <c r="K67" s="22"/>
      <c r="L67" s="22"/>
      <c r="M67" s="24"/>
      <c r="N67"/>
      <c r="O67" s="22"/>
      <c r="P67" s="22"/>
      <c r="Q67" s="22"/>
      <c r="R67" s="22"/>
      <c r="S67" s="22"/>
      <c r="T67" s="22"/>
      <c r="U67" s="22"/>
      <c r="V67" s="22"/>
      <c r="W67" s="22"/>
      <c r="X67" s="22"/>
      <c r="Y67" s="44" t="s">
        <v>265</v>
      </c>
      <c r="Z67" s="37" t="s">
        <v>230</v>
      </c>
      <c r="AA67" s="37" t="str">
        <f t="shared" si="14"/>
        <v>Harrisburg Office</v>
      </c>
      <c r="AB67" s="37">
        <f t="shared" si="1"/>
        <v>1804</v>
      </c>
      <c r="AC67" s="37">
        <f t="shared" si="2"/>
        <v>1804</v>
      </c>
      <c r="AD67" s="37">
        <f t="shared" si="3"/>
        <v>3687</v>
      </c>
      <c r="AE67" s="37">
        <f t="shared" si="4"/>
        <v>3014</v>
      </c>
      <c r="AF67" s="37">
        <f t="shared" si="5"/>
        <v>4087</v>
      </c>
      <c r="AG67" s="187"/>
      <c r="AH67" s="187"/>
      <c r="AI67" s="22"/>
      <c r="AJ67" s="44" t="s">
        <v>265</v>
      </c>
      <c r="AK67" s="37" t="s">
        <v>230</v>
      </c>
      <c r="AL67" s="37" t="str">
        <f t="shared" si="15"/>
        <v>Harrisburg Office</v>
      </c>
      <c r="AM67" s="45">
        <f t="shared" si="7"/>
        <v>0.34499999999999997</v>
      </c>
      <c r="AN67" s="45">
        <f t="shared" si="8"/>
        <v>0.34499999999999997</v>
      </c>
      <c r="AO67" s="45">
        <f t="shared" si="9"/>
        <v>0.49</v>
      </c>
      <c r="AP67" s="45">
        <f t="shared" si="10"/>
        <v>0</v>
      </c>
      <c r="AQ67" s="45">
        <f t="shared" si="11"/>
        <v>0.37</v>
      </c>
    </row>
    <row r="68" spans="2:43" ht="15.75" thickBot="1" x14ac:dyDescent="0.3">
      <c r="C68" s="50"/>
      <c r="D68" s="50"/>
      <c r="E68" s="50"/>
      <c r="F68" s="22"/>
      <c r="G68" s="22"/>
      <c r="H68" s="22"/>
      <c r="I68" s="22"/>
      <c r="J68" s="22"/>
      <c r="K68" s="22"/>
      <c r="L68" s="22"/>
      <c r="M68" s="22"/>
      <c r="N68" s="24"/>
      <c r="O68"/>
      <c r="P68" s="22"/>
      <c r="Q68" s="22"/>
      <c r="R68" s="22"/>
      <c r="S68" s="22"/>
      <c r="T68" s="22"/>
      <c r="U68" s="22"/>
      <c r="V68" s="22"/>
      <c r="W68" s="22"/>
      <c r="X68" s="22"/>
      <c r="Y68" s="44" t="s">
        <v>265</v>
      </c>
      <c r="Z68" s="37" t="s">
        <v>232</v>
      </c>
      <c r="AA68" s="37" t="str">
        <f t="shared" si="0"/>
        <v>Harrisburg Restaurant</v>
      </c>
      <c r="AB68" s="37" t="e">
        <f t="shared" si="1"/>
        <v>#N/A</v>
      </c>
      <c r="AC68" s="37" t="e">
        <f t="shared" si="2"/>
        <v>#N/A</v>
      </c>
      <c r="AD68" s="37" t="e">
        <f t="shared" si="3"/>
        <v>#N/A</v>
      </c>
      <c r="AE68" s="37" t="e">
        <f t="shared" si="4"/>
        <v>#N/A</v>
      </c>
      <c r="AF68" s="37">
        <f t="shared" si="5"/>
        <v>6251.5</v>
      </c>
      <c r="AG68" s="187"/>
      <c r="AH68" s="187"/>
      <c r="AI68" s="22"/>
      <c r="AJ68" s="44" t="s">
        <v>265</v>
      </c>
      <c r="AK68" s="37" t="s">
        <v>232</v>
      </c>
      <c r="AL68" s="37" t="str">
        <f t="shared" si="6"/>
        <v>Harrisburg Restaurant</v>
      </c>
      <c r="AM68" s="45" t="e">
        <f t="shared" si="7"/>
        <v>#N/A</v>
      </c>
      <c r="AN68" s="45" t="e">
        <f t="shared" si="8"/>
        <v>#N/A</v>
      </c>
      <c r="AO68" s="45" t="e">
        <f t="shared" si="9"/>
        <v>#N/A</v>
      </c>
      <c r="AP68" s="45" t="e">
        <f t="shared" si="10"/>
        <v>#N/A</v>
      </c>
      <c r="AQ68" s="45">
        <f t="shared" si="11"/>
        <v>0.42000000000000004</v>
      </c>
    </row>
    <row r="69" spans="2:43" ht="15.75" thickBot="1" x14ac:dyDescent="0.3">
      <c r="C69" s="50"/>
      <c r="D69" s="50"/>
      <c r="E69" s="50"/>
      <c r="F69" s="22"/>
      <c r="G69" s="22"/>
      <c r="H69" s="22"/>
      <c r="I69" s="22"/>
      <c r="J69" s="22"/>
      <c r="K69" s="22"/>
      <c r="L69" s="22"/>
      <c r="M69" s="22"/>
      <c r="N69" s="24"/>
      <c r="O69" s="22"/>
      <c r="P69" s="22"/>
      <c r="Q69" s="22"/>
      <c r="R69" s="22"/>
      <c r="S69" s="22"/>
      <c r="T69" s="22"/>
      <c r="U69" s="22"/>
      <c r="V69" s="22"/>
      <c r="W69" s="22"/>
      <c r="X69" s="22"/>
      <c r="Y69" s="44" t="s">
        <v>265</v>
      </c>
      <c r="Z69" s="37" t="s">
        <v>234</v>
      </c>
      <c r="AA69" s="37" t="str">
        <f t="shared" si="0"/>
        <v>Harrisburg Retail</v>
      </c>
      <c r="AB69" s="37">
        <f t="shared" si="1"/>
        <v>3085</v>
      </c>
      <c r="AC69" s="37">
        <f t="shared" si="2"/>
        <v>3085</v>
      </c>
      <c r="AD69" s="37">
        <f t="shared" si="3"/>
        <v>3725</v>
      </c>
      <c r="AE69" s="37">
        <f t="shared" si="4"/>
        <v>2561</v>
      </c>
      <c r="AF69" s="37">
        <f t="shared" si="5"/>
        <v>5108.333333333333</v>
      </c>
      <c r="AG69" s="187"/>
      <c r="AH69" s="187"/>
      <c r="AI69" s="22"/>
      <c r="AJ69" s="44" t="s">
        <v>265</v>
      </c>
      <c r="AK69" s="37" t="s">
        <v>234</v>
      </c>
      <c r="AL69" s="37" t="str">
        <f t="shared" si="6"/>
        <v>Harrisburg Retail</v>
      </c>
      <c r="AM69" s="45">
        <f t="shared" si="7"/>
        <v>0.53</v>
      </c>
      <c r="AN69" s="45">
        <f t="shared" si="8"/>
        <v>0.53</v>
      </c>
      <c r="AO69" s="45">
        <f t="shared" si="9"/>
        <v>0.28000000000000003</v>
      </c>
      <c r="AP69" s="45">
        <f t="shared" si="10"/>
        <v>0</v>
      </c>
      <c r="AQ69" s="45">
        <f t="shared" si="11"/>
        <v>0.52666666666666673</v>
      </c>
    </row>
    <row r="70" spans="2:43" ht="15.75" thickBot="1" x14ac:dyDescent="0.3">
      <c r="C70" s="50"/>
      <c r="D70" s="50"/>
      <c r="E70" s="50"/>
      <c r="F70" s="22"/>
      <c r="G70" s="22"/>
      <c r="H70" s="22"/>
      <c r="I70" s="22"/>
      <c r="J70" s="22"/>
      <c r="K70" s="22"/>
      <c r="L70" s="22"/>
      <c r="M70" s="22"/>
      <c r="N70" s="24"/>
      <c r="O70" s="22"/>
      <c r="P70" s="22"/>
      <c r="Q70" s="22"/>
      <c r="R70" s="22"/>
      <c r="S70" s="22"/>
      <c r="T70" s="22"/>
      <c r="U70" s="22"/>
      <c r="V70" s="22"/>
      <c r="W70" s="22"/>
      <c r="X70" s="22"/>
      <c r="Y70" s="44" t="s">
        <v>265</v>
      </c>
      <c r="Z70" s="37" t="s">
        <v>236</v>
      </c>
      <c r="AA70" s="37" t="str">
        <f t="shared" si="0"/>
        <v>Harrisburg Warehouse - Other</v>
      </c>
      <c r="AB70" s="37" t="e">
        <f t="shared" si="1"/>
        <v>#N/A</v>
      </c>
      <c r="AC70" s="37" t="e">
        <f t="shared" si="2"/>
        <v>#N/A</v>
      </c>
      <c r="AD70" s="37" t="e">
        <f t="shared" si="3"/>
        <v>#N/A</v>
      </c>
      <c r="AE70" s="37" t="e">
        <f t="shared" si="4"/>
        <v>#N/A</v>
      </c>
      <c r="AF70" s="37">
        <f t="shared" si="5"/>
        <v>4980</v>
      </c>
      <c r="AG70" s="187"/>
      <c r="AH70" s="187"/>
      <c r="AI70" s="22"/>
      <c r="AJ70" s="44" t="s">
        <v>265</v>
      </c>
      <c r="AK70" s="37" t="s">
        <v>236</v>
      </c>
      <c r="AL70" s="37" t="str">
        <f t="shared" si="6"/>
        <v>Harrisburg Warehouse - Other</v>
      </c>
      <c r="AM70" s="45" t="e">
        <f t="shared" si="7"/>
        <v>#N/A</v>
      </c>
      <c r="AN70" s="45" t="e">
        <f t="shared" si="8"/>
        <v>#N/A</v>
      </c>
      <c r="AO70" s="45" t="e">
        <f t="shared" si="9"/>
        <v>#N/A</v>
      </c>
      <c r="AP70" s="45" t="e">
        <f t="shared" si="10"/>
        <v>#N/A</v>
      </c>
      <c r="AQ70" s="45">
        <f t="shared" si="11"/>
        <v>0.24</v>
      </c>
    </row>
    <row r="71" spans="2:43" ht="15.75" thickBot="1" x14ac:dyDescent="0.3">
      <c r="C71" s="22"/>
      <c r="D71" s="22"/>
      <c r="E71" s="22"/>
      <c r="F71" s="22"/>
      <c r="G71" s="22"/>
      <c r="H71" s="22"/>
      <c r="I71" s="22"/>
      <c r="J71" s="22"/>
      <c r="K71" s="22"/>
      <c r="L71" s="22"/>
      <c r="M71" s="22"/>
      <c r="N71" s="24"/>
      <c r="O71" s="22"/>
      <c r="P71" s="22"/>
      <c r="Q71" s="22"/>
      <c r="R71" s="22"/>
      <c r="S71" s="22"/>
      <c r="T71" s="22"/>
      <c r="U71" s="22"/>
      <c r="V71" s="22"/>
      <c r="W71" s="22"/>
      <c r="X71" s="22"/>
      <c r="Y71" s="44" t="s">
        <v>265</v>
      </c>
      <c r="Z71" s="37" t="s">
        <v>238</v>
      </c>
      <c r="AA71" s="37" t="str">
        <f t="shared" si="0"/>
        <v>Harrisburg Warehouse - Refrigerated</v>
      </c>
      <c r="AB71" s="37" t="e">
        <f t="shared" si="1"/>
        <v>#N/A</v>
      </c>
      <c r="AC71" s="37" t="e">
        <f t="shared" si="2"/>
        <v>#N/A</v>
      </c>
      <c r="AD71" s="37" t="e">
        <f t="shared" si="3"/>
        <v>#N/A</v>
      </c>
      <c r="AE71" s="37" t="e">
        <f t="shared" si="4"/>
        <v>#N/A</v>
      </c>
      <c r="AF71" s="37">
        <f t="shared" si="5"/>
        <v>4041</v>
      </c>
      <c r="AG71" s="187"/>
      <c r="AH71" s="187"/>
      <c r="AI71" s="22"/>
      <c r="AJ71" s="44" t="s">
        <v>265</v>
      </c>
      <c r="AK71" s="37" t="s">
        <v>238</v>
      </c>
      <c r="AL71" s="37" t="str">
        <f t="shared" si="6"/>
        <v>Harrisburg Warehouse - Refrigerated</v>
      </c>
      <c r="AM71" s="45" t="e">
        <f t="shared" si="7"/>
        <v>#N/A</v>
      </c>
      <c r="AN71" s="45" t="e">
        <f t="shared" si="8"/>
        <v>#N/A</v>
      </c>
      <c r="AO71" s="45" t="e">
        <f t="shared" si="9"/>
        <v>#N/A</v>
      </c>
      <c r="AP71" s="45" t="e">
        <f t="shared" si="10"/>
        <v>#N/A</v>
      </c>
      <c r="AQ71" s="45">
        <f t="shared" si="11"/>
        <v>0.52</v>
      </c>
    </row>
    <row r="72" spans="2:43" ht="15.75" thickBot="1" x14ac:dyDescent="0.3">
      <c r="C72" s="22"/>
      <c r="D72" s="22"/>
      <c r="E72" s="22"/>
      <c r="F72" s="22"/>
      <c r="G72" s="22"/>
      <c r="H72" s="22"/>
      <c r="I72" s="22"/>
      <c r="J72" s="22"/>
      <c r="K72" s="22"/>
      <c r="L72" s="22"/>
      <c r="M72" s="22"/>
      <c r="N72" s="24"/>
      <c r="O72" s="22"/>
      <c r="P72" s="22"/>
      <c r="Q72" s="22"/>
      <c r="R72" s="22"/>
      <c r="S72" s="22"/>
      <c r="T72" s="22"/>
      <c r="U72" s="22"/>
      <c r="V72" s="22"/>
      <c r="W72" s="22"/>
      <c r="X72" s="22"/>
      <c r="Y72" s="44" t="s">
        <v>266</v>
      </c>
      <c r="Z72" s="37" t="s">
        <v>206</v>
      </c>
      <c r="AA72" s="37" t="str">
        <f t="shared" ref="AA72:AA135" si="16">CONCATENATE(Y72," ",Z72)</f>
        <v>Philadelphia Education - College/University</v>
      </c>
      <c r="AB72" s="37">
        <f t="shared" ref="AB72:AB135" si="17">INDEX($Z$182:$AH$191,MATCH($Z72,$Y$182:$Y$191,0),MATCH($Y72,$Z$181:$AH$181,0))</f>
        <v>4310.5</v>
      </c>
      <c r="AC72" s="37">
        <f t="shared" ref="AC72:AC135" si="18">INDEX($Z$195:$AH$204,MATCH($Z72,$Y$182:$Y$191,0),MATCH($Y72,$Z$181:$AH$181,0))</f>
        <v>4309</v>
      </c>
      <c r="AD72" s="37">
        <f t="shared" ref="AD72:AD135" si="19">INDEX($Z$221:$AH$230,MATCH($Z72,$Y$182:$Y$191,0),MATCH($Y72,$Z$181:$AH$181,0))</f>
        <v>5886</v>
      </c>
      <c r="AE72" s="37">
        <f t="shared" ref="AE72:AE135" si="20">INDEX($Z$208:$AF$217,MATCH($Z72,$Y$182:$Y$191,0),MATCH($Y72,$Z$181:$AH$181,0))</f>
        <v>4014</v>
      </c>
      <c r="AF72" s="37">
        <f t="shared" ref="AF72:AF135" si="21">INDEX($Z$158:$AH$178,MATCH($Z72,$Y$158:$Y$178,0),MATCH($Y72,$Z$157:$AH$157,0))</f>
        <v>5965.5</v>
      </c>
      <c r="AG72" s="187"/>
      <c r="AH72" s="187"/>
      <c r="AI72" s="22"/>
      <c r="AJ72" s="44" t="s">
        <v>266</v>
      </c>
      <c r="AK72" s="37" t="s">
        <v>206</v>
      </c>
      <c r="AL72" s="37" t="str">
        <f t="shared" ref="AL72:AL135" si="22">CONCATENATE(AJ72," ",AK72)</f>
        <v>Philadelphia Education - College/University</v>
      </c>
      <c r="AM72" s="45">
        <f t="shared" ref="AM72:AM135" si="23">INDEX($AK$182:$AS$191,MATCH($Z72,$Y$182:$Y$191,0),MATCH($Y72,$Z$181:$AH$181,0))</f>
        <v>0.44500000000000001</v>
      </c>
      <c r="AN72" s="45">
        <f t="shared" ref="AN72:AN135" si="24">INDEX($AK$195:$AS$204,MATCH($Z72,$Y$182:$Y$191,0),MATCH($Y72,$Z$181:$AH$181,0))</f>
        <v>0.44500000000000001</v>
      </c>
      <c r="AO72" s="45">
        <f t="shared" ref="AO72:AO135" si="25">INDEX($AK$221:$AS$230,MATCH($Z72,$Y$182:$Y$191,0),MATCH($Y72,$Z$181:$AH$181,0))</f>
        <v>0.68</v>
      </c>
      <c r="AP72" s="45">
        <f t="shared" ref="AP72:AP135" si="26">INDEX($AK$208:$AS$217,MATCH($Z72,$Y$182:$Y$191,0),MATCH($Y72,$Z$181:$AH$181,0))</f>
        <v>0</v>
      </c>
      <c r="AQ72" s="45">
        <f t="shared" ref="AQ72:AQ135" si="27">INDEX($AK$158:$AS$178,MATCH(Z72,$Y$158:$Y$178,0),MATCH(Y72,$Z$157:$AH$157,0))</f>
        <v>0.46499999999999997</v>
      </c>
    </row>
    <row r="73" spans="2:43" ht="15.75" thickBot="1" x14ac:dyDescent="0.3">
      <c r="C73" s="49"/>
      <c r="D73" s="49"/>
      <c r="E73" s="49"/>
      <c r="F73" s="22"/>
      <c r="G73" s="22"/>
      <c r="H73" s="22"/>
      <c r="I73" s="22"/>
      <c r="J73" s="22"/>
      <c r="K73" s="22"/>
      <c r="L73" s="22"/>
      <c r="M73" s="22"/>
      <c r="N73" s="24"/>
      <c r="O73" s="22"/>
      <c r="P73" s="22"/>
      <c r="Q73" s="22"/>
      <c r="R73" s="22"/>
      <c r="S73" s="22"/>
      <c r="T73" s="22"/>
      <c r="U73" s="22"/>
      <c r="V73" s="22"/>
      <c r="W73" s="22"/>
      <c r="X73" s="22"/>
      <c r="Y73" s="44" t="s">
        <v>266</v>
      </c>
      <c r="Z73" s="37" t="s">
        <v>211</v>
      </c>
      <c r="AA73" s="37" t="str">
        <f t="shared" si="16"/>
        <v>Philadelphia Education - Other</v>
      </c>
      <c r="AB73" s="37">
        <f t="shared" si="17"/>
        <v>3505</v>
      </c>
      <c r="AC73" s="37">
        <f t="shared" si="18"/>
        <v>3517</v>
      </c>
      <c r="AD73" s="37">
        <f t="shared" si="19"/>
        <v>1889</v>
      </c>
      <c r="AE73" s="37">
        <f t="shared" si="20"/>
        <v>3341</v>
      </c>
      <c r="AF73" s="37">
        <f t="shared" si="21"/>
        <v>4384</v>
      </c>
      <c r="AG73" s="187"/>
      <c r="AH73" s="187"/>
      <c r="AI73" s="22"/>
      <c r="AJ73" s="44" t="s">
        <v>266</v>
      </c>
      <c r="AK73" s="37" t="s">
        <v>211</v>
      </c>
      <c r="AL73" s="37" t="str">
        <f t="shared" si="22"/>
        <v>Philadelphia Education - Other</v>
      </c>
      <c r="AM73" s="45">
        <f t="shared" si="23"/>
        <v>0.18</v>
      </c>
      <c r="AN73" s="45">
        <f t="shared" si="24"/>
        <v>0.18</v>
      </c>
      <c r="AO73" s="45">
        <f t="shared" si="25"/>
        <v>0.59</v>
      </c>
      <c r="AP73" s="45">
        <f t="shared" si="26"/>
        <v>0</v>
      </c>
      <c r="AQ73" s="45">
        <f t="shared" si="27"/>
        <v>0.18000000000000002</v>
      </c>
    </row>
    <row r="74" spans="2:43" ht="15.75" thickBot="1" x14ac:dyDescent="0.3">
      <c r="C74" s="50"/>
      <c r="D74" s="50"/>
      <c r="E74" s="50"/>
      <c r="F74" s="22"/>
      <c r="G74" s="22"/>
      <c r="H74" s="22"/>
      <c r="I74" s="22"/>
      <c r="J74" s="22"/>
      <c r="K74" s="22"/>
      <c r="L74" s="22"/>
      <c r="M74" s="22"/>
      <c r="N74" s="24"/>
      <c r="O74" s="22"/>
      <c r="P74" s="22"/>
      <c r="Q74" s="22"/>
      <c r="R74" s="22"/>
      <c r="S74" s="22"/>
      <c r="T74" s="22"/>
      <c r="U74" s="22"/>
      <c r="V74" s="22"/>
      <c r="W74" s="22"/>
      <c r="X74" s="22"/>
      <c r="Y74" s="44" t="s">
        <v>266</v>
      </c>
      <c r="Z74" s="37" t="s">
        <v>222</v>
      </c>
      <c r="AA74" s="37" t="str">
        <f t="shared" si="16"/>
        <v>Philadelphia Grocery</v>
      </c>
      <c r="AB74" s="37" t="e">
        <f t="shared" si="17"/>
        <v>#N/A</v>
      </c>
      <c r="AC74" s="37" t="e">
        <f t="shared" si="18"/>
        <v>#N/A</v>
      </c>
      <c r="AD74" s="37" t="e">
        <f t="shared" si="19"/>
        <v>#N/A</v>
      </c>
      <c r="AE74" s="37" t="e">
        <f t="shared" si="20"/>
        <v>#N/A</v>
      </c>
      <c r="AF74" s="37">
        <f t="shared" si="21"/>
        <v>6669</v>
      </c>
      <c r="AG74" s="187"/>
      <c r="AH74" s="187"/>
      <c r="AI74" s="22"/>
      <c r="AJ74" s="44" t="s">
        <v>266</v>
      </c>
      <c r="AK74" s="37" t="s">
        <v>222</v>
      </c>
      <c r="AL74" s="37" t="str">
        <f t="shared" si="22"/>
        <v>Philadelphia Grocery</v>
      </c>
      <c r="AM74" s="45" t="e">
        <f t="shared" si="23"/>
        <v>#N/A</v>
      </c>
      <c r="AN74" s="45" t="e">
        <f t="shared" si="24"/>
        <v>#N/A</v>
      </c>
      <c r="AO74" s="45" t="e">
        <f t="shared" si="25"/>
        <v>#N/A</v>
      </c>
      <c r="AP74" s="45" t="e">
        <f t="shared" si="26"/>
        <v>#N/A</v>
      </c>
      <c r="AQ74" s="45">
        <f t="shared" si="27"/>
        <v>0.26</v>
      </c>
    </row>
    <row r="75" spans="2:43" ht="15.75" thickBot="1" x14ac:dyDescent="0.3">
      <c r="C75" s="50"/>
      <c r="D75" s="50"/>
      <c r="E75" s="50"/>
      <c r="F75" s="22"/>
      <c r="G75" s="22"/>
      <c r="H75" s="22"/>
      <c r="I75" s="22"/>
      <c r="J75" s="22"/>
      <c r="K75" s="22"/>
      <c r="L75" s="22"/>
      <c r="M75" s="22"/>
      <c r="N75" s="24"/>
      <c r="O75" s="22"/>
      <c r="P75" s="22"/>
      <c r="Q75" s="22"/>
      <c r="R75" s="22"/>
      <c r="S75" s="22"/>
      <c r="T75" s="22"/>
      <c r="U75" s="22"/>
      <c r="V75" s="22"/>
      <c r="W75" s="22"/>
      <c r="X75" s="22"/>
      <c r="Y75" s="44" t="s">
        <v>266</v>
      </c>
      <c r="Z75" s="37" t="s">
        <v>223</v>
      </c>
      <c r="AA75" s="37" t="str">
        <f t="shared" si="16"/>
        <v>Philadelphia Health - Hospital</v>
      </c>
      <c r="AB75" s="37">
        <f t="shared" si="17"/>
        <v>6086</v>
      </c>
      <c r="AC75" s="37">
        <f t="shared" si="18"/>
        <v>6084</v>
      </c>
      <c r="AD75" s="37">
        <f t="shared" si="19"/>
        <v>2027</v>
      </c>
      <c r="AE75" s="37">
        <f t="shared" si="20"/>
        <v>8760</v>
      </c>
      <c r="AF75" s="37">
        <f t="shared" si="21"/>
        <v>8760</v>
      </c>
      <c r="AG75" s="187"/>
      <c r="AH75" s="187"/>
      <c r="AI75" s="22"/>
      <c r="AJ75" s="44" t="s">
        <v>266</v>
      </c>
      <c r="AK75" s="37" t="s">
        <v>223</v>
      </c>
      <c r="AL75" s="37" t="str">
        <f t="shared" si="22"/>
        <v>Philadelphia Health - Hospital</v>
      </c>
      <c r="AM75" s="45">
        <f t="shared" si="23"/>
        <v>0.54</v>
      </c>
      <c r="AN75" s="45">
        <f t="shared" si="24"/>
        <v>0.54</v>
      </c>
      <c r="AO75" s="45">
        <f t="shared" si="25"/>
        <v>0.36</v>
      </c>
      <c r="AP75" s="45">
        <f t="shared" si="26"/>
        <v>0.09</v>
      </c>
      <c r="AQ75" s="45">
        <f t="shared" si="27"/>
        <v>0.51</v>
      </c>
    </row>
    <row r="76" spans="2:43" ht="15.75" thickBot="1" x14ac:dyDescent="0.3">
      <c r="Y76" s="44" t="s">
        <v>266</v>
      </c>
      <c r="Z76" s="37" t="s">
        <v>224</v>
      </c>
      <c r="AA76" s="37" t="str">
        <f t="shared" si="16"/>
        <v>Philadelphia Health - Other</v>
      </c>
      <c r="AB76" s="37">
        <f t="shared" si="17"/>
        <v>4535</v>
      </c>
      <c r="AC76" s="37">
        <f t="shared" si="18"/>
        <v>4537</v>
      </c>
      <c r="AD76" s="37">
        <f t="shared" si="19"/>
        <v>3185</v>
      </c>
      <c r="AE76" s="37">
        <f t="shared" si="20"/>
        <v>5477</v>
      </c>
      <c r="AF76" s="37">
        <f t="shared" si="21"/>
        <v>8760</v>
      </c>
      <c r="AG76" s="187"/>
      <c r="AH76" s="187"/>
      <c r="AI76" s="22"/>
      <c r="AJ76" s="44" t="s">
        <v>266</v>
      </c>
      <c r="AK76" s="37" t="s">
        <v>224</v>
      </c>
      <c r="AL76" s="37" t="str">
        <f t="shared" si="22"/>
        <v>Philadelphia Health - Other</v>
      </c>
      <c r="AM76" s="45">
        <f t="shared" si="23"/>
        <v>0.3</v>
      </c>
      <c r="AN76" s="45">
        <f t="shared" si="24"/>
        <v>0.3</v>
      </c>
      <c r="AO76" s="45">
        <f t="shared" si="25"/>
        <v>0.54</v>
      </c>
      <c r="AP76" s="45">
        <f t="shared" si="26"/>
        <v>0</v>
      </c>
      <c r="AQ76" s="45">
        <f t="shared" si="27"/>
        <v>0.31</v>
      </c>
    </row>
    <row r="77" spans="2:43" ht="15.75" thickBot="1" x14ac:dyDescent="0.3">
      <c r="Y77" s="44" t="s">
        <v>266</v>
      </c>
      <c r="Z77" s="37" t="s">
        <v>225</v>
      </c>
      <c r="AA77" s="37" t="str">
        <f t="shared" si="16"/>
        <v>Philadelphia Industrial Manufacturing</v>
      </c>
      <c r="AB77" s="37">
        <f t="shared" si="17"/>
        <v>1891</v>
      </c>
      <c r="AC77" s="37">
        <f t="shared" si="18"/>
        <v>1891</v>
      </c>
      <c r="AD77" s="37">
        <f t="shared" si="19"/>
        <v>4029.5</v>
      </c>
      <c r="AE77" s="37">
        <f t="shared" si="20"/>
        <v>1028</v>
      </c>
      <c r="AF77" s="37">
        <f t="shared" si="21"/>
        <v>3838</v>
      </c>
      <c r="AG77" s="187"/>
      <c r="AH77" s="187"/>
      <c r="AI77" s="22"/>
      <c r="AJ77" s="44" t="s">
        <v>266</v>
      </c>
      <c r="AK77" s="37" t="s">
        <v>225</v>
      </c>
      <c r="AL77" s="37" t="str">
        <f t="shared" si="22"/>
        <v>Philadelphia Industrial Manufacturing</v>
      </c>
      <c r="AM77" s="45">
        <f t="shared" si="23"/>
        <v>0.57999999999999996</v>
      </c>
      <c r="AN77" s="45">
        <f t="shared" si="24"/>
        <v>0.59</v>
      </c>
      <c r="AO77" s="45">
        <f t="shared" si="25"/>
        <v>0.44500000000000001</v>
      </c>
      <c r="AP77" s="45">
        <f t="shared" si="26"/>
        <v>0</v>
      </c>
      <c r="AQ77" s="45">
        <f t="shared" si="27"/>
        <v>0.56499999999999995</v>
      </c>
    </row>
    <row r="78" spans="2:43" ht="15.75" thickBot="1" x14ac:dyDescent="0.3">
      <c r="Y78" s="44" t="s">
        <v>266</v>
      </c>
      <c r="Z78" s="37" t="s">
        <v>226</v>
      </c>
      <c r="AA78" s="37" t="str">
        <f t="shared" si="16"/>
        <v>Philadelphia Institutional/Public Service</v>
      </c>
      <c r="AB78" s="37" t="e">
        <f t="shared" si="17"/>
        <v>#N/A</v>
      </c>
      <c r="AC78" s="37" t="e">
        <f t="shared" si="18"/>
        <v>#N/A</v>
      </c>
      <c r="AD78" s="37" t="e">
        <f t="shared" si="19"/>
        <v>#N/A</v>
      </c>
      <c r="AE78" s="37" t="e">
        <f t="shared" si="20"/>
        <v>#N/A</v>
      </c>
      <c r="AF78" s="37">
        <f t="shared" si="21"/>
        <v>5186</v>
      </c>
      <c r="AG78" s="187"/>
      <c r="AH78" s="187"/>
      <c r="AI78" s="22"/>
      <c r="AJ78" s="44" t="s">
        <v>266</v>
      </c>
      <c r="AK78" s="37" t="s">
        <v>226</v>
      </c>
      <c r="AL78" s="37" t="str">
        <f t="shared" si="22"/>
        <v>Philadelphia Institutional/Public Service</v>
      </c>
      <c r="AM78" s="45" t="e">
        <f t="shared" si="23"/>
        <v>#N/A</v>
      </c>
      <c r="AN78" s="45" t="e">
        <f t="shared" si="24"/>
        <v>#N/A</v>
      </c>
      <c r="AO78" s="45" t="e">
        <f t="shared" si="25"/>
        <v>#N/A</v>
      </c>
      <c r="AP78" s="45" t="e">
        <f t="shared" si="26"/>
        <v>#N/A</v>
      </c>
      <c r="AQ78" s="45">
        <f t="shared" si="27"/>
        <v>0.72</v>
      </c>
    </row>
    <row r="79" spans="2:43" ht="15.75" thickBot="1" x14ac:dyDescent="0.3">
      <c r="Y79" s="44" t="s">
        <v>266</v>
      </c>
      <c r="Z79" s="37" t="s">
        <v>228</v>
      </c>
      <c r="AA79" s="37" t="str">
        <f t="shared" si="16"/>
        <v>Philadelphia Lodging</v>
      </c>
      <c r="AB79" s="37">
        <f t="shared" si="17"/>
        <v>6161</v>
      </c>
      <c r="AC79" s="37">
        <f t="shared" si="18"/>
        <v>6159</v>
      </c>
      <c r="AD79" s="37">
        <f t="shared" si="19"/>
        <v>3346</v>
      </c>
      <c r="AE79" s="37">
        <f t="shared" si="20"/>
        <v>6077</v>
      </c>
      <c r="AF79" s="37">
        <f t="shared" si="21"/>
        <v>8760</v>
      </c>
      <c r="AG79" s="187"/>
      <c r="AH79" s="187"/>
      <c r="AI79" s="22"/>
      <c r="AJ79" s="44" t="s">
        <v>266</v>
      </c>
      <c r="AK79" s="37" t="s">
        <v>228</v>
      </c>
      <c r="AL79" s="37" t="str">
        <f t="shared" si="22"/>
        <v>Philadelphia Lodging</v>
      </c>
      <c r="AM79" s="45">
        <f t="shared" si="23"/>
        <v>0.67</v>
      </c>
      <c r="AN79" s="45">
        <f t="shared" si="24"/>
        <v>0.68</v>
      </c>
      <c r="AO79" s="45">
        <f t="shared" si="25"/>
        <v>0.18</v>
      </c>
      <c r="AP79" s="45">
        <f t="shared" si="26"/>
        <v>0</v>
      </c>
      <c r="AQ79" s="45">
        <f t="shared" si="27"/>
        <v>0.71</v>
      </c>
    </row>
    <row r="80" spans="2:43" ht="15.75" thickBot="1" x14ac:dyDescent="0.3">
      <c r="Y80" s="44" t="s">
        <v>266</v>
      </c>
      <c r="Z80" s="37" t="s">
        <v>230</v>
      </c>
      <c r="AA80" s="37" t="str">
        <f t="shared" si="16"/>
        <v>Philadelphia Office</v>
      </c>
      <c r="AB80" s="37">
        <f t="shared" si="17"/>
        <v>2036</v>
      </c>
      <c r="AC80" s="37">
        <f t="shared" si="18"/>
        <v>2036</v>
      </c>
      <c r="AD80" s="37">
        <f t="shared" si="19"/>
        <v>4168</v>
      </c>
      <c r="AE80" s="37">
        <f t="shared" si="20"/>
        <v>2689.5</v>
      </c>
      <c r="AF80" s="37">
        <f t="shared" si="21"/>
        <v>4063</v>
      </c>
      <c r="AG80" s="187"/>
      <c r="AH80" s="187"/>
      <c r="AI80" s="22"/>
      <c r="AJ80" s="44" t="s">
        <v>266</v>
      </c>
      <c r="AK80" s="37" t="s">
        <v>230</v>
      </c>
      <c r="AL80" s="37" t="str">
        <f t="shared" si="22"/>
        <v>Philadelphia Office</v>
      </c>
      <c r="AM80" s="45">
        <f t="shared" si="23"/>
        <v>0.36</v>
      </c>
      <c r="AN80" s="45">
        <f t="shared" si="24"/>
        <v>0.36</v>
      </c>
      <c r="AO80" s="45">
        <f t="shared" si="25"/>
        <v>0.54</v>
      </c>
      <c r="AP80" s="45">
        <f t="shared" si="26"/>
        <v>0</v>
      </c>
      <c r="AQ80" s="45">
        <f t="shared" si="27"/>
        <v>0.38500000000000001</v>
      </c>
    </row>
    <row r="81" spans="25:43" ht="15.75" thickBot="1" x14ac:dyDescent="0.3">
      <c r="Y81" s="44" t="s">
        <v>266</v>
      </c>
      <c r="Z81" s="37" t="s">
        <v>232</v>
      </c>
      <c r="AA81" s="37" t="str">
        <f t="shared" si="16"/>
        <v>Philadelphia Restaurant</v>
      </c>
      <c r="AB81" s="37" t="e">
        <f t="shared" si="17"/>
        <v>#N/A</v>
      </c>
      <c r="AC81" s="37" t="e">
        <f t="shared" si="18"/>
        <v>#N/A</v>
      </c>
      <c r="AD81" s="37" t="e">
        <f t="shared" si="19"/>
        <v>#N/A</v>
      </c>
      <c r="AE81" s="37" t="e">
        <f t="shared" si="20"/>
        <v>#N/A</v>
      </c>
      <c r="AF81" s="37">
        <f t="shared" si="21"/>
        <v>6225.5</v>
      </c>
      <c r="AG81" s="187"/>
      <c r="AH81" s="187"/>
      <c r="AI81" s="22"/>
      <c r="AJ81" s="44" t="s">
        <v>266</v>
      </c>
      <c r="AK81" s="37" t="s">
        <v>232</v>
      </c>
      <c r="AL81" s="37" t="str">
        <f t="shared" si="22"/>
        <v>Philadelphia Restaurant</v>
      </c>
      <c r="AM81" s="45" t="e">
        <f t="shared" si="23"/>
        <v>#N/A</v>
      </c>
      <c r="AN81" s="45" t="e">
        <f t="shared" si="24"/>
        <v>#N/A</v>
      </c>
      <c r="AO81" s="45" t="e">
        <f t="shared" si="25"/>
        <v>#N/A</v>
      </c>
      <c r="AP81" s="45" t="e">
        <f t="shared" si="26"/>
        <v>#N/A</v>
      </c>
      <c r="AQ81" s="45">
        <f t="shared" si="27"/>
        <v>0.5</v>
      </c>
    </row>
    <row r="82" spans="25:43" ht="15.75" thickBot="1" x14ac:dyDescent="0.3">
      <c r="Y82" s="44" t="s">
        <v>266</v>
      </c>
      <c r="Z82" s="37" t="s">
        <v>234</v>
      </c>
      <c r="AA82" s="37" t="str">
        <f t="shared" si="16"/>
        <v>Philadelphia Retail</v>
      </c>
      <c r="AB82" s="37">
        <f t="shared" si="17"/>
        <v>3225</v>
      </c>
      <c r="AC82" s="37">
        <f t="shared" si="18"/>
        <v>3226</v>
      </c>
      <c r="AD82" s="37">
        <f t="shared" si="19"/>
        <v>4304</v>
      </c>
      <c r="AE82" s="37">
        <f t="shared" si="20"/>
        <v>2398</v>
      </c>
      <c r="AF82" s="37">
        <f t="shared" si="21"/>
        <v>5092.333333333333</v>
      </c>
      <c r="AG82" s="187"/>
      <c r="AH82" s="187"/>
      <c r="AI82" s="22"/>
      <c r="AJ82" s="44" t="s">
        <v>266</v>
      </c>
      <c r="AK82" s="37" t="s">
        <v>234</v>
      </c>
      <c r="AL82" s="37" t="str">
        <f t="shared" si="22"/>
        <v>Philadelphia Retail</v>
      </c>
      <c r="AM82" s="45">
        <f t="shared" si="23"/>
        <v>0.54</v>
      </c>
      <c r="AN82" s="45">
        <f t="shared" si="24"/>
        <v>0.54</v>
      </c>
      <c r="AO82" s="45">
        <f t="shared" si="25"/>
        <v>0.3</v>
      </c>
      <c r="AP82" s="45">
        <f t="shared" si="26"/>
        <v>0</v>
      </c>
      <c r="AQ82" s="45">
        <f t="shared" si="27"/>
        <v>0.56333333333333335</v>
      </c>
    </row>
    <row r="83" spans="25:43" ht="15.75" thickBot="1" x14ac:dyDescent="0.3">
      <c r="Y83" s="44" t="s">
        <v>266</v>
      </c>
      <c r="Z83" s="37" t="s">
        <v>236</v>
      </c>
      <c r="AA83" s="37" t="str">
        <f t="shared" si="16"/>
        <v>Philadelphia Warehouse - Other</v>
      </c>
      <c r="AB83" s="37" t="e">
        <f t="shared" si="17"/>
        <v>#N/A</v>
      </c>
      <c r="AC83" s="37" t="e">
        <f t="shared" si="18"/>
        <v>#N/A</v>
      </c>
      <c r="AD83" s="37" t="e">
        <f t="shared" si="19"/>
        <v>#N/A</v>
      </c>
      <c r="AE83" s="37" t="e">
        <f t="shared" si="20"/>
        <v>#N/A</v>
      </c>
      <c r="AF83" s="37">
        <f t="shared" si="21"/>
        <v>5168</v>
      </c>
      <c r="AG83" s="187"/>
      <c r="AH83" s="187"/>
      <c r="AI83" s="22"/>
      <c r="AJ83" s="44" t="s">
        <v>266</v>
      </c>
      <c r="AK83" s="37" t="s">
        <v>236</v>
      </c>
      <c r="AL83" s="37" t="str">
        <f t="shared" si="22"/>
        <v>Philadelphia Warehouse - Other</v>
      </c>
      <c r="AM83" s="45" t="e">
        <f t="shared" si="23"/>
        <v>#N/A</v>
      </c>
      <c r="AN83" s="45" t="e">
        <f t="shared" si="24"/>
        <v>#N/A</v>
      </c>
      <c r="AO83" s="45" t="e">
        <f t="shared" si="25"/>
        <v>#N/A</v>
      </c>
      <c r="AP83" s="45" t="e">
        <f t="shared" si="26"/>
        <v>#N/A</v>
      </c>
      <c r="AQ83" s="45">
        <f t="shared" si="27"/>
        <v>0.3</v>
      </c>
    </row>
    <row r="84" spans="25:43" ht="15.75" thickBot="1" x14ac:dyDescent="0.3">
      <c r="Y84" s="44" t="s">
        <v>266</v>
      </c>
      <c r="Z84" s="37" t="s">
        <v>238</v>
      </c>
      <c r="AA84" s="37" t="str">
        <f t="shared" si="16"/>
        <v>Philadelphia Warehouse - Refrigerated</v>
      </c>
      <c r="AB84" s="37" t="e">
        <f t="shared" si="17"/>
        <v>#N/A</v>
      </c>
      <c r="AC84" s="37" t="e">
        <f t="shared" si="18"/>
        <v>#N/A</v>
      </c>
      <c r="AD84" s="37" t="e">
        <f t="shared" si="19"/>
        <v>#N/A</v>
      </c>
      <c r="AE84" s="37" t="e">
        <f t="shared" si="20"/>
        <v>#N/A</v>
      </c>
      <c r="AF84" s="37">
        <f t="shared" si="21"/>
        <v>4041</v>
      </c>
      <c r="AG84" s="187"/>
      <c r="AH84" s="187"/>
      <c r="AI84" s="22"/>
      <c r="AJ84" s="44" t="s">
        <v>266</v>
      </c>
      <c r="AK84" s="37" t="s">
        <v>238</v>
      </c>
      <c r="AL84" s="37" t="str">
        <f t="shared" si="22"/>
        <v>Philadelphia Warehouse - Refrigerated</v>
      </c>
      <c r="AM84" s="45" t="e">
        <f t="shared" si="23"/>
        <v>#N/A</v>
      </c>
      <c r="AN84" s="45" t="e">
        <f t="shared" si="24"/>
        <v>#N/A</v>
      </c>
      <c r="AO84" s="45" t="e">
        <f t="shared" si="25"/>
        <v>#N/A</v>
      </c>
      <c r="AP84" s="45" t="e">
        <f t="shared" si="26"/>
        <v>#N/A</v>
      </c>
      <c r="AQ84" s="45">
        <f t="shared" si="27"/>
        <v>0.53</v>
      </c>
    </row>
    <row r="85" spans="25:43" ht="15.75" thickBot="1" x14ac:dyDescent="0.3">
      <c r="Y85" s="44" t="s">
        <v>267</v>
      </c>
      <c r="Z85" s="37" t="s">
        <v>206</v>
      </c>
      <c r="AA85" s="37" t="str">
        <f t="shared" si="16"/>
        <v>Pittsburgh Education - College/University</v>
      </c>
      <c r="AB85" s="37">
        <f t="shared" si="17"/>
        <v>3915.5</v>
      </c>
      <c r="AC85" s="37">
        <f t="shared" si="18"/>
        <v>3913.5</v>
      </c>
      <c r="AD85" s="37">
        <f t="shared" si="19"/>
        <v>5239</v>
      </c>
      <c r="AE85" s="37">
        <f t="shared" si="20"/>
        <v>4572</v>
      </c>
      <c r="AF85" s="37">
        <f t="shared" si="21"/>
        <v>5982</v>
      </c>
      <c r="AG85" s="187"/>
      <c r="AH85" s="187"/>
      <c r="AI85" s="22"/>
      <c r="AJ85" s="44" t="s">
        <v>267</v>
      </c>
      <c r="AK85" s="37" t="s">
        <v>206</v>
      </c>
      <c r="AL85" s="37" t="str">
        <f t="shared" si="22"/>
        <v>Pittsburgh Education - College/University</v>
      </c>
      <c r="AM85" s="45">
        <f t="shared" si="23"/>
        <v>0.39500000000000002</v>
      </c>
      <c r="AN85" s="45">
        <f t="shared" si="24"/>
        <v>0.39500000000000002</v>
      </c>
      <c r="AO85" s="45">
        <f t="shared" si="25"/>
        <v>0.7</v>
      </c>
      <c r="AP85" s="45">
        <f t="shared" si="26"/>
        <v>5.0000000000000001E-3</v>
      </c>
      <c r="AQ85" s="45">
        <f t="shared" si="27"/>
        <v>0.41500000000000004</v>
      </c>
    </row>
    <row r="86" spans="25:43" ht="15.75" thickBot="1" x14ac:dyDescent="0.3">
      <c r="Y86" s="44" t="s">
        <v>267</v>
      </c>
      <c r="Z86" s="37" t="s">
        <v>211</v>
      </c>
      <c r="AA86" s="37" t="str">
        <f t="shared" si="16"/>
        <v>Pittsburgh Education - Other</v>
      </c>
      <c r="AB86" s="37">
        <f t="shared" si="17"/>
        <v>2676</v>
      </c>
      <c r="AC86" s="37">
        <f t="shared" si="18"/>
        <v>2685</v>
      </c>
      <c r="AD86" s="37">
        <f t="shared" si="19"/>
        <v>1602</v>
      </c>
      <c r="AE86" s="37">
        <f t="shared" si="20"/>
        <v>3705</v>
      </c>
      <c r="AF86" s="37">
        <f t="shared" si="21"/>
        <v>4415.333333333333</v>
      </c>
      <c r="AG86" s="187"/>
      <c r="AH86" s="187"/>
      <c r="AI86" s="22"/>
      <c r="AJ86" s="44" t="s">
        <v>267</v>
      </c>
      <c r="AK86" s="37" t="s">
        <v>211</v>
      </c>
      <c r="AL86" s="37" t="str">
        <f t="shared" si="22"/>
        <v>Pittsburgh Education - Other</v>
      </c>
      <c r="AM86" s="45">
        <f t="shared" si="23"/>
        <v>0.17</v>
      </c>
      <c r="AN86" s="45">
        <f t="shared" si="24"/>
        <v>0.17</v>
      </c>
      <c r="AO86" s="45">
        <f t="shared" si="25"/>
        <v>0.54</v>
      </c>
      <c r="AP86" s="45">
        <f t="shared" si="26"/>
        <v>0</v>
      </c>
      <c r="AQ86" s="45">
        <f t="shared" si="27"/>
        <v>0.18000000000000002</v>
      </c>
    </row>
    <row r="87" spans="25:43" ht="15.75" thickBot="1" x14ac:dyDescent="0.3">
      <c r="Y87" s="44" t="s">
        <v>267</v>
      </c>
      <c r="Z87" s="37" t="s">
        <v>222</v>
      </c>
      <c r="AA87" s="37" t="str">
        <f t="shared" si="16"/>
        <v>Pittsburgh Grocery</v>
      </c>
      <c r="AB87" s="37" t="e">
        <f t="shared" si="17"/>
        <v>#N/A</v>
      </c>
      <c r="AC87" s="37" t="e">
        <f t="shared" si="18"/>
        <v>#N/A</v>
      </c>
      <c r="AD87" s="37" t="e">
        <f t="shared" si="19"/>
        <v>#N/A</v>
      </c>
      <c r="AE87" s="37" t="e">
        <f t="shared" si="20"/>
        <v>#N/A</v>
      </c>
      <c r="AF87" s="37">
        <f t="shared" si="21"/>
        <v>6718</v>
      </c>
      <c r="AG87" s="187"/>
      <c r="AH87" s="187"/>
      <c r="AI87" s="22"/>
      <c r="AJ87" s="44" t="s">
        <v>267</v>
      </c>
      <c r="AK87" s="37" t="s">
        <v>222</v>
      </c>
      <c r="AL87" s="37" t="str">
        <f t="shared" si="22"/>
        <v>Pittsburgh Grocery</v>
      </c>
      <c r="AM87" s="45" t="e">
        <f t="shared" si="23"/>
        <v>#N/A</v>
      </c>
      <c r="AN87" s="45" t="e">
        <f t="shared" si="24"/>
        <v>#N/A</v>
      </c>
      <c r="AO87" s="45" t="e">
        <f t="shared" si="25"/>
        <v>#N/A</v>
      </c>
      <c r="AP87" s="45" t="e">
        <f t="shared" si="26"/>
        <v>#N/A</v>
      </c>
      <c r="AQ87" s="45">
        <f t="shared" si="27"/>
        <v>0.28999999999999998</v>
      </c>
    </row>
    <row r="88" spans="25:43" ht="15.75" thickBot="1" x14ac:dyDescent="0.3">
      <c r="Y88" s="44" t="s">
        <v>267</v>
      </c>
      <c r="Z88" s="37" t="s">
        <v>223</v>
      </c>
      <c r="AA88" s="37" t="str">
        <f t="shared" si="16"/>
        <v>Pittsburgh Health - Hospital</v>
      </c>
      <c r="AB88" s="37">
        <f t="shared" si="17"/>
        <v>5593</v>
      </c>
      <c r="AC88" s="37">
        <f t="shared" si="18"/>
        <v>5591</v>
      </c>
      <c r="AD88" s="37">
        <f t="shared" si="19"/>
        <v>1729.5</v>
      </c>
      <c r="AE88" s="37">
        <f t="shared" si="20"/>
        <v>8760</v>
      </c>
      <c r="AF88" s="37">
        <f t="shared" si="21"/>
        <v>8760</v>
      </c>
      <c r="AG88" s="187"/>
      <c r="AH88" s="187"/>
      <c r="AI88" s="22"/>
      <c r="AJ88" s="44" t="s">
        <v>267</v>
      </c>
      <c r="AK88" s="37" t="s">
        <v>223</v>
      </c>
      <c r="AL88" s="37" t="str">
        <f t="shared" si="22"/>
        <v>Pittsburgh Health - Hospital</v>
      </c>
      <c r="AM88" s="45">
        <f t="shared" si="23"/>
        <v>0.48</v>
      </c>
      <c r="AN88" s="45">
        <f t="shared" si="24"/>
        <v>0.47</v>
      </c>
      <c r="AO88" s="45">
        <f t="shared" si="25"/>
        <v>0.32500000000000001</v>
      </c>
      <c r="AP88" s="45">
        <f t="shared" si="26"/>
        <v>0.09</v>
      </c>
      <c r="AQ88" s="45">
        <f t="shared" si="27"/>
        <v>0.45</v>
      </c>
    </row>
    <row r="89" spans="25:43" ht="15.75" thickBot="1" x14ac:dyDescent="0.3">
      <c r="Y89" s="44" t="s">
        <v>267</v>
      </c>
      <c r="Z89" s="37" t="s">
        <v>224</v>
      </c>
      <c r="AA89" s="37" t="str">
        <f t="shared" si="16"/>
        <v>Pittsburgh Health - Other</v>
      </c>
      <c r="AB89" s="37">
        <f t="shared" si="17"/>
        <v>3900</v>
      </c>
      <c r="AC89" s="37">
        <f t="shared" si="18"/>
        <v>3902</v>
      </c>
      <c r="AD89" s="37">
        <f t="shared" si="19"/>
        <v>2757</v>
      </c>
      <c r="AE89" s="37">
        <f t="shared" si="20"/>
        <v>5991</v>
      </c>
      <c r="AF89" s="37">
        <f t="shared" si="21"/>
        <v>8760</v>
      </c>
      <c r="AG89" s="187"/>
      <c r="AH89" s="187"/>
      <c r="AI89" s="22"/>
      <c r="AJ89" s="44" t="s">
        <v>267</v>
      </c>
      <c r="AK89" s="37" t="s">
        <v>224</v>
      </c>
      <c r="AL89" s="37" t="str">
        <f t="shared" si="22"/>
        <v>Pittsburgh Health - Other</v>
      </c>
      <c r="AM89" s="45">
        <f t="shared" si="23"/>
        <v>0.28000000000000003</v>
      </c>
      <c r="AN89" s="45">
        <f t="shared" si="24"/>
        <v>0.28000000000000003</v>
      </c>
      <c r="AO89" s="45">
        <f t="shared" si="25"/>
        <v>0.47</v>
      </c>
      <c r="AP89" s="45">
        <f t="shared" si="26"/>
        <v>0</v>
      </c>
      <c r="AQ89" s="45">
        <f t="shared" si="27"/>
        <v>0.28999999999999998</v>
      </c>
    </row>
    <row r="90" spans="25:43" ht="15.75" thickBot="1" x14ac:dyDescent="0.3">
      <c r="Y90" s="44" t="s">
        <v>267</v>
      </c>
      <c r="Z90" s="37" t="s">
        <v>225</v>
      </c>
      <c r="AA90" s="37" t="str">
        <f t="shared" si="16"/>
        <v>Pittsburgh Industrial Manufacturing</v>
      </c>
      <c r="AB90" s="37">
        <f t="shared" si="17"/>
        <v>1606</v>
      </c>
      <c r="AC90" s="37">
        <f t="shared" si="18"/>
        <v>1606</v>
      </c>
      <c r="AD90" s="37">
        <f t="shared" si="19"/>
        <v>3749</v>
      </c>
      <c r="AE90" s="37">
        <f t="shared" si="20"/>
        <v>1287</v>
      </c>
      <c r="AF90" s="37">
        <f t="shared" si="21"/>
        <v>3869</v>
      </c>
      <c r="AG90" s="187"/>
      <c r="AH90" s="187"/>
      <c r="AI90" s="22"/>
      <c r="AJ90" s="44" t="s">
        <v>267</v>
      </c>
      <c r="AK90" s="37" t="s">
        <v>225</v>
      </c>
      <c r="AL90" s="37" t="str">
        <f t="shared" si="22"/>
        <v>Pittsburgh Industrial Manufacturing</v>
      </c>
      <c r="AM90" s="45">
        <f t="shared" si="23"/>
        <v>0.54</v>
      </c>
      <c r="AN90" s="45">
        <f t="shared" si="24"/>
        <v>0.54</v>
      </c>
      <c r="AO90" s="45">
        <f t="shared" si="25"/>
        <v>0.39500000000000002</v>
      </c>
      <c r="AP90" s="45">
        <f t="shared" si="26"/>
        <v>0</v>
      </c>
      <c r="AQ90" s="45">
        <f t="shared" si="27"/>
        <v>0.495</v>
      </c>
    </row>
    <row r="91" spans="25:43" ht="15.75" thickBot="1" x14ac:dyDescent="0.3">
      <c r="Y91" s="44" t="s">
        <v>267</v>
      </c>
      <c r="Z91" s="37" t="s">
        <v>226</v>
      </c>
      <c r="AA91" s="37" t="str">
        <f t="shared" si="16"/>
        <v>Pittsburgh Institutional/Public Service</v>
      </c>
      <c r="AB91" s="37" t="e">
        <f t="shared" si="17"/>
        <v>#N/A</v>
      </c>
      <c r="AC91" s="37" t="e">
        <f t="shared" si="18"/>
        <v>#N/A</v>
      </c>
      <c r="AD91" s="37" t="e">
        <f t="shared" si="19"/>
        <v>#N/A</v>
      </c>
      <c r="AE91" s="37" t="e">
        <f t="shared" si="20"/>
        <v>#N/A</v>
      </c>
      <c r="AF91" s="37">
        <f t="shared" si="21"/>
        <v>5201</v>
      </c>
      <c r="AG91" s="187"/>
      <c r="AH91" s="187"/>
      <c r="AI91" s="22"/>
      <c r="AJ91" s="44" t="s">
        <v>267</v>
      </c>
      <c r="AK91" s="37" t="s">
        <v>226</v>
      </c>
      <c r="AL91" s="37" t="str">
        <f t="shared" si="22"/>
        <v>Pittsburgh Institutional/Public Service</v>
      </c>
      <c r="AM91" s="45" t="e">
        <f t="shared" si="23"/>
        <v>#N/A</v>
      </c>
      <c r="AN91" s="45" t="e">
        <f t="shared" si="24"/>
        <v>#N/A</v>
      </c>
      <c r="AO91" s="45" t="e">
        <f t="shared" si="25"/>
        <v>#N/A</v>
      </c>
      <c r="AP91" s="45" t="e">
        <f t="shared" si="26"/>
        <v>#N/A</v>
      </c>
      <c r="AQ91" s="45">
        <f t="shared" si="27"/>
        <v>0.56000000000000005</v>
      </c>
    </row>
    <row r="92" spans="25:43" ht="15.75" thickBot="1" x14ac:dyDescent="0.3">
      <c r="Y92" s="44" t="s">
        <v>267</v>
      </c>
      <c r="Z92" s="37" t="s">
        <v>228</v>
      </c>
      <c r="AA92" s="37" t="str">
        <f t="shared" si="16"/>
        <v>Pittsburgh Lodging</v>
      </c>
      <c r="AB92" s="37">
        <f t="shared" si="17"/>
        <v>5686</v>
      </c>
      <c r="AC92" s="37">
        <f t="shared" si="18"/>
        <v>5683</v>
      </c>
      <c r="AD92" s="37">
        <f t="shared" si="19"/>
        <v>2409</v>
      </c>
      <c r="AE92" s="37">
        <f t="shared" si="20"/>
        <v>6574</v>
      </c>
      <c r="AF92" s="37">
        <f t="shared" si="21"/>
        <v>8760</v>
      </c>
      <c r="AG92" s="187"/>
      <c r="AH92" s="187"/>
      <c r="AI92" s="22"/>
      <c r="AJ92" s="44" t="s">
        <v>267</v>
      </c>
      <c r="AK92" s="37" t="s">
        <v>228</v>
      </c>
      <c r="AL92" s="37" t="str">
        <f t="shared" si="22"/>
        <v>Pittsburgh Lodging</v>
      </c>
      <c r="AM92" s="45">
        <f t="shared" si="23"/>
        <v>0.69</v>
      </c>
      <c r="AN92" s="45">
        <f t="shared" si="24"/>
        <v>0.7</v>
      </c>
      <c r="AO92" s="45">
        <f t="shared" si="25"/>
        <v>0.17</v>
      </c>
      <c r="AP92" s="45">
        <f t="shared" si="26"/>
        <v>0</v>
      </c>
      <c r="AQ92" s="45">
        <f t="shared" si="27"/>
        <v>0.73</v>
      </c>
    </row>
    <row r="93" spans="25:43" ht="15.75" thickBot="1" x14ac:dyDescent="0.3">
      <c r="Y93" s="44" t="s">
        <v>267</v>
      </c>
      <c r="Z93" s="37" t="s">
        <v>230</v>
      </c>
      <c r="AA93" s="37" t="str">
        <f t="shared" si="16"/>
        <v>Pittsburgh Office</v>
      </c>
      <c r="AB93" s="37">
        <f t="shared" si="17"/>
        <v>1739</v>
      </c>
      <c r="AC93" s="37">
        <f t="shared" si="18"/>
        <v>1739</v>
      </c>
      <c r="AD93" s="37">
        <f t="shared" si="19"/>
        <v>4093</v>
      </c>
      <c r="AE93" s="37">
        <f t="shared" si="20"/>
        <v>3245.5</v>
      </c>
      <c r="AF93" s="37">
        <f t="shared" si="21"/>
        <v>4239.5</v>
      </c>
      <c r="AG93" s="187"/>
      <c r="AH93" s="187"/>
      <c r="AI93" s="22"/>
      <c r="AJ93" s="44" t="s">
        <v>267</v>
      </c>
      <c r="AK93" s="37" t="s">
        <v>230</v>
      </c>
      <c r="AL93" s="37" t="str">
        <f t="shared" si="22"/>
        <v>Pittsburgh Office</v>
      </c>
      <c r="AM93" s="45">
        <f t="shared" si="23"/>
        <v>0.32500000000000001</v>
      </c>
      <c r="AN93" s="45">
        <f t="shared" si="24"/>
        <v>0.32500000000000001</v>
      </c>
      <c r="AO93" s="45">
        <f t="shared" si="25"/>
        <v>0.47</v>
      </c>
      <c r="AP93" s="45">
        <f t="shared" si="26"/>
        <v>0</v>
      </c>
      <c r="AQ93" s="45">
        <f t="shared" si="27"/>
        <v>0.34499999999999997</v>
      </c>
    </row>
    <row r="94" spans="25:43" ht="15.75" thickBot="1" x14ac:dyDescent="0.3">
      <c r="Y94" s="44" t="s">
        <v>267</v>
      </c>
      <c r="Z94" s="37" t="s">
        <v>232</v>
      </c>
      <c r="AA94" s="37" t="str">
        <f t="shared" si="16"/>
        <v>Pittsburgh Restaurant</v>
      </c>
      <c r="AB94" s="37" t="e">
        <f t="shared" si="17"/>
        <v>#N/A</v>
      </c>
      <c r="AC94" s="37" t="e">
        <f t="shared" si="18"/>
        <v>#N/A</v>
      </c>
      <c r="AD94" s="37" t="e">
        <f t="shared" si="19"/>
        <v>#N/A</v>
      </c>
      <c r="AE94" s="37" t="e">
        <f t="shared" si="20"/>
        <v>#N/A</v>
      </c>
      <c r="AF94" s="37">
        <f t="shared" si="21"/>
        <v>6299.5</v>
      </c>
      <c r="AG94" s="187"/>
      <c r="AH94" s="187"/>
      <c r="AI94" s="22"/>
      <c r="AJ94" s="44" t="s">
        <v>267</v>
      </c>
      <c r="AK94" s="37" t="s">
        <v>232</v>
      </c>
      <c r="AL94" s="37" t="str">
        <f t="shared" si="22"/>
        <v>Pittsburgh Restaurant</v>
      </c>
      <c r="AM94" s="45" t="e">
        <f t="shared" si="23"/>
        <v>#N/A</v>
      </c>
      <c r="AN94" s="45" t="e">
        <f t="shared" si="24"/>
        <v>#N/A</v>
      </c>
      <c r="AO94" s="45" t="e">
        <f t="shared" si="25"/>
        <v>#N/A</v>
      </c>
      <c r="AP94" s="45" t="e">
        <f t="shared" si="26"/>
        <v>#N/A</v>
      </c>
      <c r="AQ94" s="45">
        <f t="shared" si="27"/>
        <v>0.49</v>
      </c>
    </row>
    <row r="95" spans="25:43" ht="15.75" thickBot="1" x14ac:dyDescent="0.3">
      <c r="Y95" s="44" t="s">
        <v>267</v>
      </c>
      <c r="Z95" s="37" t="s">
        <v>234</v>
      </c>
      <c r="AA95" s="37" t="str">
        <f t="shared" si="16"/>
        <v>Pittsburgh Retail</v>
      </c>
      <c r="AB95" s="37">
        <f t="shared" si="17"/>
        <v>2795</v>
      </c>
      <c r="AC95" s="37">
        <f t="shared" si="18"/>
        <v>2795</v>
      </c>
      <c r="AD95" s="37">
        <f t="shared" si="19"/>
        <v>3571</v>
      </c>
      <c r="AE95" s="37">
        <f t="shared" si="20"/>
        <v>2908</v>
      </c>
      <c r="AF95" s="37">
        <f t="shared" si="21"/>
        <v>5146.333333333333</v>
      </c>
      <c r="AG95" s="187"/>
      <c r="AH95" s="187"/>
      <c r="AI95" s="22"/>
      <c r="AJ95" s="44" t="s">
        <v>267</v>
      </c>
      <c r="AK95" s="37" t="s">
        <v>234</v>
      </c>
      <c r="AL95" s="37" t="str">
        <f t="shared" si="22"/>
        <v>Pittsburgh Retail</v>
      </c>
      <c r="AM95" s="45">
        <f t="shared" si="23"/>
        <v>0.47</v>
      </c>
      <c r="AN95" s="45">
        <f t="shared" si="24"/>
        <v>0.47</v>
      </c>
      <c r="AO95" s="45">
        <f t="shared" si="25"/>
        <v>0.28000000000000003</v>
      </c>
      <c r="AP95" s="45">
        <f t="shared" si="26"/>
        <v>0</v>
      </c>
      <c r="AQ95" s="45">
        <f t="shared" si="27"/>
        <v>0.54</v>
      </c>
    </row>
    <row r="96" spans="25:43" ht="15.75" thickBot="1" x14ac:dyDescent="0.3">
      <c r="Y96" s="44" t="s">
        <v>267</v>
      </c>
      <c r="Z96" s="37" t="s">
        <v>236</v>
      </c>
      <c r="AA96" s="37" t="str">
        <f t="shared" si="16"/>
        <v>Pittsburgh Warehouse - Other</v>
      </c>
      <c r="AB96" s="37" t="e">
        <f t="shared" si="17"/>
        <v>#N/A</v>
      </c>
      <c r="AC96" s="37" t="e">
        <f t="shared" si="18"/>
        <v>#N/A</v>
      </c>
      <c r="AD96" s="37" t="e">
        <f t="shared" si="19"/>
        <v>#N/A</v>
      </c>
      <c r="AE96" s="37" t="e">
        <f t="shared" si="20"/>
        <v>#N/A</v>
      </c>
      <c r="AF96" s="37">
        <f t="shared" si="21"/>
        <v>5110</v>
      </c>
      <c r="AG96" s="187"/>
      <c r="AH96" s="187"/>
      <c r="AI96" s="22"/>
      <c r="AJ96" s="44" t="s">
        <v>267</v>
      </c>
      <c r="AK96" s="37" t="s">
        <v>236</v>
      </c>
      <c r="AL96" s="37" t="str">
        <f t="shared" si="22"/>
        <v>Pittsburgh Warehouse - Other</v>
      </c>
      <c r="AM96" s="45" t="e">
        <f t="shared" si="23"/>
        <v>#N/A</v>
      </c>
      <c r="AN96" s="45" t="e">
        <f t="shared" si="24"/>
        <v>#N/A</v>
      </c>
      <c r="AO96" s="45" t="e">
        <f t="shared" si="25"/>
        <v>#N/A</v>
      </c>
      <c r="AP96" s="45" t="e">
        <f t="shared" si="26"/>
        <v>#N/A</v>
      </c>
      <c r="AQ96" s="45">
        <f t="shared" si="27"/>
        <v>0.23</v>
      </c>
    </row>
    <row r="97" spans="25:43" ht="15.75" thickBot="1" x14ac:dyDescent="0.3">
      <c r="Y97" s="44" t="s">
        <v>267</v>
      </c>
      <c r="Z97" s="37" t="s">
        <v>238</v>
      </c>
      <c r="AA97" s="37" t="str">
        <f t="shared" si="16"/>
        <v>Pittsburgh Warehouse - Refrigerated</v>
      </c>
      <c r="AB97" s="37" t="e">
        <f t="shared" si="17"/>
        <v>#N/A</v>
      </c>
      <c r="AC97" s="37" t="e">
        <f t="shared" si="18"/>
        <v>#N/A</v>
      </c>
      <c r="AD97" s="37" t="e">
        <f t="shared" si="19"/>
        <v>#N/A</v>
      </c>
      <c r="AE97" s="37" t="e">
        <f t="shared" si="20"/>
        <v>#N/A</v>
      </c>
      <c r="AF97" s="37">
        <f t="shared" si="21"/>
        <v>4041</v>
      </c>
      <c r="AG97" s="187"/>
      <c r="AH97" s="187"/>
      <c r="AI97" s="22"/>
      <c r="AJ97" s="44" t="s">
        <v>267</v>
      </c>
      <c r="AK97" s="37" t="s">
        <v>238</v>
      </c>
      <c r="AL97" s="37" t="str">
        <f t="shared" si="22"/>
        <v>Pittsburgh Warehouse - Refrigerated</v>
      </c>
      <c r="AM97" s="45" t="e">
        <f t="shared" si="23"/>
        <v>#N/A</v>
      </c>
      <c r="AN97" s="45" t="e">
        <f t="shared" si="24"/>
        <v>#N/A</v>
      </c>
      <c r="AO97" s="45" t="e">
        <f t="shared" si="25"/>
        <v>#N/A</v>
      </c>
      <c r="AP97" s="45" t="e">
        <f t="shared" si="26"/>
        <v>#N/A</v>
      </c>
      <c r="AQ97" s="45">
        <f t="shared" si="27"/>
        <v>0.51</v>
      </c>
    </row>
    <row r="98" spans="25:43" ht="15.75" thickBot="1" x14ac:dyDescent="0.3">
      <c r="Y98" s="44" t="s">
        <v>268</v>
      </c>
      <c r="Z98" s="37" t="s">
        <v>206</v>
      </c>
      <c r="AA98" s="37" t="str">
        <f t="shared" si="16"/>
        <v>Scranton Education - College/University</v>
      </c>
      <c r="AB98" s="37">
        <f t="shared" si="17"/>
        <v>3827.5</v>
      </c>
      <c r="AC98" s="37">
        <f t="shared" si="18"/>
        <v>3826.5</v>
      </c>
      <c r="AD98" s="37">
        <f t="shared" si="19"/>
        <v>5353</v>
      </c>
      <c r="AE98" s="37" t="e">
        <f t="shared" si="20"/>
        <v>#REF!</v>
      </c>
      <c r="AF98" s="37">
        <f t="shared" si="21"/>
        <v>5876</v>
      </c>
      <c r="AG98" s="187"/>
      <c r="AH98" s="187"/>
      <c r="AI98" s="22"/>
      <c r="AJ98" s="44" t="s">
        <v>268</v>
      </c>
      <c r="AK98" s="37" t="s">
        <v>206</v>
      </c>
      <c r="AL98" s="37" t="str">
        <f t="shared" si="22"/>
        <v>Scranton Education - College/University</v>
      </c>
      <c r="AM98" s="45">
        <f t="shared" si="23"/>
        <v>0.32999999999999996</v>
      </c>
      <c r="AN98" s="45">
        <f t="shared" si="24"/>
        <v>0.32999999999999996</v>
      </c>
      <c r="AO98" s="45">
        <f t="shared" si="25"/>
        <v>0.59</v>
      </c>
      <c r="AP98" s="45">
        <f t="shared" si="26"/>
        <v>5.0000000000000001E-3</v>
      </c>
      <c r="AQ98" s="45">
        <f t="shared" si="27"/>
        <v>0.38</v>
      </c>
    </row>
    <row r="99" spans="25:43" ht="15.75" thickBot="1" x14ac:dyDescent="0.3">
      <c r="Y99" s="44" t="s">
        <v>268</v>
      </c>
      <c r="Z99" s="37" t="s">
        <v>211</v>
      </c>
      <c r="AA99" s="37" t="str">
        <f t="shared" si="16"/>
        <v>Scranton Education - Other</v>
      </c>
      <c r="AB99" s="37">
        <f t="shared" si="17"/>
        <v>2310</v>
      </c>
      <c r="AC99" s="37">
        <f t="shared" si="18"/>
        <v>2313</v>
      </c>
      <c r="AD99" s="37">
        <f t="shared" si="19"/>
        <v>1558</v>
      </c>
      <c r="AE99" s="37" t="e">
        <f t="shared" si="20"/>
        <v>#REF!</v>
      </c>
      <c r="AF99" s="37">
        <f t="shared" si="21"/>
        <v>4490.333333333333</v>
      </c>
      <c r="AG99" s="187"/>
      <c r="AH99" s="187"/>
      <c r="AI99" s="22"/>
      <c r="AJ99" s="44" t="s">
        <v>268</v>
      </c>
      <c r="AK99" s="37" t="s">
        <v>211</v>
      </c>
      <c r="AL99" s="37" t="str">
        <f t="shared" si="22"/>
        <v>Scranton Education - Other</v>
      </c>
      <c r="AM99" s="45">
        <f t="shared" si="23"/>
        <v>0.12</v>
      </c>
      <c r="AN99" s="45">
        <f t="shared" si="24"/>
        <v>0.12</v>
      </c>
      <c r="AO99" s="45">
        <f t="shared" si="25"/>
        <v>0.48</v>
      </c>
      <c r="AP99" s="45">
        <f t="shared" si="26"/>
        <v>0</v>
      </c>
      <c r="AQ99" s="45">
        <f t="shared" si="27"/>
        <v>0.12333333333333334</v>
      </c>
    </row>
    <row r="100" spans="25:43" ht="15.75" thickBot="1" x14ac:dyDescent="0.3">
      <c r="Y100" s="44" t="s">
        <v>268</v>
      </c>
      <c r="Z100" s="37" t="s">
        <v>222</v>
      </c>
      <c r="AA100" s="37" t="str">
        <f t="shared" si="16"/>
        <v>Scranton Grocery</v>
      </c>
      <c r="AB100" s="37" t="e">
        <f t="shared" si="17"/>
        <v>#N/A</v>
      </c>
      <c r="AC100" s="37" t="e">
        <f t="shared" si="18"/>
        <v>#N/A</v>
      </c>
      <c r="AD100" s="37" t="e">
        <f t="shared" si="19"/>
        <v>#N/A</v>
      </c>
      <c r="AE100" s="37" t="e">
        <f t="shared" si="20"/>
        <v>#N/A</v>
      </c>
      <c r="AF100" s="37">
        <f t="shared" si="21"/>
        <v>6725</v>
      </c>
      <c r="AG100" s="187"/>
      <c r="AH100" s="187"/>
      <c r="AI100" s="22"/>
      <c r="AJ100" s="44" t="s">
        <v>268</v>
      </c>
      <c r="AK100" s="37" t="s">
        <v>222</v>
      </c>
      <c r="AL100" s="37" t="str">
        <f t="shared" si="22"/>
        <v>Scranton Grocery</v>
      </c>
      <c r="AM100" s="45" t="e">
        <f t="shared" si="23"/>
        <v>#N/A</v>
      </c>
      <c r="AN100" s="45" t="e">
        <f t="shared" si="24"/>
        <v>#N/A</v>
      </c>
      <c r="AO100" s="45" t="e">
        <f t="shared" si="25"/>
        <v>#N/A</v>
      </c>
      <c r="AP100" s="45" t="e">
        <f t="shared" si="26"/>
        <v>#N/A</v>
      </c>
      <c r="AQ100" s="45">
        <f t="shared" si="27"/>
        <v>0.21</v>
      </c>
    </row>
    <row r="101" spans="25:43" ht="15.75" thickBot="1" x14ac:dyDescent="0.3">
      <c r="Y101" s="44" t="s">
        <v>268</v>
      </c>
      <c r="Z101" s="37" t="s">
        <v>223</v>
      </c>
      <c r="AA101" s="37" t="str">
        <f t="shared" si="16"/>
        <v>Scranton Health - Hospital</v>
      </c>
      <c r="AB101" s="37">
        <f t="shared" si="17"/>
        <v>5266</v>
      </c>
      <c r="AC101" s="37">
        <f t="shared" si="18"/>
        <v>5263</v>
      </c>
      <c r="AD101" s="37">
        <f t="shared" si="19"/>
        <v>1630.5</v>
      </c>
      <c r="AE101" s="37" t="e">
        <f t="shared" si="20"/>
        <v>#REF!</v>
      </c>
      <c r="AF101" s="37">
        <f t="shared" si="21"/>
        <v>8760</v>
      </c>
      <c r="AG101" s="187"/>
      <c r="AH101" s="187"/>
      <c r="AI101" s="22"/>
      <c r="AJ101" s="44" t="s">
        <v>268</v>
      </c>
      <c r="AK101" s="37" t="s">
        <v>223</v>
      </c>
      <c r="AL101" s="37" t="str">
        <f t="shared" si="22"/>
        <v>Scranton Health - Hospital</v>
      </c>
      <c r="AM101" s="45">
        <f t="shared" si="23"/>
        <v>0.44</v>
      </c>
      <c r="AN101" s="45">
        <f t="shared" si="24"/>
        <v>0.44</v>
      </c>
      <c r="AO101" s="45">
        <f t="shared" si="25"/>
        <v>0.29000000000000004</v>
      </c>
      <c r="AP101" s="45">
        <f t="shared" si="26"/>
        <v>0.09</v>
      </c>
      <c r="AQ101" s="45">
        <f t="shared" si="27"/>
        <v>0.4</v>
      </c>
    </row>
    <row r="102" spans="25:43" ht="15.75" thickBot="1" x14ac:dyDescent="0.3">
      <c r="Y102" s="44" t="s">
        <v>268</v>
      </c>
      <c r="Z102" s="37" t="s">
        <v>224</v>
      </c>
      <c r="AA102" s="37" t="str">
        <f t="shared" si="16"/>
        <v>Scranton Health - Other</v>
      </c>
      <c r="AB102" s="37">
        <f t="shared" si="17"/>
        <v>3710</v>
      </c>
      <c r="AC102" s="37">
        <f t="shared" si="18"/>
        <v>3711</v>
      </c>
      <c r="AD102" s="37">
        <f t="shared" si="19"/>
        <v>2702</v>
      </c>
      <c r="AE102" s="37" t="e">
        <f t="shared" si="20"/>
        <v>#REF!</v>
      </c>
      <c r="AF102" s="37">
        <f t="shared" si="21"/>
        <v>8760</v>
      </c>
      <c r="AG102" s="187"/>
      <c r="AH102" s="187"/>
      <c r="AI102" s="22"/>
      <c r="AJ102" s="44" t="s">
        <v>268</v>
      </c>
      <c r="AK102" s="37" t="s">
        <v>224</v>
      </c>
      <c r="AL102" s="37" t="str">
        <f t="shared" si="22"/>
        <v>Scranton Health - Other</v>
      </c>
      <c r="AM102" s="45">
        <f t="shared" si="23"/>
        <v>0.23</v>
      </c>
      <c r="AN102" s="45">
        <f t="shared" si="24"/>
        <v>0.23</v>
      </c>
      <c r="AO102" s="45">
        <f t="shared" si="25"/>
        <v>0.42</v>
      </c>
      <c r="AP102" s="45">
        <f t="shared" si="26"/>
        <v>0</v>
      </c>
      <c r="AQ102" s="45">
        <f t="shared" si="27"/>
        <v>0.25</v>
      </c>
    </row>
    <row r="103" spans="25:43" ht="15.75" thickBot="1" x14ac:dyDescent="0.3">
      <c r="Y103" s="44" t="s">
        <v>268</v>
      </c>
      <c r="Z103" s="37" t="s">
        <v>225</v>
      </c>
      <c r="AA103" s="37" t="str">
        <f t="shared" si="16"/>
        <v>Scranton Industrial Manufacturing</v>
      </c>
      <c r="AB103" s="37">
        <f t="shared" si="17"/>
        <v>1558</v>
      </c>
      <c r="AC103" s="37">
        <f t="shared" si="18"/>
        <v>1558</v>
      </c>
      <c r="AD103" s="37">
        <f t="shared" si="19"/>
        <v>3500</v>
      </c>
      <c r="AE103" s="37" t="e">
        <f t="shared" si="20"/>
        <v>#REF!</v>
      </c>
      <c r="AF103" s="37">
        <f t="shared" si="21"/>
        <v>3901.5</v>
      </c>
      <c r="AG103" s="187"/>
      <c r="AH103" s="187"/>
      <c r="AI103" s="22"/>
      <c r="AJ103" s="44" t="s">
        <v>268</v>
      </c>
      <c r="AK103" s="37" t="s">
        <v>225</v>
      </c>
      <c r="AL103" s="37" t="str">
        <f t="shared" si="22"/>
        <v>Scranton Industrial Manufacturing</v>
      </c>
      <c r="AM103" s="45">
        <f t="shared" si="23"/>
        <v>0.48</v>
      </c>
      <c r="AN103" s="45">
        <f t="shared" si="24"/>
        <v>0.48</v>
      </c>
      <c r="AO103" s="45">
        <f t="shared" si="25"/>
        <v>0.32999999999999996</v>
      </c>
      <c r="AP103" s="45">
        <f t="shared" si="26"/>
        <v>0</v>
      </c>
      <c r="AQ103" s="45">
        <f t="shared" si="27"/>
        <v>0.43</v>
      </c>
    </row>
    <row r="104" spans="25:43" ht="15.75" thickBot="1" x14ac:dyDescent="0.3">
      <c r="Y104" s="44" t="s">
        <v>268</v>
      </c>
      <c r="Z104" s="37" t="s">
        <v>226</v>
      </c>
      <c r="AA104" s="37" t="str">
        <f t="shared" si="16"/>
        <v>Scranton Institutional/Public Service</v>
      </c>
      <c r="AB104" s="37" t="e">
        <f t="shared" si="17"/>
        <v>#N/A</v>
      </c>
      <c r="AC104" s="37" t="e">
        <f t="shared" si="18"/>
        <v>#N/A</v>
      </c>
      <c r="AD104" s="37" t="e">
        <f t="shared" si="19"/>
        <v>#N/A</v>
      </c>
      <c r="AE104" s="37" t="e">
        <f t="shared" si="20"/>
        <v>#N/A</v>
      </c>
      <c r="AF104" s="37">
        <f t="shared" si="21"/>
        <v>5207</v>
      </c>
      <c r="AG104" s="187"/>
      <c r="AH104" s="187"/>
      <c r="AI104" s="22"/>
      <c r="AJ104" s="44" t="s">
        <v>268</v>
      </c>
      <c r="AK104" s="37" t="s">
        <v>226</v>
      </c>
      <c r="AL104" s="37" t="str">
        <f t="shared" si="22"/>
        <v>Scranton Institutional/Public Service</v>
      </c>
      <c r="AM104" s="45" t="e">
        <f t="shared" si="23"/>
        <v>#N/A</v>
      </c>
      <c r="AN104" s="45" t="e">
        <f t="shared" si="24"/>
        <v>#N/A</v>
      </c>
      <c r="AO104" s="45" t="e">
        <f t="shared" si="25"/>
        <v>#N/A</v>
      </c>
      <c r="AP104" s="45" t="e">
        <f t="shared" si="26"/>
        <v>#N/A</v>
      </c>
      <c r="AQ104" s="45">
        <f t="shared" si="27"/>
        <v>0.47</v>
      </c>
    </row>
    <row r="105" spans="25:43" ht="15.75" thickBot="1" x14ac:dyDescent="0.3">
      <c r="Y105" s="44" t="s">
        <v>268</v>
      </c>
      <c r="Z105" s="37" t="s">
        <v>228</v>
      </c>
      <c r="AA105" s="37" t="str">
        <f t="shared" si="16"/>
        <v>Scranton Lodging</v>
      </c>
      <c r="AB105" s="37">
        <f t="shared" si="17"/>
        <v>5655</v>
      </c>
      <c r="AC105" s="37">
        <f t="shared" si="18"/>
        <v>5652</v>
      </c>
      <c r="AD105" s="37">
        <f t="shared" si="19"/>
        <v>2164</v>
      </c>
      <c r="AE105" s="37" t="e">
        <f t="shared" si="20"/>
        <v>#REF!</v>
      </c>
      <c r="AF105" s="37">
        <f t="shared" si="21"/>
        <v>8760</v>
      </c>
      <c r="AG105" s="187"/>
      <c r="AH105" s="187"/>
      <c r="AI105" s="22"/>
      <c r="AJ105" s="44" t="s">
        <v>268</v>
      </c>
      <c r="AK105" s="37" t="s">
        <v>228</v>
      </c>
      <c r="AL105" s="37" t="str">
        <f t="shared" si="22"/>
        <v>Scranton Lodging</v>
      </c>
      <c r="AM105" s="45">
        <f t="shared" si="23"/>
        <v>0.59</v>
      </c>
      <c r="AN105" s="45">
        <f t="shared" si="24"/>
        <v>0.59</v>
      </c>
      <c r="AO105" s="45">
        <f t="shared" si="25"/>
        <v>0.12</v>
      </c>
      <c r="AP105" s="45">
        <f t="shared" si="26"/>
        <v>0</v>
      </c>
      <c r="AQ105" s="45">
        <f t="shared" si="27"/>
        <v>0.65</v>
      </c>
    </row>
    <row r="106" spans="25:43" ht="15.75" thickBot="1" x14ac:dyDescent="0.3">
      <c r="Y106" s="44" t="s">
        <v>268</v>
      </c>
      <c r="Z106" s="37" t="s">
        <v>230</v>
      </c>
      <c r="AA106" s="37" t="str">
        <f t="shared" si="16"/>
        <v>Scranton Office</v>
      </c>
      <c r="AB106" s="37">
        <f t="shared" si="17"/>
        <v>1637.5</v>
      </c>
      <c r="AC106" s="37">
        <f t="shared" si="18"/>
        <v>1637.5</v>
      </c>
      <c r="AD106" s="37">
        <f t="shared" si="19"/>
        <v>3713</v>
      </c>
      <c r="AE106" s="37" t="e">
        <f t="shared" si="20"/>
        <v>#REF!</v>
      </c>
      <c r="AF106" s="37">
        <f t="shared" si="21"/>
        <v>4227.5</v>
      </c>
      <c r="AG106" s="187"/>
      <c r="AH106" s="187"/>
      <c r="AI106" s="22"/>
      <c r="AJ106" s="44" t="s">
        <v>268</v>
      </c>
      <c r="AK106" s="37" t="s">
        <v>230</v>
      </c>
      <c r="AL106" s="37" t="str">
        <f t="shared" si="22"/>
        <v>Scranton Office</v>
      </c>
      <c r="AM106" s="45">
        <f t="shared" si="23"/>
        <v>0.29000000000000004</v>
      </c>
      <c r="AN106" s="45">
        <f t="shared" si="24"/>
        <v>0.29000000000000004</v>
      </c>
      <c r="AO106" s="45">
        <f t="shared" si="25"/>
        <v>0.44</v>
      </c>
      <c r="AP106" s="45">
        <f t="shared" si="26"/>
        <v>0</v>
      </c>
      <c r="AQ106" s="45">
        <f t="shared" si="27"/>
        <v>0.32</v>
      </c>
    </row>
    <row r="107" spans="25:43" ht="15.75" thickBot="1" x14ac:dyDescent="0.3">
      <c r="Y107" s="44" t="s">
        <v>268</v>
      </c>
      <c r="Z107" s="37" t="s">
        <v>232</v>
      </c>
      <c r="AA107" s="37" t="str">
        <f t="shared" si="16"/>
        <v>Scranton Restaurant</v>
      </c>
      <c r="AB107" s="37" t="e">
        <f t="shared" si="17"/>
        <v>#N/A</v>
      </c>
      <c r="AC107" s="37" t="e">
        <f t="shared" si="18"/>
        <v>#N/A</v>
      </c>
      <c r="AD107" s="37" t="e">
        <f t="shared" si="19"/>
        <v>#N/A</v>
      </c>
      <c r="AE107" s="37" t="e">
        <f t="shared" si="20"/>
        <v>#N/A</v>
      </c>
      <c r="AF107" s="37">
        <f t="shared" si="21"/>
        <v>6315</v>
      </c>
      <c r="AG107" s="187"/>
      <c r="AH107" s="187"/>
      <c r="AI107" s="22"/>
      <c r="AJ107" s="44" t="s">
        <v>268</v>
      </c>
      <c r="AK107" s="37" t="s">
        <v>232</v>
      </c>
      <c r="AL107" s="37" t="str">
        <f t="shared" si="22"/>
        <v>Scranton Restaurant</v>
      </c>
      <c r="AM107" s="45" t="e">
        <f t="shared" si="23"/>
        <v>#N/A</v>
      </c>
      <c r="AN107" s="45" t="e">
        <f t="shared" si="24"/>
        <v>#N/A</v>
      </c>
      <c r="AO107" s="45" t="e">
        <f t="shared" si="25"/>
        <v>#N/A</v>
      </c>
      <c r="AP107" s="45" t="e">
        <f t="shared" si="26"/>
        <v>#N/A</v>
      </c>
      <c r="AQ107" s="45">
        <f t="shared" si="27"/>
        <v>0.39</v>
      </c>
    </row>
    <row r="108" spans="25:43" ht="15.75" thickBot="1" x14ac:dyDescent="0.3">
      <c r="Y108" s="44" t="s">
        <v>268</v>
      </c>
      <c r="Z108" s="37" t="s">
        <v>234</v>
      </c>
      <c r="AA108" s="37" t="str">
        <f t="shared" si="16"/>
        <v>Scranton Retail</v>
      </c>
      <c r="AB108" s="37">
        <f t="shared" si="17"/>
        <v>2735</v>
      </c>
      <c r="AC108" s="37">
        <f t="shared" si="18"/>
        <v>2736</v>
      </c>
      <c r="AD108" s="37">
        <f t="shared" si="19"/>
        <v>3687</v>
      </c>
      <c r="AE108" s="37" t="e">
        <f t="shared" si="20"/>
        <v>#REF!</v>
      </c>
      <c r="AF108" s="37">
        <f t="shared" si="21"/>
        <v>5148.666666666667</v>
      </c>
      <c r="AG108" s="187"/>
      <c r="AH108" s="187"/>
      <c r="AI108" s="22"/>
      <c r="AJ108" s="44" t="s">
        <v>268</v>
      </c>
      <c r="AK108" s="37" t="s">
        <v>234</v>
      </c>
      <c r="AL108" s="37" t="str">
        <f t="shared" si="22"/>
        <v>Scranton Retail</v>
      </c>
      <c r="AM108" s="45">
        <f t="shared" si="23"/>
        <v>0.42</v>
      </c>
      <c r="AN108" s="45">
        <f t="shared" si="24"/>
        <v>0.42</v>
      </c>
      <c r="AO108" s="45">
        <f t="shared" si="25"/>
        <v>0.23</v>
      </c>
      <c r="AP108" s="45">
        <f t="shared" si="26"/>
        <v>0</v>
      </c>
      <c r="AQ108" s="45">
        <f t="shared" si="27"/>
        <v>0.45333333333333331</v>
      </c>
    </row>
    <row r="109" spans="25:43" ht="15.75" thickBot="1" x14ac:dyDescent="0.3">
      <c r="Y109" s="44" t="s">
        <v>268</v>
      </c>
      <c r="Z109" s="37" t="s">
        <v>236</v>
      </c>
      <c r="AA109" s="37" t="str">
        <f t="shared" si="16"/>
        <v>Scranton Warehouse - Other</v>
      </c>
      <c r="AB109" s="37" t="e">
        <f t="shared" si="17"/>
        <v>#N/A</v>
      </c>
      <c r="AC109" s="37" t="e">
        <f t="shared" si="18"/>
        <v>#N/A</v>
      </c>
      <c r="AD109" s="37" t="e">
        <f t="shared" si="19"/>
        <v>#N/A</v>
      </c>
      <c r="AE109" s="37" t="e">
        <f t="shared" si="20"/>
        <v>#N/A</v>
      </c>
      <c r="AF109" s="37">
        <f t="shared" si="21"/>
        <v>5188</v>
      </c>
      <c r="AG109" s="187"/>
      <c r="AH109" s="187"/>
      <c r="AI109" s="22"/>
      <c r="AJ109" s="44" t="s">
        <v>268</v>
      </c>
      <c r="AK109" s="37" t="s">
        <v>236</v>
      </c>
      <c r="AL109" s="37" t="str">
        <f t="shared" si="22"/>
        <v>Scranton Warehouse - Other</v>
      </c>
      <c r="AM109" s="45" t="e">
        <f t="shared" si="23"/>
        <v>#N/A</v>
      </c>
      <c r="AN109" s="45" t="e">
        <f t="shared" si="24"/>
        <v>#N/A</v>
      </c>
      <c r="AO109" s="45" t="e">
        <f t="shared" si="25"/>
        <v>#N/A</v>
      </c>
      <c r="AP109" s="45" t="e">
        <f t="shared" si="26"/>
        <v>#N/A</v>
      </c>
      <c r="AQ109" s="45">
        <f t="shared" si="27"/>
        <v>0.15</v>
      </c>
    </row>
    <row r="110" spans="25:43" ht="15.75" thickBot="1" x14ac:dyDescent="0.3">
      <c r="Y110" s="44" t="s">
        <v>268</v>
      </c>
      <c r="Z110" s="37" t="s">
        <v>238</v>
      </c>
      <c r="AA110" s="37" t="str">
        <f t="shared" si="16"/>
        <v>Scranton Warehouse - Refrigerated</v>
      </c>
      <c r="AB110" s="37" t="e">
        <f t="shared" si="17"/>
        <v>#N/A</v>
      </c>
      <c r="AC110" s="37" t="e">
        <f t="shared" si="18"/>
        <v>#N/A</v>
      </c>
      <c r="AD110" s="37" t="e">
        <f t="shared" si="19"/>
        <v>#N/A</v>
      </c>
      <c r="AE110" s="37" t="e">
        <f t="shared" si="20"/>
        <v>#N/A</v>
      </c>
      <c r="AF110" s="37">
        <f t="shared" si="21"/>
        <v>4041</v>
      </c>
      <c r="AG110" s="187"/>
      <c r="AH110" s="187"/>
      <c r="AI110" s="22"/>
      <c r="AJ110" s="44" t="s">
        <v>268</v>
      </c>
      <c r="AK110" s="37" t="s">
        <v>238</v>
      </c>
      <c r="AL110" s="37" t="str">
        <f t="shared" si="22"/>
        <v>Scranton Warehouse - Refrigerated</v>
      </c>
      <c r="AM110" s="45" t="e">
        <f t="shared" si="23"/>
        <v>#N/A</v>
      </c>
      <c r="AN110" s="45" t="e">
        <f t="shared" si="24"/>
        <v>#N/A</v>
      </c>
      <c r="AO110" s="45" t="e">
        <f t="shared" si="25"/>
        <v>#N/A</v>
      </c>
      <c r="AP110" s="45" t="e">
        <f t="shared" si="26"/>
        <v>#N/A</v>
      </c>
      <c r="AQ110" s="45">
        <f t="shared" si="27"/>
        <v>0.48</v>
      </c>
    </row>
    <row r="111" spans="25:43" ht="15.75" thickBot="1" x14ac:dyDescent="0.3">
      <c r="Y111" s="44" t="s">
        <v>268</v>
      </c>
      <c r="Z111" s="37" t="s">
        <v>206</v>
      </c>
      <c r="AA111" s="37" t="str">
        <f t="shared" si="16"/>
        <v>Scranton Education - College/University</v>
      </c>
      <c r="AB111" s="37">
        <f t="shared" si="17"/>
        <v>3827.5</v>
      </c>
      <c r="AC111" s="37">
        <f t="shared" si="18"/>
        <v>3826.5</v>
      </c>
      <c r="AD111" s="37">
        <f t="shared" si="19"/>
        <v>5353</v>
      </c>
      <c r="AE111" s="37" t="e">
        <f t="shared" si="20"/>
        <v>#REF!</v>
      </c>
      <c r="AF111" s="37">
        <f t="shared" si="21"/>
        <v>5876</v>
      </c>
      <c r="AG111" s="187"/>
      <c r="AH111" s="187"/>
      <c r="AI111" s="22"/>
      <c r="AJ111" s="44" t="s">
        <v>268</v>
      </c>
      <c r="AK111" s="37" t="s">
        <v>206</v>
      </c>
      <c r="AL111" s="37" t="str">
        <f t="shared" si="22"/>
        <v>Scranton Education - College/University</v>
      </c>
      <c r="AM111" s="45">
        <f t="shared" si="23"/>
        <v>0.32999999999999996</v>
      </c>
      <c r="AN111" s="45">
        <f t="shared" si="24"/>
        <v>0.32999999999999996</v>
      </c>
      <c r="AO111" s="45">
        <f t="shared" si="25"/>
        <v>0.59</v>
      </c>
      <c r="AP111" s="45">
        <f t="shared" si="26"/>
        <v>5.0000000000000001E-3</v>
      </c>
      <c r="AQ111" s="45">
        <f t="shared" si="27"/>
        <v>0.38</v>
      </c>
    </row>
    <row r="112" spans="25:43" ht="15.75" thickBot="1" x14ac:dyDescent="0.3">
      <c r="Y112" s="44" t="s">
        <v>268</v>
      </c>
      <c r="Z112" s="37" t="s">
        <v>211</v>
      </c>
      <c r="AA112" s="37" t="str">
        <f t="shared" si="16"/>
        <v>Scranton Education - Other</v>
      </c>
      <c r="AB112" s="37">
        <f t="shared" si="17"/>
        <v>2310</v>
      </c>
      <c r="AC112" s="37">
        <f t="shared" si="18"/>
        <v>2313</v>
      </c>
      <c r="AD112" s="37">
        <f t="shared" si="19"/>
        <v>1558</v>
      </c>
      <c r="AE112" s="37" t="e">
        <f t="shared" si="20"/>
        <v>#REF!</v>
      </c>
      <c r="AF112" s="37">
        <f t="shared" si="21"/>
        <v>4490.333333333333</v>
      </c>
      <c r="AG112" s="187"/>
      <c r="AH112" s="187"/>
      <c r="AI112" s="22"/>
      <c r="AJ112" s="44" t="s">
        <v>268</v>
      </c>
      <c r="AK112" s="37" t="s">
        <v>211</v>
      </c>
      <c r="AL112" s="37" t="str">
        <f t="shared" si="22"/>
        <v>Scranton Education - Other</v>
      </c>
      <c r="AM112" s="45">
        <f t="shared" si="23"/>
        <v>0.12</v>
      </c>
      <c r="AN112" s="45">
        <f t="shared" si="24"/>
        <v>0.12</v>
      </c>
      <c r="AO112" s="45">
        <f t="shared" si="25"/>
        <v>0.48</v>
      </c>
      <c r="AP112" s="45">
        <f t="shared" si="26"/>
        <v>0</v>
      </c>
      <c r="AQ112" s="45">
        <f t="shared" si="27"/>
        <v>0.12333333333333334</v>
      </c>
    </row>
    <row r="113" spans="25:43" ht="15.75" thickBot="1" x14ac:dyDescent="0.3">
      <c r="Y113" s="44" t="s">
        <v>268</v>
      </c>
      <c r="Z113" s="37" t="s">
        <v>222</v>
      </c>
      <c r="AA113" s="37" t="str">
        <f t="shared" si="16"/>
        <v>Scranton Grocery</v>
      </c>
      <c r="AB113" s="37" t="e">
        <f t="shared" si="17"/>
        <v>#N/A</v>
      </c>
      <c r="AC113" s="37" t="e">
        <f t="shared" si="18"/>
        <v>#N/A</v>
      </c>
      <c r="AD113" s="37" t="e">
        <f t="shared" si="19"/>
        <v>#N/A</v>
      </c>
      <c r="AE113" s="37" t="e">
        <f t="shared" si="20"/>
        <v>#N/A</v>
      </c>
      <c r="AF113" s="37">
        <f t="shared" si="21"/>
        <v>6725</v>
      </c>
      <c r="AG113" s="187"/>
      <c r="AH113" s="187"/>
      <c r="AI113" s="22"/>
      <c r="AJ113" s="44" t="s">
        <v>268</v>
      </c>
      <c r="AK113" s="37" t="s">
        <v>222</v>
      </c>
      <c r="AL113" s="37" t="str">
        <f t="shared" si="22"/>
        <v>Scranton Grocery</v>
      </c>
      <c r="AM113" s="45" t="e">
        <f t="shared" si="23"/>
        <v>#N/A</v>
      </c>
      <c r="AN113" s="45" t="e">
        <f t="shared" si="24"/>
        <v>#N/A</v>
      </c>
      <c r="AO113" s="45" t="e">
        <f t="shared" si="25"/>
        <v>#N/A</v>
      </c>
      <c r="AP113" s="45" t="e">
        <f t="shared" si="26"/>
        <v>#N/A</v>
      </c>
      <c r="AQ113" s="45">
        <f t="shared" si="27"/>
        <v>0.21</v>
      </c>
    </row>
    <row r="114" spans="25:43" ht="15.75" thickBot="1" x14ac:dyDescent="0.3">
      <c r="Y114" s="44" t="s">
        <v>268</v>
      </c>
      <c r="Z114" s="37" t="s">
        <v>223</v>
      </c>
      <c r="AA114" s="37" t="str">
        <f t="shared" si="16"/>
        <v>Scranton Health - Hospital</v>
      </c>
      <c r="AB114" s="37">
        <f t="shared" si="17"/>
        <v>5266</v>
      </c>
      <c r="AC114" s="37">
        <f t="shared" si="18"/>
        <v>5263</v>
      </c>
      <c r="AD114" s="37">
        <f t="shared" si="19"/>
        <v>1630.5</v>
      </c>
      <c r="AE114" s="37" t="e">
        <f t="shared" si="20"/>
        <v>#REF!</v>
      </c>
      <c r="AF114" s="37">
        <f t="shared" si="21"/>
        <v>8760</v>
      </c>
      <c r="AG114" s="187"/>
      <c r="AH114" s="187"/>
      <c r="AI114" s="22"/>
      <c r="AJ114" s="44" t="s">
        <v>268</v>
      </c>
      <c r="AK114" s="37" t="s">
        <v>223</v>
      </c>
      <c r="AL114" s="37" t="str">
        <f t="shared" si="22"/>
        <v>Scranton Health - Hospital</v>
      </c>
      <c r="AM114" s="45">
        <f t="shared" si="23"/>
        <v>0.44</v>
      </c>
      <c r="AN114" s="45">
        <f t="shared" si="24"/>
        <v>0.44</v>
      </c>
      <c r="AO114" s="45">
        <f t="shared" si="25"/>
        <v>0.29000000000000004</v>
      </c>
      <c r="AP114" s="45">
        <f t="shared" si="26"/>
        <v>0.09</v>
      </c>
      <c r="AQ114" s="45">
        <f t="shared" si="27"/>
        <v>0.4</v>
      </c>
    </row>
    <row r="115" spans="25:43" ht="15.75" thickBot="1" x14ac:dyDescent="0.3">
      <c r="Y115" s="44" t="s">
        <v>268</v>
      </c>
      <c r="Z115" s="37" t="s">
        <v>224</v>
      </c>
      <c r="AA115" s="37" t="str">
        <f t="shared" si="16"/>
        <v>Scranton Health - Other</v>
      </c>
      <c r="AB115" s="37">
        <f t="shared" si="17"/>
        <v>3710</v>
      </c>
      <c r="AC115" s="37">
        <f t="shared" si="18"/>
        <v>3711</v>
      </c>
      <c r="AD115" s="37">
        <f t="shared" si="19"/>
        <v>2702</v>
      </c>
      <c r="AE115" s="37" t="e">
        <f t="shared" si="20"/>
        <v>#REF!</v>
      </c>
      <c r="AF115" s="37">
        <f t="shared" si="21"/>
        <v>8760</v>
      </c>
      <c r="AG115" s="187"/>
      <c r="AH115" s="187"/>
      <c r="AI115" s="22"/>
      <c r="AJ115" s="44" t="s">
        <v>268</v>
      </c>
      <c r="AK115" s="37" t="s">
        <v>224</v>
      </c>
      <c r="AL115" s="37" t="str">
        <f t="shared" si="22"/>
        <v>Scranton Health - Other</v>
      </c>
      <c r="AM115" s="45">
        <f t="shared" si="23"/>
        <v>0.23</v>
      </c>
      <c r="AN115" s="45">
        <f t="shared" si="24"/>
        <v>0.23</v>
      </c>
      <c r="AO115" s="45">
        <f t="shared" si="25"/>
        <v>0.42</v>
      </c>
      <c r="AP115" s="45">
        <f t="shared" si="26"/>
        <v>0</v>
      </c>
      <c r="AQ115" s="45">
        <f t="shared" si="27"/>
        <v>0.25</v>
      </c>
    </row>
    <row r="116" spans="25:43" ht="15.75" thickBot="1" x14ac:dyDescent="0.3">
      <c r="Y116" s="44" t="s">
        <v>268</v>
      </c>
      <c r="Z116" s="37" t="s">
        <v>225</v>
      </c>
      <c r="AA116" s="37" t="str">
        <f t="shared" si="16"/>
        <v>Scranton Industrial Manufacturing</v>
      </c>
      <c r="AB116" s="37">
        <f t="shared" si="17"/>
        <v>1558</v>
      </c>
      <c r="AC116" s="37">
        <f t="shared" si="18"/>
        <v>1558</v>
      </c>
      <c r="AD116" s="37">
        <f t="shared" si="19"/>
        <v>3500</v>
      </c>
      <c r="AE116" s="37" t="e">
        <f t="shared" si="20"/>
        <v>#REF!</v>
      </c>
      <c r="AF116" s="37">
        <f t="shared" si="21"/>
        <v>3901.5</v>
      </c>
      <c r="AG116" s="187"/>
      <c r="AH116" s="187"/>
      <c r="AI116" s="22"/>
      <c r="AJ116" s="44" t="s">
        <v>268</v>
      </c>
      <c r="AK116" s="37" t="s">
        <v>225</v>
      </c>
      <c r="AL116" s="37" t="str">
        <f t="shared" si="22"/>
        <v>Scranton Industrial Manufacturing</v>
      </c>
      <c r="AM116" s="45">
        <f t="shared" si="23"/>
        <v>0.48</v>
      </c>
      <c r="AN116" s="45">
        <f t="shared" si="24"/>
        <v>0.48</v>
      </c>
      <c r="AO116" s="45">
        <f t="shared" si="25"/>
        <v>0.32999999999999996</v>
      </c>
      <c r="AP116" s="45">
        <f t="shared" si="26"/>
        <v>0</v>
      </c>
      <c r="AQ116" s="45">
        <f t="shared" si="27"/>
        <v>0.43</v>
      </c>
    </row>
    <row r="117" spans="25:43" ht="15.75" thickBot="1" x14ac:dyDescent="0.3">
      <c r="Y117" s="44" t="s">
        <v>268</v>
      </c>
      <c r="Z117" s="37" t="s">
        <v>226</v>
      </c>
      <c r="AA117" s="37" t="str">
        <f t="shared" si="16"/>
        <v>Scranton Institutional/Public Service</v>
      </c>
      <c r="AB117" s="37" t="e">
        <f t="shared" si="17"/>
        <v>#N/A</v>
      </c>
      <c r="AC117" s="37" t="e">
        <f t="shared" si="18"/>
        <v>#N/A</v>
      </c>
      <c r="AD117" s="37" t="e">
        <f t="shared" si="19"/>
        <v>#N/A</v>
      </c>
      <c r="AE117" s="37" t="e">
        <f t="shared" si="20"/>
        <v>#N/A</v>
      </c>
      <c r="AF117" s="37">
        <f t="shared" si="21"/>
        <v>5207</v>
      </c>
      <c r="AG117" s="187"/>
      <c r="AH117" s="187"/>
      <c r="AI117" s="22"/>
      <c r="AJ117" s="44" t="s">
        <v>268</v>
      </c>
      <c r="AK117" s="37" t="s">
        <v>226</v>
      </c>
      <c r="AL117" s="37" t="str">
        <f t="shared" si="22"/>
        <v>Scranton Institutional/Public Service</v>
      </c>
      <c r="AM117" s="45" t="e">
        <f t="shared" si="23"/>
        <v>#N/A</v>
      </c>
      <c r="AN117" s="45" t="e">
        <f t="shared" si="24"/>
        <v>#N/A</v>
      </c>
      <c r="AO117" s="45" t="e">
        <f t="shared" si="25"/>
        <v>#N/A</v>
      </c>
      <c r="AP117" s="45" t="e">
        <f t="shared" si="26"/>
        <v>#N/A</v>
      </c>
      <c r="AQ117" s="45">
        <f t="shared" si="27"/>
        <v>0.47</v>
      </c>
    </row>
    <row r="118" spans="25:43" ht="15.75" thickBot="1" x14ac:dyDescent="0.3">
      <c r="Y118" s="44" t="s">
        <v>268</v>
      </c>
      <c r="Z118" s="37" t="s">
        <v>228</v>
      </c>
      <c r="AA118" s="37" t="str">
        <f t="shared" si="16"/>
        <v>Scranton Lodging</v>
      </c>
      <c r="AB118" s="37">
        <f t="shared" si="17"/>
        <v>5655</v>
      </c>
      <c r="AC118" s="37">
        <f t="shared" si="18"/>
        <v>5652</v>
      </c>
      <c r="AD118" s="37">
        <f t="shared" si="19"/>
        <v>2164</v>
      </c>
      <c r="AE118" s="37" t="e">
        <f t="shared" si="20"/>
        <v>#REF!</v>
      </c>
      <c r="AF118" s="37">
        <f t="shared" si="21"/>
        <v>8760</v>
      </c>
      <c r="AG118" s="187"/>
      <c r="AH118" s="187"/>
      <c r="AI118" s="22"/>
      <c r="AJ118" s="44" t="s">
        <v>268</v>
      </c>
      <c r="AK118" s="37" t="s">
        <v>228</v>
      </c>
      <c r="AL118" s="37" t="str">
        <f t="shared" si="22"/>
        <v>Scranton Lodging</v>
      </c>
      <c r="AM118" s="45">
        <f t="shared" si="23"/>
        <v>0.59</v>
      </c>
      <c r="AN118" s="45">
        <f t="shared" si="24"/>
        <v>0.59</v>
      </c>
      <c r="AO118" s="45">
        <f t="shared" si="25"/>
        <v>0.12</v>
      </c>
      <c r="AP118" s="45">
        <f t="shared" si="26"/>
        <v>0</v>
      </c>
      <c r="AQ118" s="45">
        <f t="shared" si="27"/>
        <v>0.65</v>
      </c>
    </row>
    <row r="119" spans="25:43" ht="15.75" thickBot="1" x14ac:dyDescent="0.3">
      <c r="Y119" s="44" t="s">
        <v>268</v>
      </c>
      <c r="Z119" s="37" t="s">
        <v>230</v>
      </c>
      <c r="AA119" s="37" t="str">
        <f t="shared" si="16"/>
        <v>Scranton Office</v>
      </c>
      <c r="AB119" s="37">
        <f t="shared" si="17"/>
        <v>1637.5</v>
      </c>
      <c r="AC119" s="37">
        <f t="shared" si="18"/>
        <v>1637.5</v>
      </c>
      <c r="AD119" s="37">
        <f t="shared" si="19"/>
        <v>3713</v>
      </c>
      <c r="AE119" s="37" t="e">
        <f t="shared" si="20"/>
        <v>#REF!</v>
      </c>
      <c r="AF119" s="37">
        <f t="shared" si="21"/>
        <v>4227.5</v>
      </c>
      <c r="AG119" s="187"/>
      <c r="AH119" s="187"/>
      <c r="AI119" s="22"/>
      <c r="AJ119" s="44" t="s">
        <v>268</v>
      </c>
      <c r="AK119" s="37" t="s">
        <v>230</v>
      </c>
      <c r="AL119" s="37" t="str">
        <f t="shared" si="22"/>
        <v>Scranton Office</v>
      </c>
      <c r="AM119" s="45">
        <f t="shared" si="23"/>
        <v>0.29000000000000004</v>
      </c>
      <c r="AN119" s="45">
        <f t="shared" si="24"/>
        <v>0.29000000000000004</v>
      </c>
      <c r="AO119" s="45">
        <f t="shared" si="25"/>
        <v>0.44</v>
      </c>
      <c r="AP119" s="45">
        <f t="shared" si="26"/>
        <v>0</v>
      </c>
      <c r="AQ119" s="45">
        <f t="shared" si="27"/>
        <v>0.32</v>
      </c>
    </row>
    <row r="120" spans="25:43" ht="15.75" thickBot="1" x14ac:dyDescent="0.3">
      <c r="Y120" s="44" t="s">
        <v>268</v>
      </c>
      <c r="Z120" s="37" t="s">
        <v>232</v>
      </c>
      <c r="AA120" s="37" t="str">
        <f t="shared" si="16"/>
        <v>Scranton Restaurant</v>
      </c>
      <c r="AB120" s="37" t="e">
        <f t="shared" si="17"/>
        <v>#N/A</v>
      </c>
      <c r="AC120" s="37" t="e">
        <f t="shared" si="18"/>
        <v>#N/A</v>
      </c>
      <c r="AD120" s="37" t="e">
        <f t="shared" si="19"/>
        <v>#N/A</v>
      </c>
      <c r="AE120" s="37" t="e">
        <f t="shared" si="20"/>
        <v>#N/A</v>
      </c>
      <c r="AF120" s="37">
        <f t="shared" si="21"/>
        <v>6315</v>
      </c>
      <c r="AG120" s="187"/>
      <c r="AH120" s="187"/>
      <c r="AI120" s="22"/>
      <c r="AJ120" s="44" t="s">
        <v>268</v>
      </c>
      <c r="AK120" s="37" t="s">
        <v>232</v>
      </c>
      <c r="AL120" s="37" t="str">
        <f t="shared" si="22"/>
        <v>Scranton Restaurant</v>
      </c>
      <c r="AM120" s="45" t="e">
        <f t="shared" si="23"/>
        <v>#N/A</v>
      </c>
      <c r="AN120" s="45" t="e">
        <f t="shared" si="24"/>
        <v>#N/A</v>
      </c>
      <c r="AO120" s="45" t="e">
        <f t="shared" si="25"/>
        <v>#N/A</v>
      </c>
      <c r="AP120" s="45" t="e">
        <f t="shared" si="26"/>
        <v>#N/A</v>
      </c>
      <c r="AQ120" s="45">
        <f t="shared" si="27"/>
        <v>0.39</v>
      </c>
    </row>
    <row r="121" spans="25:43" ht="15.75" thickBot="1" x14ac:dyDescent="0.3">
      <c r="Y121" s="44" t="s">
        <v>268</v>
      </c>
      <c r="Z121" s="37" t="s">
        <v>234</v>
      </c>
      <c r="AA121" s="37" t="str">
        <f t="shared" si="16"/>
        <v>Scranton Retail</v>
      </c>
      <c r="AB121" s="37">
        <f t="shared" si="17"/>
        <v>2735</v>
      </c>
      <c r="AC121" s="37">
        <f t="shared" si="18"/>
        <v>2736</v>
      </c>
      <c r="AD121" s="37">
        <f t="shared" si="19"/>
        <v>3687</v>
      </c>
      <c r="AE121" s="37" t="e">
        <f t="shared" si="20"/>
        <v>#REF!</v>
      </c>
      <c r="AF121" s="37">
        <f t="shared" si="21"/>
        <v>5148.666666666667</v>
      </c>
      <c r="AG121" s="187"/>
      <c r="AH121" s="187"/>
      <c r="AI121" s="22"/>
      <c r="AJ121" s="44" t="s">
        <v>268</v>
      </c>
      <c r="AK121" s="37" t="s">
        <v>234</v>
      </c>
      <c r="AL121" s="37" t="str">
        <f t="shared" si="22"/>
        <v>Scranton Retail</v>
      </c>
      <c r="AM121" s="45">
        <f t="shared" si="23"/>
        <v>0.42</v>
      </c>
      <c r="AN121" s="45">
        <f t="shared" si="24"/>
        <v>0.42</v>
      </c>
      <c r="AO121" s="45">
        <f t="shared" si="25"/>
        <v>0.23</v>
      </c>
      <c r="AP121" s="45">
        <f t="shared" si="26"/>
        <v>0</v>
      </c>
      <c r="AQ121" s="45">
        <f t="shared" si="27"/>
        <v>0.45333333333333331</v>
      </c>
    </row>
    <row r="122" spans="25:43" ht="15.75" thickBot="1" x14ac:dyDescent="0.3">
      <c r="Y122" s="44" t="s">
        <v>268</v>
      </c>
      <c r="Z122" s="37" t="s">
        <v>236</v>
      </c>
      <c r="AA122" s="37" t="str">
        <f t="shared" si="16"/>
        <v>Scranton Warehouse - Other</v>
      </c>
      <c r="AB122" s="37" t="e">
        <f t="shared" si="17"/>
        <v>#N/A</v>
      </c>
      <c r="AC122" s="37" t="e">
        <f t="shared" si="18"/>
        <v>#N/A</v>
      </c>
      <c r="AD122" s="37" t="e">
        <f t="shared" si="19"/>
        <v>#N/A</v>
      </c>
      <c r="AE122" s="37" t="e">
        <f t="shared" si="20"/>
        <v>#N/A</v>
      </c>
      <c r="AF122" s="37">
        <f t="shared" si="21"/>
        <v>5188</v>
      </c>
      <c r="AG122" s="187"/>
      <c r="AH122" s="187"/>
      <c r="AI122" s="22"/>
      <c r="AJ122" s="44" t="s">
        <v>268</v>
      </c>
      <c r="AK122" s="37" t="s">
        <v>236</v>
      </c>
      <c r="AL122" s="37" t="str">
        <f t="shared" si="22"/>
        <v>Scranton Warehouse - Other</v>
      </c>
      <c r="AM122" s="45" t="e">
        <f t="shared" si="23"/>
        <v>#N/A</v>
      </c>
      <c r="AN122" s="45" t="e">
        <f t="shared" si="24"/>
        <v>#N/A</v>
      </c>
      <c r="AO122" s="45" t="e">
        <f t="shared" si="25"/>
        <v>#N/A</v>
      </c>
      <c r="AP122" s="45" t="e">
        <f t="shared" si="26"/>
        <v>#N/A</v>
      </c>
      <c r="AQ122" s="45">
        <f t="shared" si="27"/>
        <v>0.15</v>
      </c>
    </row>
    <row r="123" spans="25:43" ht="15.75" thickBot="1" x14ac:dyDescent="0.3">
      <c r="Y123" s="44" t="s">
        <v>268</v>
      </c>
      <c r="Z123" s="37" t="s">
        <v>238</v>
      </c>
      <c r="AA123" s="37" t="str">
        <f t="shared" si="16"/>
        <v>Scranton Warehouse - Refrigerated</v>
      </c>
      <c r="AB123" s="37" t="e">
        <f t="shared" si="17"/>
        <v>#N/A</v>
      </c>
      <c r="AC123" s="37" t="e">
        <f t="shared" si="18"/>
        <v>#N/A</v>
      </c>
      <c r="AD123" s="37" t="e">
        <f t="shared" si="19"/>
        <v>#N/A</v>
      </c>
      <c r="AE123" s="37" t="e">
        <f t="shared" si="20"/>
        <v>#N/A</v>
      </c>
      <c r="AF123" s="37">
        <f t="shared" si="21"/>
        <v>4041</v>
      </c>
      <c r="AG123" s="187"/>
      <c r="AH123" s="187"/>
      <c r="AI123" s="22"/>
      <c r="AJ123" s="44" t="s">
        <v>268</v>
      </c>
      <c r="AK123" s="37" t="s">
        <v>238</v>
      </c>
      <c r="AL123" s="37" t="str">
        <f t="shared" si="22"/>
        <v>Scranton Warehouse - Refrigerated</v>
      </c>
      <c r="AM123" s="45" t="e">
        <f t="shared" si="23"/>
        <v>#N/A</v>
      </c>
      <c r="AN123" s="45" t="e">
        <f t="shared" si="24"/>
        <v>#N/A</v>
      </c>
      <c r="AO123" s="45" t="e">
        <f t="shared" si="25"/>
        <v>#N/A</v>
      </c>
      <c r="AP123" s="45" t="e">
        <f t="shared" si="26"/>
        <v>#N/A</v>
      </c>
      <c r="AQ123" s="45">
        <f t="shared" si="27"/>
        <v>0.48</v>
      </c>
    </row>
    <row r="124" spans="25:43" ht="15.75" thickBot="1" x14ac:dyDescent="0.3">
      <c r="Y124" s="44" t="s">
        <v>308</v>
      </c>
      <c r="Z124" s="37" t="s">
        <v>206</v>
      </c>
      <c r="AA124" s="37" t="str">
        <f t="shared" si="16"/>
        <v>Williamsport Education - College/University</v>
      </c>
      <c r="AB124" s="37">
        <f t="shared" si="17"/>
        <v>3871.5</v>
      </c>
      <c r="AC124" s="37">
        <f t="shared" si="18"/>
        <v>3871</v>
      </c>
      <c r="AD124" s="37">
        <f t="shared" si="19"/>
        <v>5328</v>
      </c>
      <c r="AE124" s="37" t="e">
        <f t="shared" si="20"/>
        <v>#REF!</v>
      </c>
      <c r="AF124" s="37">
        <f t="shared" si="21"/>
        <v>5904.5</v>
      </c>
      <c r="AG124" s="187"/>
      <c r="AH124" s="187"/>
      <c r="AI124" s="22"/>
      <c r="AJ124" s="44" t="s">
        <v>308</v>
      </c>
      <c r="AK124" s="37" t="s">
        <v>206</v>
      </c>
      <c r="AL124" s="37" t="str">
        <f t="shared" si="22"/>
        <v>Williamsport Education - College/University</v>
      </c>
      <c r="AM124" s="45">
        <f t="shared" si="23"/>
        <v>0.39500000000000002</v>
      </c>
      <c r="AN124" s="45">
        <f t="shared" si="24"/>
        <v>0.39</v>
      </c>
      <c r="AO124" s="45">
        <f t="shared" si="25"/>
        <v>0.66</v>
      </c>
      <c r="AP124" s="45">
        <f t="shared" si="26"/>
        <v>5.0000000000000001E-3</v>
      </c>
      <c r="AQ124" s="45">
        <f t="shared" si="27"/>
        <v>0.435</v>
      </c>
    </row>
    <row r="125" spans="25:43" ht="15.75" thickBot="1" x14ac:dyDescent="0.3">
      <c r="Y125" s="44" t="s">
        <v>308</v>
      </c>
      <c r="Z125" s="37" t="s">
        <v>211</v>
      </c>
      <c r="AA125" s="37" t="str">
        <f t="shared" si="16"/>
        <v>Williamsport Education - Other</v>
      </c>
      <c r="AB125" s="37">
        <f t="shared" si="17"/>
        <v>2573</v>
      </c>
      <c r="AC125" s="37">
        <f t="shared" si="18"/>
        <v>2604</v>
      </c>
      <c r="AD125" s="37">
        <f t="shared" si="19"/>
        <v>1632</v>
      </c>
      <c r="AE125" s="37" t="e">
        <f t="shared" si="20"/>
        <v>#REF!</v>
      </c>
      <c r="AF125" s="37">
        <f t="shared" si="21"/>
        <v>4376.666666666667</v>
      </c>
      <c r="AG125" s="187"/>
      <c r="AH125" s="187"/>
      <c r="AI125" s="22"/>
      <c r="AJ125" s="44" t="s">
        <v>308</v>
      </c>
      <c r="AK125" s="37" t="s">
        <v>211</v>
      </c>
      <c r="AL125" s="37" t="str">
        <f t="shared" si="22"/>
        <v>Williamsport Education - Other</v>
      </c>
      <c r="AM125" s="45">
        <f t="shared" si="23"/>
        <v>0.16</v>
      </c>
      <c r="AN125" s="45">
        <f t="shared" si="24"/>
        <v>0.17</v>
      </c>
      <c r="AO125" s="45">
        <f t="shared" si="25"/>
        <v>0.5</v>
      </c>
      <c r="AP125" s="45">
        <f t="shared" si="26"/>
        <v>0</v>
      </c>
      <c r="AQ125" s="45">
        <f t="shared" si="27"/>
        <v>0.1466666666666667</v>
      </c>
    </row>
    <row r="126" spans="25:43" ht="15.75" thickBot="1" x14ac:dyDescent="0.3">
      <c r="Y126" s="44" t="s">
        <v>308</v>
      </c>
      <c r="Z126" s="37" t="s">
        <v>222</v>
      </c>
      <c r="AA126" s="37" t="str">
        <f t="shared" si="16"/>
        <v>Williamsport Grocery</v>
      </c>
      <c r="AB126" s="37" t="e">
        <f t="shared" si="17"/>
        <v>#N/A</v>
      </c>
      <c r="AC126" s="37" t="e">
        <f t="shared" si="18"/>
        <v>#N/A</v>
      </c>
      <c r="AD126" s="37" t="e">
        <f t="shared" si="19"/>
        <v>#N/A</v>
      </c>
      <c r="AE126" s="37" t="e">
        <f t="shared" si="20"/>
        <v>#N/A</v>
      </c>
      <c r="AF126" s="37">
        <f t="shared" si="21"/>
        <v>6710</v>
      </c>
      <c r="AG126" s="187"/>
      <c r="AH126" s="187"/>
      <c r="AI126" s="22"/>
      <c r="AJ126" s="44" t="s">
        <v>308</v>
      </c>
      <c r="AK126" s="37" t="s">
        <v>222</v>
      </c>
      <c r="AL126" s="37" t="str">
        <f t="shared" si="22"/>
        <v>Williamsport Grocery</v>
      </c>
      <c r="AM126" s="45" t="e">
        <f t="shared" si="23"/>
        <v>#N/A</v>
      </c>
      <c r="AN126" s="45" t="e">
        <f t="shared" si="24"/>
        <v>#N/A</v>
      </c>
      <c r="AO126" s="45" t="e">
        <f t="shared" si="25"/>
        <v>#N/A</v>
      </c>
      <c r="AP126" s="45" t="e">
        <f t="shared" si="26"/>
        <v>#N/A</v>
      </c>
      <c r="AQ126" s="45">
        <f t="shared" si="27"/>
        <v>0.24</v>
      </c>
    </row>
    <row r="127" spans="25:43" ht="15.75" thickBot="1" x14ac:dyDescent="0.3">
      <c r="Y127" s="44" t="s">
        <v>308</v>
      </c>
      <c r="Z127" s="37" t="s">
        <v>223</v>
      </c>
      <c r="AA127" s="37" t="str">
        <f t="shared" si="16"/>
        <v>Williamsport Health - Hospital</v>
      </c>
      <c r="AB127" s="37">
        <f t="shared" si="17"/>
        <v>5628</v>
      </c>
      <c r="AC127" s="37">
        <f t="shared" si="18"/>
        <v>5626</v>
      </c>
      <c r="AD127" s="37">
        <f t="shared" si="19"/>
        <v>1702</v>
      </c>
      <c r="AE127" s="37" t="e">
        <f t="shared" si="20"/>
        <v>#REF!</v>
      </c>
      <c r="AF127" s="37">
        <f t="shared" si="21"/>
        <v>8760</v>
      </c>
      <c r="AG127" s="187"/>
      <c r="AH127" s="187"/>
      <c r="AI127" s="22"/>
      <c r="AJ127" s="44" t="s">
        <v>308</v>
      </c>
      <c r="AK127" s="37" t="s">
        <v>223</v>
      </c>
      <c r="AL127" s="37" t="str">
        <f t="shared" si="22"/>
        <v>Williamsport Health - Hospital</v>
      </c>
      <c r="AM127" s="45">
        <f t="shared" si="23"/>
        <v>0.47</v>
      </c>
      <c r="AN127" s="45">
        <f t="shared" si="24"/>
        <v>0.46</v>
      </c>
      <c r="AO127" s="45">
        <f t="shared" si="25"/>
        <v>0.32</v>
      </c>
      <c r="AP127" s="45">
        <f t="shared" si="26"/>
        <v>0.09</v>
      </c>
      <c r="AQ127" s="45">
        <f t="shared" si="27"/>
        <v>0.41</v>
      </c>
    </row>
    <row r="128" spans="25:43" ht="15.75" thickBot="1" x14ac:dyDescent="0.3">
      <c r="Y128" s="44" t="s">
        <v>308</v>
      </c>
      <c r="Z128" s="37" t="s">
        <v>224</v>
      </c>
      <c r="AA128" s="37" t="str">
        <f t="shared" si="16"/>
        <v>Williamsport Health - Other</v>
      </c>
      <c r="AB128" s="37">
        <f t="shared" si="17"/>
        <v>3818</v>
      </c>
      <c r="AC128" s="37">
        <f t="shared" si="18"/>
        <v>3819</v>
      </c>
      <c r="AD128" s="37">
        <f t="shared" si="19"/>
        <v>2847</v>
      </c>
      <c r="AE128" s="37" t="e">
        <f t="shared" si="20"/>
        <v>#REF!</v>
      </c>
      <c r="AF128" s="37">
        <f t="shared" si="21"/>
        <v>8760</v>
      </c>
      <c r="AG128" s="187"/>
      <c r="AH128" s="187"/>
      <c r="AI128" s="22"/>
      <c r="AJ128" s="44" t="s">
        <v>308</v>
      </c>
      <c r="AK128" s="37" t="s">
        <v>224</v>
      </c>
      <c r="AL128" s="37" t="str">
        <f t="shared" si="22"/>
        <v>Williamsport Health - Other</v>
      </c>
      <c r="AM128" s="45">
        <f t="shared" si="23"/>
        <v>0.26</v>
      </c>
      <c r="AN128" s="45">
        <f t="shared" si="24"/>
        <v>0.26</v>
      </c>
      <c r="AO128" s="45">
        <f t="shared" si="25"/>
        <v>0.47</v>
      </c>
      <c r="AP128" s="45">
        <f t="shared" si="26"/>
        <v>0</v>
      </c>
      <c r="AQ128" s="45">
        <f t="shared" si="27"/>
        <v>0.28000000000000003</v>
      </c>
    </row>
    <row r="129" spans="25:43" ht="15.75" thickBot="1" x14ac:dyDescent="0.3">
      <c r="Y129" s="44" t="s">
        <v>308</v>
      </c>
      <c r="Z129" s="37" t="s">
        <v>225</v>
      </c>
      <c r="AA129" s="37" t="str">
        <f t="shared" si="16"/>
        <v>Williamsport Industrial Manufacturing</v>
      </c>
      <c r="AB129" s="37">
        <f t="shared" si="17"/>
        <v>1633</v>
      </c>
      <c r="AC129" s="37">
        <f t="shared" si="18"/>
        <v>1633</v>
      </c>
      <c r="AD129" s="37">
        <f t="shared" si="19"/>
        <v>3489</v>
      </c>
      <c r="AE129" s="37" t="e">
        <f t="shared" si="20"/>
        <v>#REF!</v>
      </c>
      <c r="AF129" s="37">
        <f t="shared" si="21"/>
        <v>3828.5</v>
      </c>
      <c r="AG129" s="187"/>
      <c r="AH129" s="187"/>
      <c r="AI129" s="22"/>
      <c r="AJ129" s="44" t="s">
        <v>308</v>
      </c>
      <c r="AK129" s="37" t="s">
        <v>225</v>
      </c>
      <c r="AL129" s="37" t="str">
        <f t="shared" si="22"/>
        <v>Williamsport Industrial Manufacturing</v>
      </c>
      <c r="AM129" s="45">
        <f t="shared" si="23"/>
        <v>0.5</v>
      </c>
      <c r="AN129" s="45">
        <f t="shared" si="24"/>
        <v>0.5</v>
      </c>
      <c r="AO129" s="45">
        <f t="shared" si="25"/>
        <v>0.39</v>
      </c>
      <c r="AP129" s="45">
        <f t="shared" si="26"/>
        <v>0</v>
      </c>
      <c r="AQ129" s="45">
        <f t="shared" si="27"/>
        <v>0.46</v>
      </c>
    </row>
    <row r="130" spans="25:43" ht="15.75" thickBot="1" x14ac:dyDescent="0.3">
      <c r="Y130" s="44" t="s">
        <v>308</v>
      </c>
      <c r="Z130" s="37" t="s">
        <v>226</v>
      </c>
      <c r="AA130" s="37" t="str">
        <f t="shared" si="16"/>
        <v>Williamsport Institutional/Public Service</v>
      </c>
      <c r="AB130" s="37" t="e">
        <f t="shared" si="17"/>
        <v>#N/A</v>
      </c>
      <c r="AC130" s="37" t="e">
        <f t="shared" si="18"/>
        <v>#N/A</v>
      </c>
      <c r="AD130" s="37" t="e">
        <f t="shared" si="19"/>
        <v>#N/A</v>
      </c>
      <c r="AE130" s="37" t="e">
        <f t="shared" si="20"/>
        <v>#N/A</v>
      </c>
      <c r="AF130" s="37">
        <f t="shared" si="21"/>
        <v>5184</v>
      </c>
      <c r="AG130" s="187"/>
      <c r="AH130" s="187"/>
      <c r="AI130" s="22"/>
      <c r="AJ130" s="44" t="s">
        <v>308</v>
      </c>
      <c r="AK130" s="37" t="s">
        <v>226</v>
      </c>
      <c r="AL130" s="37" t="str">
        <f t="shared" si="22"/>
        <v>Williamsport Institutional/Public Service</v>
      </c>
      <c r="AM130" s="45" t="e">
        <f t="shared" si="23"/>
        <v>#N/A</v>
      </c>
      <c r="AN130" s="45" t="e">
        <f t="shared" si="24"/>
        <v>#N/A</v>
      </c>
      <c r="AO130" s="45" t="e">
        <f t="shared" si="25"/>
        <v>#N/A</v>
      </c>
      <c r="AP130" s="45" t="e">
        <f t="shared" si="26"/>
        <v>#N/A</v>
      </c>
      <c r="AQ130" s="45">
        <f t="shared" si="27"/>
        <v>0.52</v>
      </c>
    </row>
    <row r="131" spans="25:43" ht="15.75" thickBot="1" x14ac:dyDescent="0.3">
      <c r="Y131" s="44" t="s">
        <v>308</v>
      </c>
      <c r="Z131" s="37" t="s">
        <v>228</v>
      </c>
      <c r="AA131" s="37" t="str">
        <f t="shared" si="16"/>
        <v>Williamsport Lodging</v>
      </c>
      <c r="AB131" s="37">
        <f t="shared" si="17"/>
        <v>5776</v>
      </c>
      <c r="AC131" s="37">
        <f t="shared" si="18"/>
        <v>5773</v>
      </c>
      <c r="AD131" s="37">
        <f t="shared" si="19"/>
        <v>2423</v>
      </c>
      <c r="AE131" s="37" t="e">
        <f t="shared" si="20"/>
        <v>#REF!</v>
      </c>
      <c r="AF131" s="37">
        <f t="shared" si="21"/>
        <v>8760</v>
      </c>
      <c r="AG131" s="187"/>
      <c r="AH131" s="187"/>
      <c r="AI131" s="22"/>
      <c r="AJ131" s="44" t="s">
        <v>308</v>
      </c>
      <c r="AK131" s="37" t="s">
        <v>228</v>
      </c>
      <c r="AL131" s="37" t="str">
        <f t="shared" si="22"/>
        <v>Williamsport Lodging</v>
      </c>
      <c r="AM131" s="45">
        <f t="shared" si="23"/>
        <v>0.66</v>
      </c>
      <c r="AN131" s="45">
        <f t="shared" si="24"/>
        <v>0.66</v>
      </c>
      <c r="AO131" s="45">
        <f t="shared" si="25"/>
        <v>0.17</v>
      </c>
      <c r="AP131" s="45">
        <f t="shared" si="26"/>
        <v>0</v>
      </c>
      <c r="AQ131" s="45">
        <f t="shared" si="27"/>
        <v>0.71</v>
      </c>
    </row>
    <row r="132" spans="25:43" ht="15.75" thickBot="1" x14ac:dyDescent="0.3">
      <c r="Y132" s="44" t="s">
        <v>308</v>
      </c>
      <c r="Z132" s="37" t="s">
        <v>230</v>
      </c>
      <c r="AA132" s="37" t="str">
        <f t="shared" si="16"/>
        <v>Williamsport Office</v>
      </c>
      <c r="AB132" s="37">
        <f t="shared" si="17"/>
        <v>1710.5</v>
      </c>
      <c r="AC132" s="37">
        <f t="shared" si="18"/>
        <v>1710.5</v>
      </c>
      <c r="AD132" s="37">
        <f t="shared" si="19"/>
        <v>3670</v>
      </c>
      <c r="AE132" s="37" t="e">
        <f t="shared" si="20"/>
        <v>#REF!</v>
      </c>
      <c r="AF132" s="37">
        <f t="shared" si="21"/>
        <v>4138.5</v>
      </c>
      <c r="AG132" s="187"/>
      <c r="AH132" s="187"/>
      <c r="AI132" s="22"/>
      <c r="AJ132" s="44" t="s">
        <v>308</v>
      </c>
      <c r="AK132" s="37" t="s">
        <v>230</v>
      </c>
      <c r="AL132" s="37" t="str">
        <f t="shared" si="22"/>
        <v>Williamsport Office</v>
      </c>
      <c r="AM132" s="45">
        <f t="shared" si="23"/>
        <v>0.32</v>
      </c>
      <c r="AN132" s="45">
        <f t="shared" si="24"/>
        <v>0.32</v>
      </c>
      <c r="AO132" s="45">
        <f t="shared" si="25"/>
        <v>0.46</v>
      </c>
      <c r="AP132" s="45">
        <f t="shared" si="26"/>
        <v>0</v>
      </c>
      <c r="AQ132" s="45">
        <f t="shared" si="27"/>
        <v>0.33999999999999997</v>
      </c>
    </row>
    <row r="133" spans="25:43" ht="15.75" thickBot="1" x14ac:dyDescent="0.3">
      <c r="Y133" s="44" t="s">
        <v>308</v>
      </c>
      <c r="Z133" s="37" t="s">
        <v>232</v>
      </c>
      <c r="AA133" s="37" t="str">
        <f t="shared" si="16"/>
        <v>Williamsport Restaurant</v>
      </c>
      <c r="AB133" s="37" t="e">
        <f t="shared" si="17"/>
        <v>#N/A</v>
      </c>
      <c r="AC133" s="37" t="e">
        <f t="shared" si="18"/>
        <v>#N/A</v>
      </c>
      <c r="AD133" s="37" t="e">
        <f t="shared" si="19"/>
        <v>#N/A</v>
      </c>
      <c r="AE133" s="37" t="e">
        <f t="shared" si="20"/>
        <v>#N/A</v>
      </c>
      <c r="AF133" s="37">
        <f t="shared" si="21"/>
        <v>6285.5</v>
      </c>
      <c r="AG133" s="187"/>
      <c r="AH133" s="187"/>
      <c r="AI133" s="22"/>
      <c r="AJ133" s="44" t="s">
        <v>308</v>
      </c>
      <c r="AK133" s="37" t="s">
        <v>232</v>
      </c>
      <c r="AL133" s="37" t="str">
        <f t="shared" si="22"/>
        <v>Williamsport Restaurant</v>
      </c>
      <c r="AM133" s="45" t="e">
        <f t="shared" si="23"/>
        <v>#N/A</v>
      </c>
      <c r="AN133" s="45" t="e">
        <f t="shared" si="24"/>
        <v>#N/A</v>
      </c>
      <c r="AO133" s="45" t="e">
        <f t="shared" si="25"/>
        <v>#N/A</v>
      </c>
      <c r="AP133" s="45" t="e">
        <f t="shared" si="26"/>
        <v>#N/A</v>
      </c>
      <c r="AQ133" s="45">
        <f t="shared" si="27"/>
        <v>0.44999999999999996</v>
      </c>
    </row>
    <row r="134" spans="25:43" ht="15.75" thickBot="1" x14ac:dyDescent="0.3">
      <c r="Y134" s="44" t="s">
        <v>308</v>
      </c>
      <c r="Z134" s="37" t="s">
        <v>234</v>
      </c>
      <c r="AA134" s="37" t="str">
        <f t="shared" si="16"/>
        <v>Williamsport Retail</v>
      </c>
      <c r="AB134" s="37">
        <f t="shared" si="17"/>
        <v>2898</v>
      </c>
      <c r="AC134" s="37">
        <f t="shared" si="18"/>
        <v>2898</v>
      </c>
      <c r="AD134" s="37">
        <f t="shared" si="19"/>
        <v>3722</v>
      </c>
      <c r="AE134" s="37" t="e">
        <f t="shared" si="20"/>
        <v>#REF!</v>
      </c>
      <c r="AF134" s="37">
        <f t="shared" si="21"/>
        <v>5133.666666666667</v>
      </c>
      <c r="AG134" s="187"/>
      <c r="AH134" s="187"/>
      <c r="AI134" s="22"/>
      <c r="AJ134" s="44" t="s">
        <v>308</v>
      </c>
      <c r="AK134" s="37" t="s">
        <v>234</v>
      </c>
      <c r="AL134" s="37" t="str">
        <f t="shared" si="22"/>
        <v>Williamsport Retail</v>
      </c>
      <c r="AM134" s="45">
        <f t="shared" si="23"/>
        <v>0.47</v>
      </c>
      <c r="AN134" s="45">
        <f t="shared" si="24"/>
        <v>0.47</v>
      </c>
      <c r="AO134" s="45">
        <f t="shared" si="25"/>
        <v>0.26</v>
      </c>
      <c r="AP134" s="45">
        <f t="shared" si="26"/>
        <v>0</v>
      </c>
      <c r="AQ134" s="45">
        <f t="shared" si="27"/>
        <v>0.48666666666666664</v>
      </c>
    </row>
    <row r="135" spans="25:43" ht="15.75" thickBot="1" x14ac:dyDescent="0.3">
      <c r="Y135" s="44" t="s">
        <v>308</v>
      </c>
      <c r="Z135" s="37" t="s">
        <v>236</v>
      </c>
      <c r="AA135" s="37" t="str">
        <f t="shared" si="16"/>
        <v>Williamsport Warehouse - Other</v>
      </c>
      <c r="AB135" s="37" t="e">
        <f t="shared" si="17"/>
        <v>#N/A</v>
      </c>
      <c r="AC135" s="37" t="e">
        <f t="shared" si="18"/>
        <v>#N/A</v>
      </c>
      <c r="AD135" s="37" t="e">
        <f t="shared" si="19"/>
        <v>#N/A</v>
      </c>
      <c r="AE135" s="37" t="e">
        <f t="shared" si="20"/>
        <v>#N/A</v>
      </c>
      <c r="AF135" s="37">
        <f t="shared" si="21"/>
        <v>5028</v>
      </c>
      <c r="AG135" s="187"/>
      <c r="AH135" s="187"/>
      <c r="AI135" s="22"/>
      <c r="AJ135" s="44" t="s">
        <v>308</v>
      </c>
      <c r="AK135" s="37" t="s">
        <v>236</v>
      </c>
      <c r="AL135" s="37" t="str">
        <f t="shared" si="22"/>
        <v>Williamsport Warehouse - Other</v>
      </c>
      <c r="AM135" s="45" t="e">
        <f t="shared" si="23"/>
        <v>#N/A</v>
      </c>
      <c r="AN135" s="45" t="e">
        <f t="shared" si="24"/>
        <v>#N/A</v>
      </c>
      <c r="AO135" s="45" t="e">
        <f t="shared" si="25"/>
        <v>#N/A</v>
      </c>
      <c r="AP135" s="45" t="e">
        <f t="shared" si="26"/>
        <v>#N/A</v>
      </c>
      <c r="AQ135" s="45">
        <f t="shared" si="27"/>
        <v>0.2</v>
      </c>
    </row>
    <row r="136" spans="25:43" ht="15.75" thickBot="1" x14ac:dyDescent="0.3">
      <c r="Y136" s="44" t="s">
        <v>308</v>
      </c>
      <c r="Z136" s="37" t="s">
        <v>238</v>
      </c>
      <c r="AA136" s="37" t="str">
        <f t="shared" ref="AA136" si="28">CONCATENATE(Y136," ",Z136)</f>
        <v>Williamsport Warehouse - Refrigerated</v>
      </c>
      <c r="AB136" s="37" t="e">
        <f t="shared" ref="AB136" si="29">INDEX($Z$182:$AH$191,MATCH($Z136,$Y$182:$Y$191,0),MATCH($Y136,$Z$181:$AH$181,0))</f>
        <v>#N/A</v>
      </c>
      <c r="AC136" s="37" t="e">
        <f t="shared" ref="AC136" si="30">INDEX($Z$195:$AH$204,MATCH($Z136,$Y$182:$Y$191,0),MATCH($Y136,$Z$181:$AH$181,0))</f>
        <v>#N/A</v>
      </c>
      <c r="AD136" s="37" t="e">
        <f t="shared" ref="AD136" si="31">INDEX($Z$221:$AH$230,MATCH($Z136,$Y$182:$Y$191,0),MATCH($Y136,$Z$181:$AH$181,0))</f>
        <v>#N/A</v>
      </c>
      <c r="AE136" s="37" t="e">
        <f t="shared" ref="AE136" si="32">INDEX($Z$208:$AF$217,MATCH($Z136,$Y$182:$Y$191,0),MATCH($Y136,$Z$181:$AH$181,0))</f>
        <v>#N/A</v>
      </c>
      <c r="AF136" s="37">
        <f t="shared" ref="AF136" si="33">INDEX($Z$158:$AH$178,MATCH($Z136,$Y$158:$Y$178,0),MATCH($Y136,$Z$157:$AH$157,0))</f>
        <v>4041</v>
      </c>
      <c r="AG136" s="187"/>
      <c r="AH136" s="187"/>
      <c r="AI136" s="22"/>
      <c r="AJ136" s="44" t="s">
        <v>308</v>
      </c>
      <c r="AK136" s="37" t="s">
        <v>238</v>
      </c>
      <c r="AL136" s="37" t="str">
        <f t="shared" ref="AL136:AL152" si="34">CONCATENATE(AJ136," ",AK136)</f>
        <v>Williamsport Warehouse - Refrigerated</v>
      </c>
      <c r="AM136" s="45" t="e">
        <f t="shared" ref="AM136" si="35">INDEX($AK$182:$AS$191,MATCH($Z136,$Y$182:$Y$191,0),MATCH($Y136,$Z$181:$AH$181,0))</f>
        <v>#N/A</v>
      </c>
      <c r="AN136" s="45" t="e">
        <f t="shared" ref="AN136" si="36">INDEX($AK$195:$AS$204,MATCH($Z136,$Y$182:$Y$191,0),MATCH($Y136,$Z$181:$AH$181,0))</f>
        <v>#N/A</v>
      </c>
      <c r="AO136" s="45" t="e">
        <f t="shared" ref="AO136" si="37">INDEX($AK$221:$AS$230,MATCH($Z136,$Y$182:$Y$191,0),MATCH($Y136,$Z$181:$AH$181,0))</f>
        <v>#N/A</v>
      </c>
      <c r="AP136" s="45" t="e">
        <f t="shared" ref="AP136" si="38">INDEX($AK$208:$AS$217,MATCH($Z136,$Y$182:$Y$191,0),MATCH($Y136,$Z$181:$AH$181,0))</f>
        <v>#N/A</v>
      </c>
      <c r="AQ136" s="45">
        <f t="shared" ref="AQ136" si="39">INDEX($AK$158:$AS$178,MATCH(Z136,$Y$158:$Y$178,0),MATCH(Y136,$Z$157:$AH$157,0))</f>
        <v>0.51</v>
      </c>
    </row>
    <row r="137" spans="25:43" ht="15.75" thickBot="1" x14ac:dyDescent="0.3">
      <c r="Y137" s="44"/>
      <c r="Z137" s="37"/>
      <c r="AA137" s="37"/>
      <c r="AB137" s="37"/>
      <c r="AC137" s="37"/>
      <c r="AD137" s="37"/>
      <c r="AE137" s="37"/>
      <c r="AF137" s="37"/>
      <c r="AG137" s="187"/>
      <c r="AH137" s="187"/>
      <c r="AI137" s="22"/>
      <c r="AJ137" s="44"/>
      <c r="AK137" s="37"/>
      <c r="AL137" s="37" t="str">
        <f t="shared" si="34"/>
        <v xml:space="preserve"> </v>
      </c>
      <c r="AM137" s="45"/>
      <c r="AN137" s="45"/>
      <c r="AO137" s="45"/>
      <c r="AP137" s="45"/>
      <c r="AQ137" s="45"/>
    </row>
    <row r="138" spans="25:43" ht="15.75" thickBot="1" x14ac:dyDescent="0.3">
      <c r="Y138" s="44"/>
      <c r="Z138" s="37"/>
      <c r="AA138" s="37"/>
      <c r="AB138" s="37"/>
      <c r="AC138" s="37"/>
      <c r="AD138" s="37"/>
      <c r="AE138" s="37"/>
      <c r="AF138" s="37"/>
      <c r="AG138" s="187"/>
      <c r="AH138" s="187"/>
      <c r="AI138" s="22"/>
      <c r="AJ138" s="44"/>
      <c r="AK138" s="37"/>
      <c r="AL138" s="37" t="str">
        <f t="shared" si="34"/>
        <v xml:space="preserve"> </v>
      </c>
      <c r="AM138" s="45"/>
      <c r="AN138" s="45"/>
      <c r="AO138" s="45"/>
      <c r="AP138" s="45"/>
      <c r="AQ138" s="45"/>
    </row>
    <row r="139" spans="25:43" ht="15.75" thickBot="1" x14ac:dyDescent="0.3">
      <c r="Y139" s="44"/>
      <c r="Z139" s="37"/>
      <c r="AA139" s="37"/>
      <c r="AB139" s="37"/>
      <c r="AC139" s="37"/>
      <c r="AD139" s="37"/>
      <c r="AE139" s="37"/>
      <c r="AF139" s="37"/>
      <c r="AG139" s="187"/>
      <c r="AH139" s="187"/>
      <c r="AI139" s="22"/>
      <c r="AJ139" s="44"/>
      <c r="AK139" s="37"/>
      <c r="AL139" s="37" t="str">
        <f t="shared" si="34"/>
        <v xml:space="preserve"> </v>
      </c>
      <c r="AM139" s="45"/>
      <c r="AN139" s="45"/>
      <c r="AO139" s="45"/>
      <c r="AP139" s="45"/>
      <c r="AQ139" s="45"/>
    </row>
    <row r="140" spans="25:43" ht="15.75" thickBot="1" x14ac:dyDescent="0.3">
      <c r="Y140" s="44"/>
      <c r="Z140" s="37"/>
      <c r="AA140" s="37"/>
      <c r="AB140" s="37"/>
      <c r="AC140" s="37"/>
      <c r="AD140" s="37"/>
      <c r="AE140" s="37"/>
      <c r="AF140" s="37"/>
      <c r="AG140" s="187"/>
      <c r="AH140" s="187"/>
      <c r="AI140" s="22"/>
      <c r="AJ140" s="44"/>
      <c r="AK140" s="37"/>
      <c r="AL140" s="37" t="str">
        <f t="shared" si="34"/>
        <v xml:space="preserve"> </v>
      </c>
      <c r="AM140" s="45"/>
      <c r="AN140" s="45"/>
      <c r="AO140" s="45"/>
      <c r="AP140" s="45"/>
      <c r="AQ140" s="45"/>
    </row>
    <row r="141" spans="25:43" ht="15.75" thickBot="1" x14ac:dyDescent="0.3">
      <c r="Y141" s="44"/>
      <c r="Z141" s="37"/>
      <c r="AA141" s="37"/>
      <c r="AB141" s="37"/>
      <c r="AC141" s="37"/>
      <c r="AD141" s="37"/>
      <c r="AE141" s="37"/>
      <c r="AF141" s="37"/>
      <c r="AG141" s="187"/>
      <c r="AH141" s="187"/>
      <c r="AI141" s="22"/>
      <c r="AJ141" s="44"/>
      <c r="AK141" s="37"/>
      <c r="AL141" s="37" t="str">
        <f t="shared" si="34"/>
        <v xml:space="preserve"> </v>
      </c>
      <c r="AM141" s="45"/>
      <c r="AN141" s="45"/>
      <c r="AO141" s="45"/>
      <c r="AP141" s="45"/>
      <c r="AQ141" s="45"/>
    </row>
    <row r="142" spans="25:43" ht="15.75" thickBot="1" x14ac:dyDescent="0.3">
      <c r="Y142" s="44"/>
      <c r="Z142" s="37"/>
      <c r="AA142" s="37"/>
      <c r="AB142" s="37"/>
      <c r="AC142" s="37"/>
      <c r="AD142" s="37"/>
      <c r="AE142" s="37"/>
      <c r="AF142" s="37"/>
      <c r="AG142" s="187"/>
      <c r="AH142" s="187"/>
      <c r="AI142" s="22"/>
      <c r="AJ142" s="44"/>
      <c r="AK142" s="37"/>
      <c r="AL142" s="37" t="str">
        <f t="shared" si="34"/>
        <v xml:space="preserve"> </v>
      </c>
      <c r="AM142" s="45"/>
      <c r="AN142" s="45"/>
      <c r="AO142" s="45"/>
      <c r="AP142" s="45"/>
      <c r="AQ142" s="45"/>
    </row>
    <row r="143" spans="25:43" ht="15.75" thickBot="1" x14ac:dyDescent="0.3">
      <c r="Y143" s="44"/>
      <c r="Z143" s="37"/>
      <c r="AA143" s="37"/>
      <c r="AB143" s="37"/>
      <c r="AC143" s="37"/>
      <c r="AD143" s="37"/>
      <c r="AE143" s="37"/>
      <c r="AF143" s="37"/>
      <c r="AG143" s="187"/>
      <c r="AH143" s="187"/>
      <c r="AI143" s="22"/>
      <c r="AJ143" s="44"/>
      <c r="AK143" s="37"/>
      <c r="AL143" s="37" t="str">
        <f t="shared" si="34"/>
        <v xml:space="preserve"> </v>
      </c>
      <c r="AM143" s="45"/>
      <c r="AN143" s="45"/>
      <c r="AO143" s="45"/>
      <c r="AP143" s="45"/>
      <c r="AQ143" s="45"/>
    </row>
    <row r="144" spans="25:43" ht="15.75" thickBot="1" x14ac:dyDescent="0.3">
      <c r="Y144" s="44"/>
      <c r="Z144" s="37"/>
      <c r="AA144" s="37"/>
      <c r="AB144" s="37"/>
      <c r="AC144" s="37"/>
      <c r="AD144" s="37"/>
      <c r="AE144" s="37"/>
      <c r="AF144" s="37"/>
      <c r="AG144" s="187"/>
      <c r="AH144" s="187"/>
      <c r="AI144" s="22"/>
      <c r="AJ144" s="44"/>
      <c r="AK144" s="37"/>
      <c r="AL144" s="37" t="str">
        <f t="shared" si="34"/>
        <v xml:space="preserve"> </v>
      </c>
      <c r="AM144" s="45"/>
      <c r="AN144" s="45"/>
      <c r="AO144" s="45"/>
      <c r="AP144" s="45"/>
      <c r="AQ144" s="45"/>
    </row>
    <row r="145" spans="25:45" ht="15.75" thickBot="1" x14ac:dyDescent="0.3">
      <c r="Y145" s="44"/>
      <c r="Z145" s="37"/>
      <c r="AA145" s="37"/>
      <c r="AB145" s="37"/>
      <c r="AC145" s="37"/>
      <c r="AD145" s="37"/>
      <c r="AE145" s="37"/>
      <c r="AF145" s="37"/>
      <c r="AG145" s="187"/>
      <c r="AH145" s="187"/>
      <c r="AI145" s="22"/>
      <c r="AJ145" s="44"/>
      <c r="AK145" s="37"/>
      <c r="AL145" s="37" t="str">
        <f t="shared" si="34"/>
        <v xml:space="preserve"> </v>
      </c>
      <c r="AM145" s="45"/>
      <c r="AN145" s="45"/>
      <c r="AO145" s="45"/>
      <c r="AP145" s="45"/>
      <c r="AQ145" s="45"/>
    </row>
    <row r="146" spans="25:45" ht="15.75" thickBot="1" x14ac:dyDescent="0.3">
      <c r="Y146" s="44"/>
      <c r="Z146" s="37"/>
      <c r="AA146" s="37"/>
      <c r="AB146" s="37"/>
      <c r="AC146" s="37"/>
      <c r="AD146" s="37"/>
      <c r="AE146" s="37"/>
      <c r="AF146" s="37"/>
      <c r="AG146" s="187"/>
      <c r="AH146" s="187"/>
      <c r="AI146" s="22"/>
      <c r="AJ146" s="44"/>
      <c r="AK146" s="37"/>
      <c r="AL146" s="37" t="str">
        <f t="shared" si="34"/>
        <v xml:space="preserve"> </v>
      </c>
      <c r="AM146" s="45"/>
      <c r="AN146" s="45"/>
      <c r="AO146" s="45"/>
      <c r="AP146" s="45"/>
      <c r="AQ146" s="45"/>
    </row>
    <row r="147" spans="25:45" ht="15.75" thickBot="1" x14ac:dyDescent="0.3">
      <c r="Y147" s="44"/>
      <c r="Z147" s="37"/>
      <c r="AA147" s="37"/>
      <c r="AB147" s="37"/>
      <c r="AC147" s="37"/>
      <c r="AD147" s="37"/>
      <c r="AE147" s="37"/>
      <c r="AF147" s="37"/>
      <c r="AG147" s="187"/>
      <c r="AH147" s="187"/>
      <c r="AI147" s="22"/>
      <c r="AJ147" s="44"/>
      <c r="AK147" s="37"/>
      <c r="AL147" s="37" t="str">
        <f t="shared" si="34"/>
        <v xml:space="preserve"> </v>
      </c>
      <c r="AM147" s="45"/>
      <c r="AN147" s="45"/>
      <c r="AO147" s="45"/>
      <c r="AP147" s="45"/>
      <c r="AQ147" s="45"/>
    </row>
    <row r="148" spans="25:45" ht="15.75" thickBot="1" x14ac:dyDescent="0.3">
      <c r="Y148" s="44"/>
      <c r="Z148" s="37"/>
      <c r="AA148" s="37"/>
      <c r="AB148" s="37"/>
      <c r="AC148" s="37"/>
      <c r="AD148" s="37"/>
      <c r="AE148" s="37"/>
      <c r="AF148" s="37"/>
      <c r="AG148" s="187"/>
      <c r="AH148" s="187"/>
      <c r="AI148" s="22"/>
      <c r="AJ148" s="44"/>
      <c r="AK148" s="37"/>
      <c r="AL148" s="37" t="str">
        <f t="shared" si="34"/>
        <v xml:space="preserve"> </v>
      </c>
      <c r="AM148" s="45"/>
      <c r="AN148" s="45"/>
      <c r="AO148" s="45"/>
      <c r="AP148" s="45"/>
      <c r="AQ148" s="45"/>
    </row>
    <row r="149" spans="25:45" ht="15.75" thickBot="1" x14ac:dyDescent="0.3">
      <c r="Y149" s="44"/>
      <c r="Z149" s="37"/>
      <c r="AA149" s="37"/>
      <c r="AB149" s="37"/>
      <c r="AC149" s="37"/>
      <c r="AD149" s="37"/>
      <c r="AE149" s="37"/>
      <c r="AF149" s="37"/>
      <c r="AG149" s="187"/>
      <c r="AH149" s="187"/>
      <c r="AI149" s="22"/>
      <c r="AJ149" s="44"/>
      <c r="AK149" s="37"/>
      <c r="AL149" s="37" t="str">
        <f t="shared" si="34"/>
        <v xml:space="preserve"> </v>
      </c>
      <c r="AM149" s="45"/>
      <c r="AN149" s="45"/>
      <c r="AO149" s="45"/>
      <c r="AP149" s="45"/>
      <c r="AQ149" s="45"/>
    </row>
    <row r="150" spans="25:45" ht="15.75" thickBot="1" x14ac:dyDescent="0.3">
      <c r="Y150" s="44"/>
      <c r="Z150" s="37"/>
      <c r="AA150" s="37"/>
      <c r="AB150" s="37"/>
      <c r="AC150" s="37"/>
      <c r="AD150" s="37"/>
      <c r="AE150" s="37"/>
      <c r="AF150" s="37"/>
      <c r="AG150" s="187"/>
      <c r="AH150" s="187"/>
      <c r="AI150" s="22"/>
      <c r="AJ150" s="44"/>
      <c r="AK150" s="37"/>
      <c r="AL150" s="37" t="str">
        <f t="shared" si="34"/>
        <v xml:space="preserve"> </v>
      </c>
      <c r="AM150" s="45"/>
      <c r="AN150" s="45"/>
      <c r="AO150" s="45"/>
      <c r="AP150" s="45"/>
      <c r="AQ150" s="45"/>
    </row>
    <row r="151" spans="25:45" ht="15.75" thickBot="1" x14ac:dyDescent="0.3">
      <c r="Y151" s="44"/>
      <c r="Z151" s="37"/>
      <c r="AA151" s="37"/>
      <c r="AB151" s="37"/>
      <c r="AC151" s="37"/>
      <c r="AD151" s="37"/>
      <c r="AE151" s="37"/>
      <c r="AF151" s="37"/>
      <c r="AG151" s="187"/>
      <c r="AH151" s="187"/>
      <c r="AI151" s="22"/>
      <c r="AJ151" s="44"/>
      <c r="AK151" s="37"/>
      <c r="AL151" s="37" t="str">
        <f t="shared" si="34"/>
        <v xml:space="preserve"> </v>
      </c>
      <c r="AM151" s="45"/>
      <c r="AN151" s="45"/>
      <c r="AO151" s="45"/>
      <c r="AP151" s="45"/>
      <c r="AQ151" s="45"/>
    </row>
    <row r="152" spans="25:45" x14ac:dyDescent="0.25">
      <c r="Y152" s="44"/>
      <c r="Z152" s="37"/>
      <c r="AA152" s="37"/>
      <c r="AB152" s="37"/>
      <c r="AC152" s="37"/>
      <c r="AD152" s="37"/>
      <c r="AE152" s="37"/>
      <c r="AF152" s="37"/>
      <c r="AG152" s="187"/>
      <c r="AH152" s="187"/>
      <c r="AI152" s="22"/>
      <c r="AJ152" s="44"/>
      <c r="AK152" s="37"/>
      <c r="AL152" s="37" t="str">
        <f t="shared" si="34"/>
        <v xml:space="preserve"> </v>
      </c>
      <c r="AM152" s="45"/>
      <c r="AN152" s="45"/>
      <c r="AO152" s="45"/>
      <c r="AP152" s="45"/>
      <c r="AQ152" s="45"/>
    </row>
    <row r="157" spans="25:45" x14ac:dyDescent="0.25">
      <c r="Y157" t="s">
        <v>269</v>
      </c>
      <c r="Z157" t="s">
        <v>205</v>
      </c>
      <c r="AA157" t="s">
        <v>240</v>
      </c>
      <c r="AB157" t="s">
        <v>253</v>
      </c>
      <c r="AC157" t="s">
        <v>258</v>
      </c>
      <c r="AD157" t="s">
        <v>265</v>
      </c>
      <c r="AE157" t="s">
        <v>266</v>
      </c>
      <c r="AF157" t="s">
        <v>267</v>
      </c>
      <c r="AG157" t="s">
        <v>268</v>
      </c>
      <c r="AH157" s="188" t="s">
        <v>308</v>
      </c>
      <c r="AI157"/>
      <c r="AJ157"/>
      <c r="AK157" t="s">
        <v>205</v>
      </c>
      <c r="AL157" t="s">
        <v>240</v>
      </c>
      <c r="AM157" t="s">
        <v>253</v>
      </c>
      <c r="AN157" t="s">
        <v>258</v>
      </c>
      <c r="AO157" t="s">
        <v>265</v>
      </c>
      <c r="AP157" t="s">
        <v>266</v>
      </c>
      <c r="AQ157" t="s">
        <v>267</v>
      </c>
      <c r="AR157" t="s">
        <v>268</v>
      </c>
      <c r="AS157" s="188" t="s">
        <v>308</v>
      </c>
    </row>
    <row r="158" spans="25:45" x14ac:dyDescent="0.25">
      <c r="Y158" t="s">
        <v>206</v>
      </c>
      <c r="Z158" s="189">
        <v>6041.5</v>
      </c>
      <c r="AA158" s="189">
        <v>6054</v>
      </c>
      <c r="AB158" s="189">
        <v>6126</v>
      </c>
      <c r="AC158" s="189">
        <v>6138.5</v>
      </c>
      <c r="AD158" s="189">
        <v>5860</v>
      </c>
      <c r="AE158" s="189">
        <v>5965.5</v>
      </c>
      <c r="AF158" s="189">
        <v>5982</v>
      </c>
      <c r="AG158" s="189">
        <v>5876</v>
      </c>
      <c r="AH158" s="189">
        <v>5904.5</v>
      </c>
      <c r="AI158"/>
      <c r="AJ158" t="s">
        <v>206</v>
      </c>
      <c r="AK158" s="193">
        <v>0.42499999999999999</v>
      </c>
      <c r="AL158" s="193">
        <v>0.3</v>
      </c>
      <c r="AM158" s="193">
        <v>0.23499999999999999</v>
      </c>
      <c r="AN158" s="193">
        <v>0.315</v>
      </c>
      <c r="AO158" s="193">
        <v>0.44</v>
      </c>
      <c r="AP158" s="193">
        <v>0.46499999999999997</v>
      </c>
      <c r="AQ158" s="193">
        <v>0.41500000000000004</v>
      </c>
      <c r="AR158" s="193">
        <v>0.38</v>
      </c>
      <c r="AS158" s="193">
        <v>0.435</v>
      </c>
    </row>
    <row r="159" spans="25:45" x14ac:dyDescent="0.25">
      <c r="Y159" t="s">
        <v>211</v>
      </c>
      <c r="Z159" s="189">
        <v>4380</v>
      </c>
      <c r="AA159" s="189">
        <v>4583</v>
      </c>
      <c r="AB159" s="189">
        <v>4718</v>
      </c>
      <c r="AC159" s="189">
        <v>4572</v>
      </c>
      <c r="AD159" s="189">
        <v>4313.333333333333</v>
      </c>
      <c r="AE159" s="189">
        <v>4384</v>
      </c>
      <c r="AF159" s="189">
        <v>4415.333333333333</v>
      </c>
      <c r="AG159" s="189">
        <v>4490.333333333333</v>
      </c>
      <c r="AH159" s="189">
        <v>4376.666666666667</v>
      </c>
      <c r="AI159"/>
      <c r="AJ159" t="s">
        <v>211</v>
      </c>
      <c r="AK159" s="193">
        <v>0.12</v>
      </c>
      <c r="AL159" s="193">
        <v>0.08</v>
      </c>
      <c r="AM159" s="193">
        <v>6.6666666666666666E-2</v>
      </c>
      <c r="AN159" s="193">
        <v>9.0000000000000011E-2</v>
      </c>
      <c r="AO159" s="193">
        <v>0.17333333333333334</v>
      </c>
      <c r="AP159" s="193">
        <v>0.18000000000000002</v>
      </c>
      <c r="AQ159" s="193">
        <v>0.18000000000000002</v>
      </c>
      <c r="AR159" s="193">
        <v>0.12333333333333334</v>
      </c>
      <c r="AS159" s="193">
        <v>0.1466666666666667</v>
      </c>
    </row>
    <row r="160" spans="25:45" x14ac:dyDescent="0.25">
      <c r="Y160" t="s">
        <v>222</v>
      </c>
      <c r="Z160" s="189">
        <v>6708</v>
      </c>
      <c r="AA160" s="189">
        <v>6764</v>
      </c>
      <c r="AB160" s="189">
        <v>6810</v>
      </c>
      <c r="AC160" s="189">
        <v>6738</v>
      </c>
      <c r="AD160" s="189">
        <v>6692</v>
      </c>
      <c r="AE160" s="189">
        <v>6669</v>
      </c>
      <c r="AF160" s="189">
        <v>6718</v>
      </c>
      <c r="AG160" s="189">
        <v>6725</v>
      </c>
      <c r="AH160" s="189">
        <v>6710</v>
      </c>
      <c r="AI160"/>
      <c r="AJ160" t="s">
        <v>222</v>
      </c>
      <c r="AK160" s="193">
        <v>0.24</v>
      </c>
      <c r="AL160" s="193">
        <v>0.21</v>
      </c>
      <c r="AM160" s="193">
        <v>0.19</v>
      </c>
      <c r="AN160" s="193">
        <v>0.22</v>
      </c>
      <c r="AO160" s="193">
        <v>0.24</v>
      </c>
      <c r="AP160" s="193">
        <v>0.26</v>
      </c>
      <c r="AQ160" s="193">
        <v>0.28999999999999998</v>
      </c>
      <c r="AR160" s="193">
        <v>0.21</v>
      </c>
      <c r="AS160" s="193">
        <v>0.24</v>
      </c>
    </row>
    <row r="161" spans="25:45" x14ac:dyDescent="0.25">
      <c r="Y161" t="s">
        <v>223</v>
      </c>
      <c r="Z161" s="189">
        <v>8760</v>
      </c>
      <c r="AA161" s="189">
        <v>8760</v>
      </c>
      <c r="AB161" s="189">
        <v>8760</v>
      </c>
      <c r="AC161" s="189">
        <v>8760</v>
      </c>
      <c r="AD161" s="189">
        <v>8760</v>
      </c>
      <c r="AE161" s="189">
        <v>8760</v>
      </c>
      <c r="AF161" s="189">
        <v>8760</v>
      </c>
      <c r="AG161" s="189">
        <v>8760</v>
      </c>
      <c r="AH161" s="189">
        <v>8760</v>
      </c>
      <c r="AI161"/>
      <c r="AJ161" t="s">
        <v>223</v>
      </c>
      <c r="AK161" s="193">
        <v>0.43</v>
      </c>
      <c r="AL161" s="193">
        <v>0.24</v>
      </c>
      <c r="AM161" s="193">
        <v>0.28999999999999998</v>
      </c>
      <c r="AN161" s="193">
        <v>0.39</v>
      </c>
      <c r="AO161" s="193">
        <v>0.45</v>
      </c>
      <c r="AP161" s="193">
        <v>0.51</v>
      </c>
      <c r="AQ161" s="193">
        <v>0.45</v>
      </c>
      <c r="AR161" s="193">
        <v>0.4</v>
      </c>
      <c r="AS161" s="193">
        <v>0.41</v>
      </c>
    </row>
    <row r="162" spans="25:45" x14ac:dyDescent="0.25">
      <c r="Y162" t="s">
        <v>224</v>
      </c>
      <c r="Z162" s="189">
        <v>8760</v>
      </c>
      <c r="AA162" s="189">
        <v>8760</v>
      </c>
      <c r="AB162" s="189">
        <v>8760</v>
      </c>
      <c r="AC162" s="189">
        <v>8760</v>
      </c>
      <c r="AD162" s="189">
        <v>8760</v>
      </c>
      <c r="AE162" s="189">
        <v>8760</v>
      </c>
      <c r="AF162" s="189">
        <v>8760</v>
      </c>
      <c r="AG162" s="189">
        <v>8760</v>
      </c>
      <c r="AH162" s="189">
        <v>8760</v>
      </c>
      <c r="AI162"/>
      <c r="AJ162" t="s">
        <v>224</v>
      </c>
      <c r="AK162" s="193">
        <v>0.24</v>
      </c>
      <c r="AL162" s="193">
        <v>0.21</v>
      </c>
      <c r="AM162" s="193">
        <v>0.17</v>
      </c>
      <c r="AN162" s="193">
        <v>0.23</v>
      </c>
      <c r="AO162" s="193">
        <v>0.28999999999999998</v>
      </c>
      <c r="AP162" s="193">
        <v>0.31</v>
      </c>
      <c r="AQ162" s="193">
        <v>0.28999999999999998</v>
      </c>
      <c r="AR162" s="193">
        <v>0.25</v>
      </c>
      <c r="AS162" s="193">
        <v>0.28000000000000003</v>
      </c>
    </row>
    <row r="163" spans="25:45" x14ac:dyDescent="0.25">
      <c r="Y163" t="s">
        <v>225</v>
      </c>
      <c r="Z163" s="189">
        <v>3831</v>
      </c>
      <c r="AA163" s="189">
        <v>3980.5</v>
      </c>
      <c r="AB163" s="189">
        <v>4080</v>
      </c>
      <c r="AC163" s="189">
        <v>3977</v>
      </c>
      <c r="AD163" s="189">
        <v>3768.5</v>
      </c>
      <c r="AE163" s="189">
        <v>3838</v>
      </c>
      <c r="AF163" s="189">
        <v>3869</v>
      </c>
      <c r="AG163" s="189">
        <v>3901.5</v>
      </c>
      <c r="AH163" s="189">
        <v>3828.5</v>
      </c>
      <c r="AI163"/>
      <c r="AJ163" t="s">
        <v>225</v>
      </c>
      <c r="AK163" s="193">
        <v>0.47500000000000003</v>
      </c>
      <c r="AL163" s="193">
        <v>0.33499999999999996</v>
      </c>
      <c r="AM163" s="193">
        <v>0.28000000000000003</v>
      </c>
      <c r="AN163" s="193">
        <v>0.375</v>
      </c>
      <c r="AO163" s="193">
        <v>0.53</v>
      </c>
      <c r="AP163" s="193">
        <v>0.56499999999999995</v>
      </c>
      <c r="AQ163" s="193">
        <v>0.495</v>
      </c>
      <c r="AR163" s="193">
        <v>0.43</v>
      </c>
      <c r="AS163" s="193">
        <v>0.46</v>
      </c>
    </row>
    <row r="164" spans="25:45" x14ac:dyDescent="0.25">
      <c r="Y164" t="s">
        <v>226</v>
      </c>
      <c r="Z164" s="189">
        <v>5188</v>
      </c>
      <c r="AA164" s="189">
        <v>5223</v>
      </c>
      <c r="AB164" s="189">
        <v>5248</v>
      </c>
      <c r="AC164" s="189">
        <v>5217</v>
      </c>
      <c r="AD164" s="189">
        <v>5172</v>
      </c>
      <c r="AE164" s="189">
        <v>5186</v>
      </c>
      <c r="AF164" s="189">
        <v>5201</v>
      </c>
      <c r="AG164" s="189">
        <v>5207</v>
      </c>
      <c r="AH164" s="189">
        <v>5184</v>
      </c>
      <c r="AI164"/>
      <c r="AJ164" t="s">
        <v>226</v>
      </c>
      <c r="AK164" s="193">
        <v>0.53</v>
      </c>
      <c r="AL164" s="193">
        <v>0.38</v>
      </c>
      <c r="AM164" s="193">
        <v>0.34</v>
      </c>
      <c r="AN164" s="193">
        <v>0.45</v>
      </c>
      <c r="AO164" s="193">
        <v>0.6</v>
      </c>
      <c r="AP164" s="193">
        <v>0.72</v>
      </c>
      <c r="AQ164" s="193">
        <v>0.56000000000000005</v>
      </c>
      <c r="AR164" s="193">
        <v>0.47</v>
      </c>
      <c r="AS164" s="193">
        <v>0.52</v>
      </c>
    </row>
    <row r="165" spans="25:45" x14ac:dyDescent="0.25">
      <c r="Y165" t="s">
        <v>228</v>
      </c>
      <c r="Z165" s="189">
        <v>8760</v>
      </c>
      <c r="AA165" s="189">
        <v>8760</v>
      </c>
      <c r="AB165" s="189">
        <v>8760</v>
      </c>
      <c r="AC165" s="189">
        <v>8760</v>
      </c>
      <c r="AD165" s="189">
        <v>8760</v>
      </c>
      <c r="AE165" s="189">
        <v>8760</v>
      </c>
      <c r="AF165" s="189">
        <v>8760</v>
      </c>
      <c r="AG165" s="189">
        <v>8760</v>
      </c>
      <c r="AH165" s="189">
        <v>8760</v>
      </c>
      <c r="AI165"/>
      <c r="AJ165" t="s">
        <v>228</v>
      </c>
      <c r="AK165" s="193">
        <v>0.64</v>
      </c>
      <c r="AL165" s="193">
        <v>0.64</v>
      </c>
      <c r="AM165" s="193">
        <v>0.6</v>
      </c>
      <c r="AN165" s="193">
        <v>0.65</v>
      </c>
      <c r="AO165" s="193">
        <v>0.71</v>
      </c>
      <c r="AP165" s="193">
        <v>0.71</v>
      </c>
      <c r="AQ165" s="193">
        <v>0.73</v>
      </c>
      <c r="AR165" s="193">
        <v>0.65</v>
      </c>
      <c r="AS165" s="193">
        <v>0.71</v>
      </c>
    </row>
    <row r="166" spans="25:45" x14ac:dyDescent="0.25">
      <c r="Y166" t="s">
        <v>230</v>
      </c>
      <c r="Z166" s="189">
        <v>4195</v>
      </c>
      <c r="AA166" s="189">
        <v>4472.5</v>
      </c>
      <c r="AB166" s="189">
        <v>4698.5</v>
      </c>
      <c r="AC166" s="189">
        <v>4440.5</v>
      </c>
      <c r="AD166" s="189">
        <v>4087</v>
      </c>
      <c r="AE166" s="189">
        <v>4063</v>
      </c>
      <c r="AF166" s="189">
        <v>4239.5</v>
      </c>
      <c r="AG166" s="189">
        <v>4227.5</v>
      </c>
      <c r="AH166" s="189">
        <v>4138.5</v>
      </c>
      <c r="AI166"/>
      <c r="AJ166" t="s">
        <v>230</v>
      </c>
      <c r="AK166" s="193">
        <v>0.29499999999999998</v>
      </c>
      <c r="AL166" s="193">
        <v>0.255</v>
      </c>
      <c r="AM166" s="193">
        <v>0.21000000000000002</v>
      </c>
      <c r="AN166" s="193">
        <v>0.28000000000000003</v>
      </c>
      <c r="AO166" s="193">
        <v>0.37</v>
      </c>
      <c r="AP166" s="193">
        <v>0.38500000000000001</v>
      </c>
      <c r="AQ166" s="193">
        <v>0.34499999999999997</v>
      </c>
      <c r="AR166" s="193">
        <v>0.32</v>
      </c>
      <c r="AS166" s="193">
        <v>0.33999999999999997</v>
      </c>
    </row>
    <row r="167" spans="25:45" x14ac:dyDescent="0.25">
      <c r="Y167" t="s">
        <v>232</v>
      </c>
      <c r="Z167" s="189">
        <v>6282</v>
      </c>
      <c r="AA167" s="189">
        <v>2679.5</v>
      </c>
      <c r="AB167" s="189">
        <v>6486.5</v>
      </c>
      <c r="AC167" s="189">
        <v>6365</v>
      </c>
      <c r="AD167" s="189">
        <v>6251.5</v>
      </c>
      <c r="AE167" s="189">
        <v>6225.5</v>
      </c>
      <c r="AF167" s="189">
        <v>6299.5</v>
      </c>
      <c r="AG167" s="189">
        <v>6315</v>
      </c>
      <c r="AH167" s="189">
        <v>6285.5</v>
      </c>
      <c r="AI167"/>
      <c r="AJ167" t="s">
        <v>232</v>
      </c>
      <c r="AK167" s="193">
        <v>0.375</v>
      </c>
      <c r="AL167" s="193">
        <v>0.185</v>
      </c>
      <c r="AM167" s="193">
        <v>0.28000000000000003</v>
      </c>
      <c r="AN167" s="193">
        <v>0.37</v>
      </c>
      <c r="AO167" s="193">
        <v>0.42000000000000004</v>
      </c>
      <c r="AP167" s="193">
        <v>0.5</v>
      </c>
      <c r="AQ167" s="193">
        <v>0.49</v>
      </c>
      <c r="AR167" s="193">
        <v>0.39</v>
      </c>
      <c r="AS167" s="193">
        <v>0.44999999999999996</v>
      </c>
    </row>
    <row r="168" spans="25:45" x14ac:dyDescent="0.25">
      <c r="Y168" t="s">
        <v>234</v>
      </c>
      <c r="Z168" s="189">
        <v>5136.666666666667</v>
      </c>
      <c r="AA168" s="189">
        <v>5188</v>
      </c>
      <c r="AB168" s="189">
        <v>5234</v>
      </c>
      <c r="AC168" s="189">
        <v>5158</v>
      </c>
      <c r="AD168" s="189">
        <v>5108.333333333333</v>
      </c>
      <c r="AE168" s="189">
        <v>5092.333333333333</v>
      </c>
      <c r="AF168" s="189">
        <v>5146.333333333333</v>
      </c>
      <c r="AG168" s="189">
        <v>5148.666666666667</v>
      </c>
      <c r="AH168" s="189">
        <v>5133.666666666667</v>
      </c>
      <c r="AI168"/>
      <c r="AJ168" t="s">
        <v>234</v>
      </c>
      <c r="AK168" s="193">
        <v>0.5033333333333333</v>
      </c>
      <c r="AL168" s="193">
        <v>0.39999999999999997</v>
      </c>
      <c r="AM168" s="193">
        <v>0.35666666666666663</v>
      </c>
      <c r="AN168" s="193">
        <v>0.4366666666666667</v>
      </c>
      <c r="AO168" s="193">
        <v>0.52666666666666673</v>
      </c>
      <c r="AP168" s="193">
        <v>0.56333333333333335</v>
      </c>
      <c r="AQ168" s="193">
        <v>0.54</v>
      </c>
      <c r="AR168" s="193">
        <v>0.45333333333333331</v>
      </c>
      <c r="AS168" s="193">
        <v>0.48666666666666664</v>
      </c>
    </row>
    <row r="169" spans="25:45" x14ac:dyDescent="0.25">
      <c r="Y169" t="s">
        <v>236</v>
      </c>
      <c r="Z169" s="189">
        <v>5037</v>
      </c>
      <c r="AA169" s="189">
        <v>5189</v>
      </c>
      <c r="AB169" s="189">
        <v>5259</v>
      </c>
      <c r="AC169" s="189">
        <v>5222</v>
      </c>
      <c r="AD169" s="189">
        <v>4980</v>
      </c>
      <c r="AE169" s="189">
        <v>5168</v>
      </c>
      <c r="AF169" s="189">
        <v>5110</v>
      </c>
      <c r="AG169" s="189">
        <v>5188</v>
      </c>
      <c r="AH169" s="189">
        <v>5028</v>
      </c>
      <c r="AI169"/>
      <c r="AJ169" t="s">
        <v>236</v>
      </c>
      <c r="AK169" s="193">
        <v>0.18</v>
      </c>
      <c r="AL169" s="193">
        <v>0.11</v>
      </c>
      <c r="AM169" s="193">
        <v>0.1</v>
      </c>
      <c r="AN169" s="193">
        <v>0.13</v>
      </c>
      <c r="AO169" s="193">
        <v>0.24</v>
      </c>
      <c r="AP169" s="193">
        <v>0.3</v>
      </c>
      <c r="AQ169" s="193">
        <v>0.23</v>
      </c>
      <c r="AR169" s="193">
        <v>0.15</v>
      </c>
      <c r="AS169" s="193">
        <v>0.2</v>
      </c>
    </row>
    <row r="170" spans="25:45" x14ac:dyDescent="0.25">
      <c r="Y170" t="s">
        <v>238</v>
      </c>
      <c r="Z170" s="189">
        <v>4041</v>
      </c>
      <c r="AA170" s="189">
        <v>4041</v>
      </c>
      <c r="AB170" s="189">
        <v>4041</v>
      </c>
      <c r="AC170" s="189">
        <v>4041</v>
      </c>
      <c r="AD170" s="189">
        <v>4041</v>
      </c>
      <c r="AE170" s="189">
        <v>4041</v>
      </c>
      <c r="AF170" s="189">
        <v>4041</v>
      </c>
      <c r="AG170" s="189">
        <v>4041</v>
      </c>
      <c r="AH170" s="189">
        <v>4041</v>
      </c>
      <c r="AI170"/>
      <c r="AJ170" t="s">
        <v>238</v>
      </c>
      <c r="AK170" s="193">
        <v>0.5</v>
      </c>
      <c r="AL170" s="193">
        <v>0.46</v>
      </c>
      <c r="AM170" s="193">
        <v>0.43</v>
      </c>
      <c r="AN170" s="193">
        <v>0.48</v>
      </c>
      <c r="AO170" s="193">
        <v>0.52</v>
      </c>
      <c r="AP170" s="193">
        <v>0.53</v>
      </c>
      <c r="AQ170" s="193">
        <v>0.51</v>
      </c>
      <c r="AR170" s="193">
        <v>0.48</v>
      </c>
      <c r="AS170" s="193">
        <v>0.51</v>
      </c>
    </row>
    <row r="171" spans="25:45" x14ac:dyDescent="0.25">
      <c r="Y171"/>
      <c r="Z171"/>
      <c r="AA171"/>
      <c r="AB171" s="1"/>
      <c r="AC171" s="1"/>
      <c r="AD171" s="1"/>
      <c r="AE171" s="1"/>
      <c r="AF171" s="1"/>
      <c r="AG171" s="1"/>
      <c r="AH171" s="1"/>
      <c r="AI171"/>
      <c r="AJ171"/>
      <c r="AK171"/>
      <c r="AL171"/>
      <c r="AM171" s="1"/>
      <c r="AN171" s="1"/>
      <c r="AO171" s="1"/>
      <c r="AP171" s="1"/>
      <c r="AQ171" s="1"/>
    </row>
    <row r="172" spans="25:45" x14ac:dyDescent="0.25">
      <c r="Y172"/>
      <c r="Z172"/>
      <c r="AA172"/>
      <c r="AB172" s="1"/>
      <c r="AC172" s="1"/>
      <c r="AD172" s="1"/>
      <c r="AE172" s="1"/>
      <c r="AF172" s="1"/>
      <c r="AG172" s="1"/>
      <c r="AH172" s="1"/>
      <c r="AI172"/>
      <c r="AJ172"/>
      <c r="AK172"/>
      <c r="AL172"/>
      <c r="AM172" s="1"/>
      <c r="AN172" s="1"/>
      <c r="AO172" s="1"/>
      <c r="AP172" s="1"/>
      <c r="AQ172" s="1"/>
    </row>
    <row r="173" spans="25:45" x14ac:dyDescent="0.25">
      <c r="Y173"/>
      <c r="Z173"/>
      <c r="AA173"/>
      <c r="AB173" s="1"/>
      <c r="AC173" s="1"/>
      <c r="AD173" s="1"/>
      <c r="AE173" s="1"/>
      <c r="AF173" s="1"/>
      <c r="AG173" s="1"/>
      <c r="AH173" s="1"/>
      <c r="AI173"/>
      <c r="AJ173"/>
      <c r="AK173"/>
      <c r="AL173"/>
      <c r="AM173" s="1"/>
      <c r="AN173" s="1"/>
      <c r="AO173" s="1"/>
      <c r="AP173" s="1"/>
      <c r="AQ173" s="1"/>
    </row>
    <row r="174" spans="25:45" x14ac:dyDescent="0.25">
      <c r="Y174"/>
      <c r="Z174"/>
      <c r="AA174"/>
      <c r="AB174" s="1"/>
      <c r="AC174" s="1"/>
      <c r="AD174" s="1"/>
      <c r="AE174" s="1"/>
      <c r="AF174" s="1"/>
      <c r="AG174" s="1"/>
      <c r="AH174" s="1"/>
      <c r="AI174"/>
      <c r="AJ174"/>
      <c r="AK174"/>
      <c r="AL174"/>
      <c r="AM174" s="1"/>
      <c r="AN174" s="1"/>
      <c r="AO174" s="1"/>
      <c r="AP174" s="1"/>
      <c r="AQ174" s="1"/>
    </row>
    <row r="175" spans="25:45" x14ac:dyDescent="0.25">
      <c r="Y175"/>
      <c r="Z175"/>
      <c r="AA175"/>
      <c r="AB175" s="1"/>
      <c r="AC175" s="1"/>
      <c r="AD175" s="1"/>
      <c r="AE175" s="1"/>
      <c r="AF175" s="1"/>
      <c r="AG175" s="1"/>
      <c r="AH175" s="1"/>
      <c r="AI175"/>
      <c r="AJ175"/>
      <c r="AK175"/>
      <c r="AL175"/>
      <c r="AM175" s="1"/>
      <c r="AN175" s="1"/>
      <c r="AO175" s="1"/>
      <c r="AP175" s="1"/>
      <c r="AQ175" s="1"/>
    </row>
    <row r="176" spans="25:45" x14ac:dyDescent="0.25">
      <c r="Y176"/>
      <c r="Z176"/>
      <c r="AA176"/>
      <c r="AB176" s="1"/>
      <c r="AC176" s="1"/>
      <c r="AD176" s="1"/>
      <c r="AE176" s="1"/>
      <c r="AF176" s="1"/>
      <c r="AG176" s="1"/>
      <c r="AH176" s="1"/>
      <c r="AI176"/>
      <c r="AJ176"/>
      <c r="AK176"/>
      <c r="AL176"/>
      <c r="AM176" s="1"/>
      <c r="AN176" s="1"/>
      <c r="AO176" s="1"/>
      <c r="AP176" s="1"/>
      <c r="AQ176" s="1"/>
    </row>
    <row r="177" spans="25:45" x14ac:dyDescent="0.25">
      <c r="Y177"/>
      <c r="Z177"/>
      <c r="AA177"/>
      <c r="AB177" s="1"/>
      <c r="AC177" s="1"/>
      <c r="AD177" s="1"/>
      <c r="AE177" s="1"/>
      <c r="AF177" s="1"/>
      <c r="AG177" s="1"/>
      <c r="AH177" s="1"/>
      <c r="AI177"/>
      <c r="AJ177"/>
      <c r="AK177"/>
      <c r="AL177"/>
      <c r="AM177" s="1"/>
      <c r="AN177" s="1"/>
      <c r="AO177" s="1"/>
      <c r="AP177" s="1"/>
      <c r="AQ177" s="1"/>
    </row>
    <row r="178" spans="25:45" x14ac:dyDescent="0.25">
      <c r="Y178"/>
      <c r="Z178"/>
      <c r="AA178"/>
      <c r="AB178" s="1"/>
      <c r="AC178" s="1"/>
      <c r="AD178" s="1"/>
      <c r="AE178" s="1"/>
      <c r="AF178" s="1"/>
      <c r="AG178" s="1"/>
      <c r="AH178" s="1"/>
      <c r="AI178"/>
      <c r="AJ178"/>
      <c r="AK178"/>
      <c r="AL178"/>
      <c r="AM178" s="1"/>
      <c r="AN178" s="1"/>
      <c r="AO178" s="1"/>
      <c r="AP178" s="1"/>
      <c r="AQ178" s="1"/>
    </row>
    <row r="179" spans="25:45" x14ac:dyDescent="0.25">
      <c r="Y179"/>
      <c r="Z179"/>
      <c r="AA179"/>
      <c r="AB179" s="1"/>
      <c r="AC179" s="1"/>
      <c r="AD179" s="1"/>
      <c r="AE179" s="1"/>
      <c r="AF179" s="1"/>
      <c r="AG179" s="1"/>
      <c r="AH179" s="1"/>
      <c r="AI179"/>
      <c r="AJ179"/>
      <c r="AK179"/>
      <c r="AL179"/>
      <c r="AM179" s="1"/>
      <c r="AN179" s="1"/>
      <c r="AO179" s="1"/>
      <c r="AP179" s="1"/>
      <c r="AQ179" s="1"/>
    </row>
    <row r="180" spans="25:45" x14ac:dyDescent="0.25">
      <c r="Y180" t="s">
        <v>270</v>
      </c>
      <c r="Z180"/>
      <c r="AA180"/>
      <c r="AB180" s="1"/>
      <c r="AC180" s="1"/>
      <c r="AD180" s="1"/>
      <c r="AE180" s="1"/>
      <c r="AF180" s="1"/>
      <c r="AG180" s="1"/>
      <c r="AH180" s="1"/>
      <c r="AI180"/>
      <c r="AJ180" t="s">
        <v>270</v>
      </c>
      <c r="AK180"/>
      <c r="AL180"/>
      <c r="AM180" s="1"/>
      <c r="AN180" s="1"/>
      <c r="AO180" s="1"/>
      <c r="AP180" s="1"/>
      <c r="AQ180" s="1"/>
    </row>
    <row r="181" spans="25:45" x14ac:dyDescent="0.25">
      <c r="Y181" t="s">
        <v>271</v>
      </c>
      <c r="Z181" t="s">
        <v>205</v>
      </c>
      <c r="AA181" t="s">
        <v>240</v>
      </c>
      <c r="AB181" t="s">
        <v>253</v>
      </c>
      <c r="AC181" t="s">
        <v>258</v>
      </c>
      <c r="AD181" t="s">
        <v>265</v>
      </c>
      <c r="AE181" t="s">
        <v>266</v>
      </c>
      <c r="AF181" t="s">
        <v>267</v>
      </c>
      <c r="AG181" t="s">
        <v>268</v>
      </c>
      <c r="AH181" s="188" t="s">
        <v>308</v>
      </c>
      <c r="AI181"/>
      <c r="AJ181" t="s">
        <v>271</v>
      </c>
      <c r="AK181" t="s">
        <v>205</v>
      </c>
      <c r="AL181" t="s">
        <v>240</v>
      </c>
      <c r="AM181" t="s">
        <v>253</v>
      </c>
      <c r="AN181" t="s">
        <v>258</v>
      </c>
      <c r="AO181" t="s">
        <v>265</v>
      </c>
      <c r="AP181" t="s">
        <v>266</v>
      </c>
      <c r="AQ181" t="s">
        <v>267</v>
      </c>
      <c r="AR181" t="s">
        <v>268</v>
      </c>
      <c r="AS181" s="188" t="s">
        <v>308</v>
      </c>
    </row>
    <row r="182" spans="25:45" x14ac:dyDescent="0.25">
      <c r="Y182" t="s">
        <v>206</v>
      </c>
      <c r="Z182" s="189">
        <v>4006.5</v>
      </c>
      <c r="AA182" s="189">
        <v>3435.5</v>
      </c>
      <c r="AB182" s="189">
        <v>3096</v>
      </c>
      <c r="AC182" s="189">
        <v>3641</v>
      </c>
      <c r="AD182" s="189">
        <v>4057</v>
      </c>
      <c r="AE182" s="189">
        <v>4310.5</v>
      </c>
      <c r="AF182" s="189">
        <v>3915.5</v>
      </c>
      <c r="AG182" s="189">
        <v>3827.5</v>
      </c>
      <c r="AH182" s="190">
        <v>3871.5</v>
      </c>
      <c r="AI182"/>
      <c r="AJ182" t="s">
        <v>206</v>
      </c>
      <c r="AK182" s="193">
        <v>0.40500000000000003</v>
      </c>
      <c r="AL182" s="193">
        <v>0.26500000000000001</v>
      </c>
      <c r="AM182" s="193">
        <v>0.22500000000000001</v>
      </c>
      <c r="AN182" s="193">
        <v>0.29499999999999998</v>
      </c>
      <c r="AO182" s="193">
        <v>0.41500000000000004</v>
      </c>
      <c r="AP182" s="193">
        <v>0.44500000000000001</v>
      </c>
      <c r="AQ182" s="193">
        <v>0.39500000000000002</v>
      </c>
      <c r="AR182" s="193">
        <v>0.32999999999999996</v>
      </c>
      <c r="AS182" s="194">
        <v>0.39500000000000002</v>
      </c>
    </row>
    <row r="183" spans="25:45" x14ac:dyDescent="0.25">
      <c r="Y183" t="s">
        <v>211</v>
      </c>
      <c r="Z183" s="189">
        <v>2721</v>
      </c>
      <c r="AA183" s="189">
        <v>1849</v>
      </c>
      <c r="AB183" s="189">
        <v>1631</v>
      </c>
      <c r="AC183" s="189">
        <v>2175</v>
      </c>
      <c r="AD183" s="189">
        <v>2730</v>
      </c>
      <c r="AE183" s="189">
        <v>3505</v>
      </c>
      <c r="AF183" s="189">
        <v>2676</v>
      </c>
      <c r="AG183" s="189">
        <v>2310</v>
      </c>
      <c r="AH183" s="190">
        <v>2573</v>
      </c>
      <c r="AI183"/>
      <c r="AJ183" t="s">
        <v>211</v>
      </c>
      <c r="AK183" s="193">
        <v>0.1</v>
      </c>
      <c r="AL183" s="193">
        <v>0.08</v>
      </c>
      <c r="AM183" s="193">
        <v>7.0000000000000007E-2</v>
      </c>
      <c r="AN183" s="193">
        <v>0.09</v>
      </c>
      <c r="AO183" s="193">
        <v>0.18</v>
      </c>
      <c r="AP183" s="193">
        <v>0.18</v>
      </c>
      <c r="AQ183" s="193">
        <v>0.17</v>
      </c>
      <c r="AR183" s="193">
        <v>0.12</v>
      </c>
      <c r="AS183" s="194">
        <v>0.16</v>
      </c>
    </row>
    <row r="184" spans="25:45" x14ac:dyDescent="0.25">
      <c r="Y184" t="s">
        <v>223</v>
      </c>
      <c r="Z184" s="189">
        <v>5588</v>
      </c>
      <c r="AA184" s="189">
        <v>4801</v>
      </c>
      <c r="AB184" s="189">
        <v>4167</v>
      </c>
      <c r="AC184" s="189">
        <v>5109</v>
      </c>
      <c r="AD184" s="189">
        <v>5717</v>
      </c>
      <c r="AE184" s="189">
        <v>6086</v>
      </c>
      <c r="AF184" s="189">
        <v>5593</v>
      </c>
      <c r="AG184" s="189">
        <v>5266</v>
      </c>
      <c r="AH184" s="190">
        <v>5628</v>
      </c>
      <c r="AI184"/>
      <c r="AJ184" t="s">
        <v>223</v>
      </c>
      <c r="AK184" s="193">
        <v>0.46</v>
      </c>
      <c r="AL184" s="193">
        <v>0.38</v>
      </c>
      <c r="AM184" s="193">
        <v>0.31</v>
      </c>
      <c r="AN184" s="193">
        <v>0.42</v>
      </c>
      <c r="AO184" s="193">
        <v>0.5</v>
      </c>
      <c r="AP184" s="193">
        <v>0.54</v>
      </c>
      <c r="AQ184" s="193">
        <v>0.48</v>
      </c>
      <c r="AR184" s="193">
        <v>0.44</v>
      </c>
      <c r="AS184" s="194">
        <v>0.47</v>
      </c>
    </row>
    <row r="185" spans="25:45" x14ac:dyDescent="0.25">
      <c r="Y185" t="s">
        <v>224</v>
      </c>
      <c r="Z185" s="189">
        <v>3892</v>
      </c>
      <c r="AA185" s="189">
        <v>3093</v>
      </c>
      <c r="AB185" s="189">
        <v>2592</v>
      </c>
      <c r="AC185" s="189">
        <v>3456</v>
      </c>
      <c r="AD185" s="189">
        <v>4104</v>
      </c>
      <c r="AE185" s="189">
        <v>4535</v>
      </c>
      <c r="AF185" s="189">
        <v>3900</v>
      </c>
      <c r="AG185" s="189">
        <v>3710</v>
      </c>
      <c r="AH185" s="190">
        <v>3818</v>
      </c>
      <c r="AI185"/>
      <c r="AJ185" t="s">
        <v>224</v>
      </c>
      <c r="AK185" s="193">
        <v>0.24</v>
      </c>
      <c r="AL185" s="193">
        <v>0.2</v>
      </c>
      <c r="AM185" s="193">
        <v>0.16</v>
      </c>
      <c r="AN185" s="193">
        <v>0.22</v>
      </c>
      <c r="AO185" s="193">
        <v>0.28000000000000003</v>
      </c>
      <c r="AP185" s="193">
        <v>0.3</v>
      </c>
      <c r="AQ185" s="193">
        <v>0.28000000000000003</v>
      </c>
      <c r="AR185" s="193">
        <v>0.23</v>
      </c>
      <c r="AS185" s="194">
        <v>0.26</v>
      </c>
    </row>
    <row r="186" spans="25:45" x14ac:dyDescent="0.25">
      <c r="Y186" t="s">
        <v>225</v>
      </c>
      <c r="Z186" s="189">
        <v>1735</v>
      </c>
      <c r="AA186" s="189">
        <v>1306</v>
      </c>
      <c r="AB186" s="189">
        <v>1086</v>
      </c>
      <c r="AC186" s="189">
        <v>1448</v>
      </c>
      <c r="AD186" s="189">
        <v>1742</v>
      </c>
      <c r="AE186" s="189">
        <v>1891</v>
      </c>
      <c r="AF186" s="189">
        <v>1606</v>
      </c>
      <c r="AG186" s="189">
        <v>1558</v>
      </c>
      <c r="AH186" s="190">
        <v>1633</v>
      </c>
      <c r="AI186"/>
      <c r="AJ186" t="s">
        <v>225</v>
      </c>
      <c r="AK186" s="193">
        <v>0.53</v>
      </c>
      <c r="AL186" s="193">
        <v>0.4</v>
      </c>
      <c r="AM186" s="193">
        <v>0.32</v>
      </c>
      <c r="AN186" s="193">
        <v>0.43</v>
      </c>
      <c r="AO186" s="193">
        <v>0.53</v>
      </c>
      <c r="AP186" s="193">
        <v>0.57999999999999996</v>
      </c>
      <c r="AQ186" s="193">
        <v>0.54</v>
      </c>
      <c r="AR186" s="193">
        <v>0.48</v>
      </c>
      <c r="AS186" s="194">
        <v>0.5</v>
      </c>
    </row>
    <row r="187" spans="25:45" x14ac:dyDescent="0.25">
      <c r="Y187" t="s">
        <v>228</v>
      </c>
      <c r="Z187" s="189">
        <v>5845</v>
      </c>
      <c r="AA187" s="189">
        <v>5042</v>
      </c>
      <c r="AB187" s="189">
        <v>4444</v>
      </c>
      <c r="AC187" s="189">
        <v>5198</v>
      </c>
      <c r="AD187" s="189">
        <v>6045</v>
      </c>
      <c r="AE187" s="189">
        <v>6161</v>
      </c>
      <c r="AF187" s="189">
        <v>5686</v>
      </c>
      <c r="AG187" s="189">
        <v>5655</v>
      </c>
      <c r="AH187" s="190">
        <v>5776</v>
      </c>
      <c r="AI187"/>
      <c r="AJ187" t="s">
        <v>228</v>
      </c>
      <c r="AK187" s="193">
        <v>0.61</v>
      </c>
      <c r="AL187" s="193">
        <v>0.57999999999999996</v>
      </c>
      <c r="AM187" s="193">
        <v>0.53</v>
      </c>
      <c r="AN187" s="193">
        <v>0.6</v>
      </c>
      <c r="AO187" s="193">
        <v>0.66</v>
      </c>
      <c r="AP187" s="193">
        <v>0.67</v>
      </c>
      <c r="AQ187" s="193">
        <v>0.69</v>
      </c>
      <c r="AR187" s="193">
        <v>0.59</v>
      </c>
      <c r="AS187" s="194">
        <v>0.66</v>
      </c>
    </row>
    <row r="188" spans="25:45" x14ac:dyDescent="0.25">
      <c r="Y188" t="s">
        <v>230</v>
      </c>
      <c r="Z188">
        <v>1789</v>
      </c>
      <c r="AA188">
        <v>1401.5</v>
      </c>
      <c r="AB188">
        <v>1188.5</v>
      </c>
      <c r="AC188">
        <v>1584.5</v>
      </c>
      <c r="AD188">
        <v>1804</v>
      </c>
      <c r="AE188">
        <v>2036</v>
      </c>
      <c r="AF188">
        <v>1739</v>
      </c>
      <c r="AG188">
        <v>1637.5</v>
      </c>
      <c r="AH188" s="188">
        <v>1710.5</v>
      </c>
      <c r="AI188"/>
      <c r="AJ188" t="s">
        <v>230</v>
      </c>
      <c r="AK188">
        <v>0.29000000000000004</v>
      </c>
      <c r="AL188">
        <v>0.245</v>
      </c>
      <c r="AM188">
        <v>0.2</v>
      </c>
      <c r="AN188">
        <v>0.27</v>
      </c>
      <c r="AO188">
        <v>0.34499999999999997</v>
      </c>
      <c r="AP188">
        <v>0.36</v>
      </c>
      <c r="AQ188">
        <v>0.32500000000000001</v>
      </c>
      <c r="AR188">
        <v>0.29000000000000004</v>
      </c>
      <c r="AS188" s="188">
        <v>0.32</v>
      </c>
    </row>
    <row r="189" spans="25:45" x14ac:dyDescent="0.25">
      <c r="Y189" t="s">
        <v>234</v>
      </c>
      <c r="Z189">
        <v>2957</v>
      </c>
      <c r="AA189">
        <v>2416</v>
      </c>
      <c r="AB189">
        <v>2012</v>
      </c>
      <c r="AC189">
        <v>2653</v>
      </c>
      <c r="AD189">
        <v>3085</v>
      </c>
      <c r="AE189">
        <v>3225</v>
      </c>
      <c r="AF189">
        <v>2795</v>
      </c>
      <c r="AG189">
        <v>2735</v>
      </c>
      <c r="AH189" s="188">
        <v>2898</v>
      </c>
      <c r="AI189"/>
      <c r="AJ189" t="s">
        <v>234</v>
      </c>
      <c r="AK189">
        <v>0.46</v>
      </c>
      <c r="AL189">
        <v>0.33</v>
      </c>
      <c r="AM189">
        <v>0.28000000000000003</v>
      </c>
      <c r="AN189">
        <v>0.38</v>
      </c>
      <c r="AO189">
        <v>0.53</v>
      </c>
      <c r="AP189">
        <v>0.54</v>
      </c>
      <c r="AQ189">
        <v>0.47</v>
      </c>
      <c r="AR189">
        <v>0.42</v>
      </c>
      <c r="AS189" s="188">
        <v>0.47</v>
      </c>
    </row>
    <row r="190" spans="25:45" x14ac:dyDescent="0.25">
      <c r="Y190"/>
      <c r="Z190"/>
      <c r="AA190"/>
      <c r="AB190" s="1"/>
      <c r="AC190" s="1"/>
      <c r="AD190" s="1"/>
      <c r="AE190" s="1"/>
      <c r="AF190" s="1"/>
      <c r="AG190" s="1"/>
      <c r="AH190" s="1"/>
      <c r="AI190"/>
      <c r="AJ190"/>
      <c r="AK190"/>
      <c r="AL190"/>
      <c r="AM190" s="1"/>
      <c r="AN190" s="1"/>
      <c r="AO190" s="1"/>
      <c r="AP190" s="1"/>
      <c r="AQ190" s="1"/>
    </row>
    <row r="191" spans="25:45" x14ac:dyDescent="0.25">
      <c r="Y191"/>
      <c r="Z191"/>
      <c r="AA191"/>
      <c r="AB191" s="1"/>
      <c r="AC191" s="1"/>
      <c r="AD191" s="1"/>
      <c r="AE191" s="1"/>
      <c r="AF191" s="1"/>
      <c r="AG191" s="1"/>
      <c r="AH191" s="1"/>
      <c r="AI191"/>
      <c r="AJ191"/>
      <c r="AK191"/>
      <c r="AL191"/>
      <c r="AM191" s="1"/>
      <c r="AN191" s="1"/>
      <c r="AO191" s="1"/>
      <c r="AP191" s="1"/>
      <c r="AQ191" s="1"/>
    </row>
    <row r="192" spans="25:45" x14ac:dyDescent="0.25">
      <c r="Y192"/>
      <c r="Z192"/>
      <c r="AA192"/>
      <c r="AB192" s="1"/>
      <c r="AC192" s="1"/>
      <c r="AD192" s="1"/>
      <c r="AE192" s="1"/>
      <c r="AF192" s="1"/>
      <c r="AG192" s="1"/>
      <c r="AH192" s="1"/>
      <c r="AI192"/>
      <c r="AJ192"/>
      <c r="AK192"/>
      <c r="AL192"/>
      <c r="AM192" s="1"/>
      <c r="AN192" s="1"/>
      <c r="AO192" s="1"/>
      <c r="AP192" s="1"/>
      <c r="AQ192" s="1"/>
    </row>
    <row r="193" spans="25:45" x14ac:dyDescent="0.25">
      <c r="Y193" t="s">
        <v>272</v>
      </c>
      <c r="Z193"/>
      <c r="AA193"/>
      <c r="AB193" s="1"/>
      <c r="AC193" s="1"/>
      <c r="AD193" s="1"/>
      <c r="AE193" s="1"/>
      <c r="AF193" s="1"/>
      <c r="AG193" s="1"/>
      <c r="AH193" s="1"/>
      <c r="AI193"/>
      <c r="AJ193" t="s">
        <v>272</v>
      </c>
      <c r="AK193"/>
      <c r="AL193"/>
      <c r="AM193" s="1"/>
      <c r="AN193" s="1"/>
      <c r="AO193" s="1"/>
      <c r="AP193" s="1"/>
      <c r="AQ193" s="1"/>
    </row>
    <row r="194" spans="25:45" x14ac:dyDescent="0.25">
      <c r="Y194" t="s">
        <v>271</v>
      </c>
      <c r="Z194" t="s">
        <v>205</v>
      </c>
      <c r="AA194" t="s">
        <v>240</v>
      </c>
      <c r="AB194" t="s">
        <v>253</v>
      </c>
      <c r="AC194" t="s">
        <v>258</v>
      </c>
      <c r="AD194" t="s">
        <v>265</v>
      </c>
      <c r="AE194" t="s">
        <v>266</v>
      </c>
      <c r="AF194" t="s">
        <v>267</v>
      </c>
      <c r="AG194" t="s">
        <v>268</v>
      </c>
      <c r="AH194" s="188" t="s">
        <v>308</v>
      </c>
      <c r="AI194"/>
      <c r="AJ194" t="s">
        <v>271</v>
      </c>
      <c r="AK194" t="s">
        <v>205</v>
      </c>
      <c r="AL194" t="s">
        <v>240</v>
      </c>
      <c r="AM194" t="s">
        <v>253</v>
      </c>
      <c r="AN194" t="s">
        <v>258</v>
      </c>
      <c r="AO194" t="s">
        <v>265</v>
      </c>
      <c r="AP194" t="s">
        <v>266</v>
      </c>
      <c r="AQ194" t="s">
        <v>267</v>
      </c>
      <c r="AR194" t="s">
        <v>268</v>
      </c>
      <c r="AS194" s="188" t="s">
        <v>308</v>
      </c>
    </row>
    <row r="195" spans="25:45" x14ac:dyDescent="0.25">
      <c r="Y195" s="191" t="s">
        <v>206</v>
      </c>
      <c r="Z195" s="192">
        <v>4005.5</v>
      </c>
      <c r="AA195" s="192">
        <v>3435</v>
      </c>
      <c r="AB195" s="192">
        <v>3095.5</v>
      </c>
      <c r="AC195" s="192">
        <v>3640.5</v>
      </c>
      <c r="AD195" s="192">
        <v>4056.5</v>
      </c>
      <c r="AE195" s="192">
        <v>4309</v>
      </c>
      <c r="AF195" s="192">
        <v>3913.5</v>
      </c>
      <c r="AG195" s="192">
        <v>3826.5</v>
      </c>
      <c r="AH195" s="192">
        <v>3871</v>
      </c>
      <c r="AI195"/>
      <c r="AJ195" s="191" t="s">
        <v>206</v>
      </c>
      <c r="AK195" s="195">
        <v>0.40500000000000003</v>
      </c>
      <c r="AL195" s="195">
        <v>0.26</v>
      </c>
      <c r="AM195" s="195">
        <v>0.22500000000000001</v>
      </c>
      <c r="AN195" s="195">
        <v>0.29499999999999998</v>
      </c>
      <c r="AO195" s="195">
        <v>0.41500000000000004</v>
      </c>
      <c r="AP195" s="195">
        <v>0.44500000000000001</v>
      </c>
      <c r="AQ195" s="195">
        <v>0.39500000000000002</v>
      </c>
      <c r="AR195" s="195">
        <v>0.32999999999999996</v>
      </c>
      <c r="AS195" s="195">
        <v>0.39</v>
      </c>
    </row>
    <row r="196" spans="25:45" x14ac:dyDescent="0.25">
      <c r="Y196" s="191" t="s">
        <v>211</v>
      </c>
      <c r="Z196" s="192">
        <v>2742</v>
      </c>
      <c r="AA196" s="192">
        <v>1851</v>
      </c>
      <c r="AB196" s="192">
        <v>1634</v>
      </c>
      <c r="AC196" s="192">
        <v>2178</v>
      </c>
      <c r="AD196" s="192">
        <v>2744</v>
      </c>
      <c r="AE196" s="192">
        <v>3517</v>
      </c>
      <c r="AF196" s="192">
        <v>2685</v>
      </c>
      <c r="AG196" s="192">
        <v>2313</v>
      </c>
      <c r="AH196" s="192">
        <v>2604</v>
      </c>
      <c r="AI196"/>
      <c r="AJ196" s="191" t="s">
        <v>211</v>
      </c>
      <c r="AK196" s="195">
        <v>0.11</v>
      </c>
      <c r="AL196" s="195">
        <v>0.08</v>
      </c>
      <c r="AM196" s="195">
        <v>7.0000000000000007E-2</v>
      </c>
      <c r="AN196" s="195">
        <v>0.09</v>
      </c>
      <c r="AO196" s="195">
        <v>0.18</v>
      </c>
      <c r="AP196" s="195">
        <v>0.18</v>
      </c>
      <c r="AQ196" s="195">
        <v>0.17</v>
      </c>
      <c r="AR196" s="195">
        <v>0.12</v>
      </c>
      <c r="AS196" s="195">
        <v>0.17</v>
      </c>
    </row>
    <row r="197" spans="25:45" x14ac:dyDescent="0.25">
      <c r="Y197" s="191" t="s">
        <v>223</v>
      </c>
      <c r="Z197" s="192">
        <v>5587</v>
      </c>
      <c r="AA197" s="192">
        <v>4798</v>
      </c>
      <c r="AB197" s="192">
        <v>4165</v>
      </c>
      <c r="AC197" s="192">
        <v>5107</v>
      </c>
      <c r="AD197" s="192">
        <v>5714</v>
      </c>
      <c r="AE197" s="192">
        <v>6084</v>
      </c>
      <c r="AF197" s="192">
        <v>5591</v>
      </c>
      <c r="AG197" s="192">
        <v>5263</v>
      </c>
      <c r="AH197" s="192">
        <v>5626</v>
      </c>
      <c r="AI197"/>
      <c r="AJ197" s="191" t="s">
        <v>223</v>
      </c>
      <c r="AK197" s="195">
        <v>0.45</v>
      </c>
      <c r="AL197" s="195">
        <v>0.37</v>
      </c>
      <c r="AM197" s="195">
        <v>0.31</v>
      </c>
      <c r="AN197" s="195">
        <v>0.41</v>
      </c>
      <c r="AO197" s="195">
        <v>0.49</v>
      </c>
      <c r="AP197" s="195">
        <v>0.54</v>
      </c>
      <c r="AQ197" s="195">
        <v>0.47</v>
      </c>
      <c r="AR197" s="195">
        <v>0.44</v>
      </c>
      <c r="AS197" s="195">
        <v>0.46</v>
      </c>
    </row>
    <row r="198" spans="25:45" x14ac:dyDescent="0.25">
      <c r="Y198" s="191" t="s">
        <v>224</v>
      </c>
      <c r="Z198" s="192">
        <v>3894</v>
      </c>
      <c r="AA198" s="192">
        <v>3093</v>
      </c>
      <c r="AB198" s="192">
        <v>2593</v>
      </c>
      <c r="AC198" s="192">
        <v>3457</v>
      </c>
      <c r="AD198" s="192">
        <v>4106</v>
      </c>
      <c r="AE198" s="192">
        <v>4537</v>
      </c>
      <c r="AF198" s="192">
        <v>3902</v>
      </c>
      <c r="AG198" s="192">
        <v>3711</v>
      </c>
      <c r="AH198" s="192">
        <v>3819</v>
      </c>
      <c r="AI198"/>
      <c r="AJ198" s="191" t="s">
        <v>224</v>
      </c>
      <c r="AK198" s="195">
        <v>0.24</v>
      </c>
      <c r="AL198" s="195">
        <v>0.2</v>
      </c>
      <c r="AM198" s="195">
        <v>0.16</v>
      </c>
      <c r="AN198" s="195">
        <v>0.22</v>
      </c>
      <c r="AO198" s="195">
        <v>0.28000000000000003</v>
      </c>
      <c r="AP198" s="195">
        <v>0.3</v>
      </c>
      <c r="AQ198" s="195">
        <v>0.28000000000000003</v>
      </c>
      <c r="AR198" s="195">
        <v>0.23</v>
      </c>
      <c r="AS198" s="195">
        <v>0.26</v>
      </c>
    </row>
    <row r="199" spans="25:45" x14ac:dyDescent="0.25">
      <c r="Y199" s="191" t="s">
        <v>225</v>
      </c>
      <c r="Z199" s="192">
        <v>1735</v>
      </c>
      <c r="AA199" s="192">
        <v>1306</v>
      </c>
      <c r="AB199" s="192">
        <v>1086</v>
      </c>
      <c r="AC199" s="192">
        <v>1448</v>
      </c>
      <c r="AD199" s="192">
        <v>1742</v>
      </c>
      <c r="AE199" s="192">
        <v>1891</v>
      </c>
      <c r="AF199" s="192">
        <v>1606</v>
      </c>
      <c r="AG199" s="192">
        <v>1558</v>
      </c>
      <c r="AH199" s="192">
        <v>1633</v>
      </c>
      <c r="AI199"/>
      <c r="AJ199" s="191" t="s">
        <v>225</v>
      </c>
      <c r="AK199" s="195">
        <v>0.53</v>
      </c>
      <c r="AL199" s="195">
        <v>0.4</v>
      </c>
      <c r="AM199" s="195">
        <v>0.32</v>
      </c>
      <c r="AN199" s="195">
        <v>0.43</v>
      </c>
      <c r="AO199" s="195">
        <v>0.54</v>
      </c>
      <c r="AP199" s="195">
        <v>0.59</v>
      </c>
      <c r="AQ199" s="195">
        <v>0.54</v>
      </c>
      <c r="AR199" s="195">
        <v>0.48</v>
      </c>
      <c r="AS199" s="195">
        <v>0.5</v>
      </c>
    </row>
    <row r="200" spans="25:45" x14ac:dyDescent="0.25">
      <c r="Y200" s="191" t="s">
        <v>228</v>
      </c>
      <c r="Z200" s="192">
        <v>5844</v>
      </c>
      <c r="AA200" s="192">
        <v>5039</v>
      </c>
      <c r="AB200" s="192">
        <v>4442</v>
      </c>
      <c r="AC200" s="192">
        <v>5197</v>
      </c>
      <c r="AD200" s="192">
        <v>6043</v>
      </c>
      <c r="AE200" s="192">
        <v>6159</v>
      </c>
      <c r="AF200" s="192">
        <v>5683</v>
      </c>
      <c r="AG200" s="192">
        <v>5652</v>
      </c>
      <c r="AH200" s="192">
        <v>5773</v>
      </c>
      <c r="AI200"/>
      <c r="AJ200" s="191" t="s">
        <v>228</v>
      </c>
      <c r="AK200" s="195">
        <v>0.61</v>
      </c>
      <c r="AL200" s="195">
        <v>0.57999999999999996</v>
      </c>
      <c r="AM200" s="195">
        <v>0.53</v>
      </c>
      <c r="AN200" s="195">
        <v>0.61</v>
      </c>
      <c r="AO200" s="195">
        <v>0.67</v>
      </c>
      <c r="AP200" s="195">
        <v>0.68</v>
      </c>
      <c r="AQ200" s="195">
        <v>0.7</v>
      </c>
      <c r="AR200" s="195">
        <v>0.59</v>
      </c>
      <c r="AS200" s="195">
        <v>0.66</v>
      </c>
    </row>
    <row r="201" spans="25:45" x14ac:dyDescent="0.25">
      <c r="Y201" s="191" t="s">
        <v>230</v>
      </c>
      <c r="Z201" s="192">
        <v>1789</v>
      </c>
      <c r="AA201" s="192">
        <v>1401.5</v>
      </c>
      <c r="AB201" s="192">
        <v>1188.5</v>
      </c>
      <c r="AC201" s="192">
        <v>1584.5</v>
      </c>
      <c r="AD201" s="192">
        <v>1804</v>
      </c>
      <c r="AE201" s="192">
        <v>2036</v>
      </c>
      <c r="AF201" s="192">
        <v>1739</v>
      </c>
      <c r="AG201" s="192">
        <v>1637.5</v>
      </c>
      <c r="AH201" s="192">
        <v>1710.5</v>
      </c>
      <c r="AI201"/>
      <c r="AJ201" s="191" t="s">
        <v>230</v>
      </c>
      <c r="AK201" s="195">
        <v>0.29000000000000004</v>
      </c>
      <c r="AL201" s="195">
        <v>0.245</v>
      </c>
      <c r="AM201" s="195">
        <v>0.2</v>
      </c>
      <c r="AN201" s="195">
        <v>0.27</v>
      </c>
      <c r="AO201" s="195">
        <v>0.34499999999999997</v>
      </c>
      <c r="AP201" s="195">
        <v>0.36</v>
      </c>
      <c r="AQ201" s="195">
        <v>0.32500000000000001</v>
      </c>
      <c r="AR201" s="195">
        <v>0.29000000000000004</v>
      </c>
      <c r="AS201" s="195">
        <v>0.32</v>
      </c>
    </row>
    <row r="202" spans="25:45" x14ac:dyDescent="0.25">
      <c r="Y202" s="191" t="s">
        <v>234</v>
      </c>
      <c r="Z202" s="192">
        <v>2957</v>
      </c>
      <c r="AA202" s="192">
        <v>2416</v>
      </c>
      <c r="AB202" s="192">
        <v>2012</v>
      </c>
      <c r="AC202" s="192">
        <v>2653</v>
      </c>
      <c r="AD202" s="192">
        <v>3085</v>
      </c>
      <c r="AE202" s="192">
        <v>3226</v>
      </c>
      <c r="AF202" s="192">
        <v>2795</v>
      </c>
      <c r="AG202" s="192">
        <v>2736</v>
      </c>
      <c r="AH202" s="192">
        <v>2898</v>
      </c>
      <c r="AI202"/>
      <c r="AJ202" s="191" t="s">
        <v>234</v>
      </c>
      <c r="AK202" s="195">
        <v>0.46</v>
      </c>
      <c r="AL202" s="195">
        <v>0.33</v>
      </c>
      <c r="AM202" s="195">
        <v>0.28000000000000003</v>
      </c>
      <c r="AN202" s="195">
        <v>0.38</v>
      </c>
      <c r="AO202" s="195">
        <v>0.53</v>
      </c>
      <c r="AP202" s="195">
        <v>0.54</v>
      </c>
      <c r="AQ202" s="195">
        <v>0.47</v>
      </c>
      <c r="AR202" s="195">
        <v>0.42</v>
      </c>
      <c r="AS202" s="195">
        <v>0.47</v>
      </c>
    </row>
    <row r="203" spans="25:45" x14ac:dyDescent="0.25">
      <c r="Y203"/>
      <c r="Z203"/>
      <c r="AA203"/>
      <c r="AB203" s="1"/>
      <c r="AC203" s="1"/>
      <c r="AD203" s="1"/>
      <c r="AE203" s="1"/>
      <c r="AF203" s="1"/>
      <c r="AG203" s="1"/>
      <c r="AH203" s="1"/>
      <c r="AI203"/>
      <c r="AJ203"/>
      <c r="AK203"/>
      <c r="AL203"/>
      <c r="AM203" s="1"/>
      <c r="AN203" s="1"/>
      <c r="AO203" s="1"/>
      <c r="AP203" s="1"/>
      <c r="AQ203" s="1"/>
    </row>
    <row r="204" spans="25:45" x14ac:dyDescent="0.25">
      <c r="Y204"/>
      <c r="Z204"/>
      <c r="AA204"/>
      <c r="AB204" s="1"/>
      <c r="AC204" s="1"/>
      <c r="AD204" s="1"/>
      <c r="AE204" s="1"/>
      <c r="AF204" s="1"/>
      <c r="AG204" s="1"/>
      <c r="AH204" s="1"/>
      <c r="AI204"/>
      <c r="AJ204"/>
      <c r="AK204"/>
      <c r="AL204"/>
      <c r="AM204" s="1"/>
      <c r="AN204" s="1"/>
      <c r="AO204" s="1"/>
      <c r="AP204" s="1"/>
      <c r="AQ204" s="1"/>
    </row>
    <row r="205" spans="25:45" x14ac:dyDescent="0.25">
      <c r="Y205"/>
      <c r="Z205"/>
      <c r="AA205"/>
      <c r="AB205" s="1"/>
      <c r="AC205" s="1"/>
      <c r="AD205" s="1"/>
      <c r="AE205" s="1"/>
      <c r="AF205" s="1"/>
      <c r="AG205" s="1"/>
      <c r="AH205" s="1"/>
      <c r="AI205"/>
      <c r="AJ205"/>
      <c r="AK205"/>
      <c r="AL205"/>
      <c r="AM205" s="1"/>
      <c r="AN205" s="1"/>
      <c r="AO205" s="1"/>
      <c r="AP205" s="1"/>
      <c r="AQ205" s="1"/>
    </row>
    <row r="206" spans="25:45" x14ac:dyDescent="0.25">
      <c r="Y206" t="s">
        <v>273</v>
      </c>
      <c r="Z206"/>
      <c r="AA206"/>
      <c r="AB206" s="1"/>
      <c r="AC206" s="1"/>
      <c r="AD206" s="1"/>
      <c r="AE206" s="1"/>
      <c r="AF206" s="1"/>
      <c r="AG206" s="1"/>
      <c r="AH206" s="1"/>
      <c r="AI206"/>
      <c r="AJ206" t="s">
        <v>273</v>
      </c>
      <c r="AK206"/>
      <c r="AL206"/>
      <c r="AM206" s="1"/>
      <c r="AN206" s="1"/>
      <c r="AO206" s="1"/>
      <c r="AP206" s="1"/>
      <c r="AQ206" s="1"/>
    </row>
    <row r="207" spans="25:45" x14ac:dyDescent="0.25">
      <c r="Y207" t="s">
        <v>271</v>
      </c>
      <c r="Z207" t="s">
        <v>205</v>
      </c>
      <c r="AA207" t="s">
        <v>240</v>
      </c>
      <c r="AB207" t="s">
        <v>253</v>
      </c>
      <c r="AC207" t="s">
        <v>258</v>
      </c>
      <c r="AD207" t="s">
        <v>265</v>
      </c>
      <c r="AE207" t="s">
        <v>266</v>
      </c>
      <c r="AF207" t="s">
        <v>267</v>
      </c>
      <c r="AG207" t="s">
        <v>268</v>
      </c>
      <c r="AH207" s="188" t="s">
        <v>308</v>
      </c>
      <c r="AI207"/>
      <c r="AJ207" t="s">
        <v>271</v>
      </c>
      <c r="AK207" t="s">
        <v>205</v>
      </c>
      <c r="AL207" t="s">
        <v>240</v>
      </c>
      <c r="AM207" t="s">
        <v>253</v>
      </c>
      <c r="AN207" t="s">
        <v>258</v>
      </c>
      <c r="AO207" t="s">
        <v>265</v>
      </c>
      <c r="AP207" t="s">
        <v>266</v>
      </c>
      <c r="AQ207" t="s">
        <v>267</v>
      </c>
      <c r="AR207" t="s">
        <v>268</v>
      </c>
      <c r="AS207" s="188" t="s">
        <v>308</v>
      </c>
    </row>
    <row r="208" spans="25:45" x14ac:dyDescent="0.25">
      <c r="Y208" t="s">
        <v>206</v>
      </c>
      <c r="Z208" s="189">
        <v>4548</v>
      </c>
      <c r="AA208" s="189">
        <v>5270.5</v>
      </c>
      <c r="AB208" s="189">
        <v>5900</v>
      </c>
      <c r="AC208" s="189">
        <v>5036</v>
      </c>
      <c r="AD208" s="189">
        <v>4250</v>
      </c>
      <c r="AE208" s="189">
        <v>4014</v>
      </c>
      <c r="AF208" s="189">
        <v>4572</v>
      </c>
      <c r="AG208" s="189">
        <v>4638</v>
      </c>
      <c r="AH208" s="189">
        <v>4487</v>
      </c>
      <c r="AI208"/>
      <c r="AJ208" t="s">
        <v>206</v>
      </c>
      <c r="AK208" s="193">
        <v>5.0000000000000001E-3</v>
      </c>
      <c r="AL208" s="193">
        <v>5.0000000000000001E-3</v>
      </c>
      <c r="AM208" s="193">
        <v>5.0000000000000001E-3</v>
      </c>
      <c r="AN208" s="193">
        <v>5.0000000000000001E-3</v>
      </c>
      <c r="AO208" s="193">
        <v>0</v>
      </c>
      <c r="AP208" s="193">
        <v>0</v>
      </c>
      <c r="AQ208" s="193">
        <v>5.0000000000000001E-3</v>
      </c>
      <c r="AR208" s="193">
        <v>5.0000000000000001E-3</v>
      </c>
      <c r="AS208" s="193">
        <v>5.0000000000000001E-3</v>
      </c>
    </row>
    <row r="209" spans="25:45" x14ac:dyDescent="0.25">
      <c r="Y209" t="s">
        <v>211</v>
      </c>
      <c r="Z209" s="189">
        <v>3651</v>
      </c>
      <c r="AA209" s="189">
        <v>4251</v>
      </c>
      <c r="AB209" s="189">
        <v>4722</v>
      </c>
      <c r="AC209" s="189">
        <v>4080</v>
      </c>
      <c r="AD209" s="189">
        <v>3492</v>
      </c>
      <c r="AE209" s="189">
        <v>3341</v>
      </c>
      <c r="AF209" s="189">
        <v>3705</v>
      </c>
      <c r="AG209" s="189">
        <v>3830</v>
      </c>
      <c r="AH209" s="189">
        <v>3658</v>
      </c>
      <c r="AI209"/>
      <c r="AJ209" t="s">
        <v>211</v>
      </c>
      <c r="AK209" s="193">
        <v>0</v>
      </c>
      <c r="AL209" s="193">
        <v>0</v>
      </c>
      <c r="AM209" s="193">
        <v>0</v>
      </c>
      <c r="AN209" s="193">
        <v>0</v>
      </c>
      <c r="AO209" s="193">
        <v>0</v>
      </c>
      <c r="AP209" s="193">
        <v>0</v>
      </c>
      <c r="AQ209" s="193">
        <v>0</v>
      </c>
      <c r="AR209" s="193">
        <v>0</v>
      </c>
      <c r="AS209" s="193">
        <v>0</v>
      </c>
    </row>
    <row r="210" spans="25:45" x14ac:dyDescent="0.25">
      <c r="Y210" t="s">
        <v>223</v>
      </c>
      <c r="Z210" s="189">
        <v>8760</v>
      </c>
      <c r="AA210" s="189">
        <v>8760</v>
      </c>
      <c r="AB210" s="189">
        <v>8760</v>
      </c>
      <c r="AC210" s="189">
        <v>8760</v>
      </c>
      <c r="AD210" s="189">
        <v>8760</v>
      </c>
      <c r="AE210" s="189">
        <v>8760</v>
      </c>
      <c r="AF210" s="189">
        <v>8760</v>
      </c>
      <c r="AG210" s="189">
        <v>8760</v>
      </c>
      <c r="AH210" s="189">
        <v>8760</v>
      </c>
      <c r="AI210"/>
      <c r="AJ210" t="s">
        <v>223</v>
      </c>
      <c r="AK210" s="193">
        <v>0.09</v>
      </c>
      <c r="AL210" s="193">
        <v>0.09</v>
      </c>
      <c r="AM210" s="193">
        <v>0.09</v>
      </c>
      <c r="AN210" s="193">
        <v>0.09</v>
      </c>
      <c r="AO210" s="193">
        <v>0.09</v>
      </c>
      <c r="AP210" s="193">
        <v>0.09</v>
      </c>
      <c r="AQ210" s="193">
        <v>0.09</v>
      </c>
      <c r="AR210" s="193">
        <v>0.09</v>
      </c>
      <c r="AS210" s="193">
        <v>0.09</v>
      </c>
    </row>
    <row r="211" spans="25:45" x14ac:dyDescent="0.25">
      <c r="Y211" t="s">
        <v>224</v>
      </c>
      <c r="Z211" s="189">
        <v>5934</v>
      </c>
      <c r="AA211" s="189">
        <v>6627</v>
      </c>
      <c r="AB211" s="189">
        <v>7170</v>
      </c>
      <c r="AC211" s="189">
        <v>6280</v>
      </c>
      <c r="AD211" s="189">
        <v>5823</v>
      </c>
      <c r="AE211" s="189">
        <v>5477</v>
      </c>
      <c r="AF211" s="189">
        <v>5991</v>
      </c>
      <c r="AG211" s="189">
        <v>6223</v>
      </c>
      <c r="AH211" s="189">
        <v>6045</v>
      </c>
      <c r="AI211"/>
      <c r="AJ211" t="s">
        <v>224</v>
      </c>
      <c r="AK211" s="193">
        <v>0</v>
      </c>
      <c r="AL211" s="193">
        <v>0</v>
      </c>
      <c r="AM211" s="193">
        <v>0</v>
      </c>
      <c r="AN211" s="193">
        <v>0</v>
      </c>
      <c r="AO211" s="193">
        <v>0</v>
      </c>
      <c r="AP211" s="193">
        <v>0</v>
      </c>
      <c r="AQ211" s="193">
        <v>0</v>
      </c>
      <c r="AR211" s="193">
        <v>0</v>
      </c>
      <c r="AS211" s="193">
        <v>0</v>
      </c>
    </row>
    <row r="212" spans="25:45" x14ac:dyDescent="0.25">
      <c r="Y212" t="s">
        <v>225</v>
      </c>
      <c r="Z212" s="189">
        <v>1258</v>
      </c>
      <c r="AA212" s="189">
        <v>1684</v>
      </c>
      <c r="AB212" s="189">
        <v>1944</v>
      </c>
      <c r="AC212" s="189">
        <v>1555</v>
      </c>
      <c r="AD212" s="189">
        <v>1184</v>
      </c>
      <c r="AE212" s="189">
        <v>1028</v>
      </c>
      <c r="AF212" s="189">
        <v>1287</v>
      </c>
      <c r="AG212" s="189">
        <v>1393</v>
      </c>
      <c r="AH212" s="190">
        <v>1277</v>
      </c>
      <c r="AI212"/>
      <c r="AJ212" t="s">
        <v>225</v>
      </c>
      <c r="AK212" s="193">
        <v>0</v>
      </c>
      <c r="AL212" s="193">
        <v>0</v>
      </c>
      <c r="AM212" s="193">
        <v>0</v>
      </c>
      <c r="AN212" s="193">
        <v>0</v>
      </c>
      <c r="AO212" s="193">
        <v>0</v>
      </c>
      <c r="AP212" s="193">
        <v>0</v>
      </c>
      <c r="AQ212" s="193">
        <v>0</v>
      </c>
      <c r="AR212" s="193">
        <v>0</v>
      </c>
      <c r="AS212" s="193">
        <v>0</v>
      </c>
    </row>
    <row r="213" spans="25:45" x14ac:dyDescent="0.25">
      <c r="Y213" t="s">
        <v>228</v>
      </c>
      <c r="Z213" s="189">
        <v>6469</v>
      </c>
      <c r="AA213" s="189">
        <v>7072</v>
      </c>
      <c r="AB213" s="189">
        <v>7587</v>
      </c>
      <c r="AC213" s="189">
        <v>6829</v>
      </c>
      <c r="AD213" s="189">
        <v>6155</v>
      </c>
      <c r="AE213" s="189">
        <v>6077</v>
      </c>
      <c r="AF213" s="189">
        <v>6574</v>
      </c>
      <c r="AG213" s="189">
        <v>6628</v>
      </c>
      <c r="AH213" s="190">
        <v>6387</v>
      </c>
      <c r="AI213"/>
      <c r="AJ213" t="s">
        <v>228</v>
      </c>
      <c r="AK213" s="193">
        <v>0</v>
      </c>
      <c r="AL213" s="193">
        <v>0</v>
      </c>
      <c r="AM213" s="193">
        <v>0</v>
      </c>
      <c r="AN213" s="193">
        <v>0</v>
      </c>
      <c r="AO213" s="193">
        <v>0</v>
      </c>
      <c r="AP213" s="193">
        <v>0</v>
      </c>
      <c r="AQ213" s="193">
        <v>0</v>
      </c>
      <c r="AR213" s="193">
        <v>0</v>
      </c>
      <c r="AS213" s="193">
        <v>0</v>
      </c>
    </row>
    <row r="214" spans="25:45" x14ac:dyDescent="0.25">
      <c r="Y214" t="s">
        <v>230</v>
      </c>
      <c r="Z214">
        <v>3214</v>
      </c>
      <c r="AA214">
        <v>3876</v>
      </c>
      <c r="AB214">
        <v>4445.5</v>
      </c>
      <c r="AC214">
        <v>3610.5</v>
      </c>
      <c r="AD214">
        <v>3014</v>
      </c>
      <c r="AE214">
        <v>2689.5</v>
      </c>
      <c r="AF214">
        <v>3245.5</v>
      </c>
      <c r="AG214">
        <v>3336</v>
      </c>
      <c r="AH214" s="188">
        <v>3168.5</v>
      </c>
      <c r="AI214"/>
      <c r="AJ214" t="s">
        <v>230</v>
      </c>
      <c r="AK214" s="193">
        <v>0</v>
      </c>
      <c r="AL214" s="193">
        <v>0</v>
      </c>
      <c r="AM214" s="193">
        <v>0</v>
      </c>
      <c r="AN214" s="193">
        <v>0</v>
      </c>
      <c r="AO214" s="193">
        <v>0</v>
      </c>
      <c r="AP214" s="193">
        <v>0</v>
      </c>
      <c r="AQ214" s="193">
        <v>0</v>
      </c>
      <c r="AR214" s="193">
        <v>0</v>
      </c>
      <c r="AS214" s="193">
        <v>0</v>
      </c>
    </row>
    <row r="215" spans="25:45" x14ac:dyDescent="0.25">
      <c r="Y215" t="s">
        <v>234</v>
      </c>
      <c r="Z215">
        <v>2676</v>
      </c>
      <c r="AA215">
        <v>3183</v>
      </c>
      <c r="AB215">
        <v>3568</v>
      </c>
      <c r="AC215">
        <v>2960</v>
      </c>
      <c r="AD215">
        <v>2561</v>
      </c>
      <c r="AE215">
        <v>2398</v>
      </c>
      <c r="AF215">
        <v>2908</v>
      </c>
      <c r="AG215">
        <v>2841</v>
      </c>
      <c r="AH215" s="188">
        <v>2660</v>
      </c>
      <c r="AI215"/>
      <c r="AJ215" t="s">
        <v>234</v>
      </c>
      <c r="AK215" s="193">
        <v>0</v>
      </c>
      <c r="AL215" s="193">
        <v>0</v>
      </c>
      <c r="AM215" s="193">
        <v>0</v>
      </c>
      <c r="AN215" s="193">
        <v>0</v>
      </c>
      <c r="AO215" s="193">
        <v>0</v>
      </c>
      <c r="AP215" s="193">
        <v>0</v>
      </c>
      <c r="AQ215" s="193">
        <v>0</v>
      </c>
      <c r="AR215" s="193">
        <v>0</v>
      </c>
      <c r="AS215" s="193">
        <v>0</v>
      </c>
    </row>
    <row r="216" spans="25:45" x14ac:dyDescent="0.25">
      <c r="Y216"/>
      <c r="Z216"/>
      <c r="AA216"/>
      <c r="AB216" s="1"/>
      <c r="AC216" s="1"/>
      <c r="AD216" s="1"/>
      <c r="AE216" s="1"/>
      <c r="AF216" s="1"/>
      <c r="AG216" s="1"/>
      <c r="AH216" s="1"/>
      <c r="AI216"/>
      <c r="AJ216"/>
      <c r="AK216"/>
      <c r="AL216"/>
      <c r="AM216" s="1"/>
      <c r="AN216" s="1"/>
      <c r="AO216" s="1"/>
      <c r="AP216" s="1"/>
      <c r="AQ216" s="1"/>
    </row>
    <row r="217" spans="25:45" x14ac:dyDescent="0.25">
      <c r="Y217"/>
      <c r="Z217"/>
      <c r="AA217"/>
      <c r="AB217" s="1"/>
      <c r="AC217" s="1"/>
      <c r="AD217" s="1"/>
      <c r="AE217" s="1"/>
      <c r="AF217" s="1"/>
      <c r="AG217" s="1"/>
      <c r="AH217" s="1"/>
      <c r="AI217"/>
      <c r="AJ217"/>
      <c r="AK217"/>
      <c r="AL217"/>
      <c r="AM217" s="1"/>
      <c r="AN217" s="1"/>
      <c r="AO217" s="1"/>
      <c r="AP217" s="1"/>
      <c r="AQ217" s="1"/>
    </row>
    <row r="218" spans="25:45" x14ac:dyDescent="0.25">
      <c r="Y218"/>
      <c r="Z218"/>
      <c r="AA218"/>
      <c r="AB218" s="1"/>
      <c r="AC218" s="1"/>
      <c r="AD218" s="1"/>
      <c r="AE218" s="1"/>
      <c r="AF218" s="1"/>
      <c r="AG218" s="1"/>
      <c r="AH218" s="1"/>
      <c r="AI218"/>
      <c r="AJ218"/>
      <c r="AK218"/>
      <c r="AL218"/>
      <c r="AM218" s="1"/>
      <c r="AN218" s="1"/>
      <c r="AO218" s="1"/>
      <c r="AP218" s="1"/>
      <c r="AQ218" s="1"/>
    </row>
    <row r="219" spans="25:45" x14ac:dyDescent="0.25">
      <c r="Y219" t="s">
        <v>274</v>
      </c>
      <c r="Z219"/>
      <c r="AA219"/>
      <c r="AB219" s="1"/>
      <c r="AC219" s="1"/>
      <c r="AD219" s="1"/>
      <c r="AE219" s="1"/>
      <c r="AF219" s="1"/>
      <c r="AG219" s="1"/>
      <c r="AH219" s="1"/>
      <c r="AI219"/>
      <c r="AJ219" t="s">
        <v>274</v>
      </c>
      <c r="AK219"/>
      <c r="AL219"/>
      <c r="AM219" s="1"/>
      <c r="AN219" s="1"/>
      <c r="AO219" s="1"/>
      <c r="AP219" s="1"/>
      <c r="AQ219" s="1"/>
    </row>
    <row r="220" spans="25:45" x14ac:dyDescent="0.25">
      <c r="Y220" t="s">
        <v>271</v>
      </c>
      <c r="Z220" t="s">
        <v>205</v>
      </c>
      <c r="AA220" t="s">
        <v>240</v>
      </c>
      <c r="AB220" t="s">
        <v>253</v>
      </c>
      <c r="AC220" t="s">
        <v>258</v>
      </c>
      <c r="AD220" t="s">
        <v>265</v>
      </c>
      <c r="AE220" t="s">
        <v>266</v>
      </c>
      <c r="AF220" t="s">
        <v>267</v>
      </c>
      <c r="AG220" t="s">
        <v>268</v>
      </c>
      <c r="AH220" s="188" t="s">
        <v>308</v>
      </c>
      <c r="AI220"/>
      <c r="AJ220" t="s">
        <v>271</v>
      </c>
      <c r="AK220" t="s">
        <v>205</v>
      </c>
      <c r="AL220" t="s">
        <v>240</v>
      </c>
      <c r="AM220" t="s">
        <v>253</v>
      </c>
      <c r="AN220" t="s">
        <v>258</v>
      </c>
      <c r="AO220" t="s">
        <v>265</v>
      </c>
      <c r="AP220" t="s">
        <v>266</v>
      </c>
      <c r="AQ220" t="s">
        <v>267</v>
      </c>
      <c r="AR220" t="s">
        <v>268</v>
      </c>
      <c r="AS220" s="188" t="s">
        <v>308</v>
      </c>
    </row>
    <row r="221" spans="25:45" x14ac:dyDescent="0.25">
      <c r="Y221" s="191" t="s">
        <v>228</v>
      </c>
      <c r="Z221" s="192">
        <v>5544</v>
      </c>
      <c r="AA221" s="192">
        <v>4591</v>
      </c>
      <c r="AB221" s="192">
        <v>3939</v>
      </c>
      <c r="AC221" s="192">
        <v>4766</v>
      </c>
      <c r="AD221" s="192">
        <v>5569</v>
      </c>
      <c r="AE221" s="192">
        <v>5886</v>
      </c>
      <c r="AF221" s="192">
        <v>5239</v>
      </c>
      <c r="AG221" s="192">
        <v>5353</v>
      </c>
      <c r="AH221" s="192">
        <v>5328</v>
      </c>
      <c r="AI221"/>
      <c r="AJ221" s="191" t="s">
        <v>228</v>
      </c>
      <c r="AK221" s="195">
        <v>0.61</v>
      </c>
      <c r="AL221" s="195">
        <v>0.57999999999999996</v>
      </c>
      <c r="AM221" s="195">
        <v>0.53</v>
      </c>
      <c r="AN221" s="195">
        <v>0.61</v>
      </c>
      <c r="AO221" s="195">
        <v>0.67</v>
      </c>
      <c r="AP221" s="195">
        <v>0.68</v>
      </c>
      <c r="AQ221" s="195">
        <v>0.7</v>
      </c>
      <c r="AR221" s="195">
        <v>0.59</v>
      </c>
      <c r="AS221" s="195">
        <v>0.66</v>
      </c>
    </row>
    <row r="222" spans="25:45" x14ac:dyDescent="0.25">
      <c r="Y222" s="191" t="s">
        <v>225</v>
      </c>
      <c r="Z222" s="192">
        <v>1735</v>
      </c>
      <c r="AA222" s="192">
        <v>1305</v>
      </c>
      <c r="AB222" s="192">
        <v>1084</v>
      </c>
      <c r="AC222" s="192">
        <v>1445</v>
      </c>
      <c r="AD222" s="192">
        <v>1737</v>
      </c>
      <c r="AE222" s="192">
        <v>1889</v>
      </c>
      <c r="AF222" s="192">
        <v>1602</v>
      </c>
      <c r="AG222" s="192">
        <v>1558</v>
      </c>
      <c r="AH222" s="192">
        <v>1632</v>
      </c>
      <c r="AI222"/>
      <c r="AJ222" s="191" t="s">
        <v>225</v>
      </c>
      <c r="AK222" s="195">
        <v>0.53</v>
      </c>
      <c r="AL222" s="195">
        <v>0.4</v>
      </c>
      <c r="AM222" s="195">
        <v>0.32</v>
      </c>
      <c r="AN222" s="195">
        <v>0.43</v>
      </c>
      <c r="AO222" s="195">
        <v>0.54</v>
      </c>
      <c r="AP222" s="195">
        <v>0.59</v>
      </c>
      <c r="AQ222" s="195">
        <v>0.54</v>
      </c>
      <c r="AR222" s="195">
        <v>0.48</v>
      </c>
      <c r="AS222" s="195">
        <v>0.5</v>
      </c>
    </row>
    <row r="223" spans="25:45" x14ac:dyDescent="0.25">
      <c r="Y223" s="191" t="s">
        <v>230</v>
      </c>
      <c r="Z223" s="192">
        <v>1781</v>
      </c>
      <c r="AA223" s="192">
        <v>1389</v>
      </c>
      <c r="AB223" s="192">
        <v>1177</v>
      </c>
      <c r="AC223" s="192">
        <v>1569</v>
      </c>
      <c r="AD223" s="192">
        <v>1792</v>
      </c>
      <c r="AE223" s="192">
        <v>2027</v>
      </c>
      <c r="AF223" s="192">
        <v>1729.5</v>
      </c>
      <c r="AG223" s="192">
        <v>1630.5</v>
      </c>
      <c r="AH223" s="192">
        <v>1702</v>
      </c>
      <c r="AI223"/>
      <c r="AJ223" s="191" t="s">
        <v>230</v>
      </c>
      <c r="AK223" s="195">
        <v>0.29000000000000004</v>
      </c>
      <c r="AL223" s="195">
        <v>0.245</v>
      </c>
      <c r="AM223" s="195">
        <v>0.2</v>
      </c>
      <c r="AN223" s="195">
        <v>0.27</v>
      </c>
      <c r="AO223" s="195">
        <v>0.34499999999999997</v>
      </c>
      <c r="AP223" s="195">
        <v>0.36</v>
      </c>
      <c r="AQ223" s="195">
        <v>0.32500000000000001</v>
      </c>
      <c r="AR223" s="195">
        <v>0.29000000000000004</v>
      </c>
      <c r="AS223" s="195">
        <v>0.32</v>
      </c>
    </row>
    <row r="224" spans="25:45" x14ac:dyDescent="0.25">
      <c r="Y224" s="191" t="s">
        <v>234</v>
      </c>
      <c r="Z224" s="192">
        <v>2889</v>
      </c>
      <c r="AA224" s="192">
        <v>2381</v>
      </c>
      <c r="AB224" s="192">
        <v>1986</v>
      </c>
      <c r="AC224" s="192">
        <v>2616</v>
      </c>
      <c r="AD224" s="192">
        <v>3025</v>
      </c>
      <c r="AE224" s="192">
        <v>3185</v>
      </c>
      <c r="AF224" s="192">
        <v>2757</v>
      </c>
      <c r="AG224" s="192">
        <v>2702</v>
      </c>
      <c r="AH224" s="192">
        <v>2847</v>
      </c>
      <c r="AI224"/>
      <c r="AJ224" s="191" t="s">
        <v>234</v>
      </c>
      <c r="AK224" s="195">
        <v>0.46</v>
      </c>
      <c r="AL224" s="195">
        <v>0.33</v>
      </c>
      <c r="AM224" s="195">
        <v>0.28000000000000003</v>
      </c>
      <c r="AN224" s="195">
        <v>0.38</v>
      </c>
      <c r="AO224" s="195">
        <v>0.53</v>
      </c>
      <c r="AP224" s="195">
        <v>0.54</v>
      </c>
      <c r="AQ224" s="195">
        <v>0.47</v>
      </c>
      <c r="AR224" s="195">
        <v>0.42</v>
      </c>
      <c r="AS224" s="195">
        <v>0.47</v>
      </c>
    </row>
    <row r="225" spans="25:45" x14ac:dyDescent="0.25">
      <c r="Y225" s="191" t="s">
        <v>206</v>
      </c>
      <c r="Z225" s="192">
        <v>3527</v>
      </c>
      <c r="AA225" s="192">
        <v>2938</v>
      </c>
      <c r="AB225" s="192">
        <v>2465.5</v>
      </c>
      <c r="AC225" s="192">
        <v>3063</v>
      </c>
      <c r="AD225" s="192">
        <v>3602</v>
      </c>
      <c r="AE225" s="192">
        <v>4029.5</v>
      </c>
      <c r="AF225" s="192">
        <v>3749</v>
      </c>
      <c r="AG225" s="192">
        <v>3500</v>
      </c>
      <c r="AH225" s="192">
        <v>3489</v>
      </c>
      <c r="AI225"/>
      <c r="AJ225" s="191" t="s">
        <v>206</v>
      </c>
      <c r="AK225" s="195">
        <v>0.40500000000000003</v>
      </c>
      <c r="AL225" s="195">
        <v>0.26</v>
      </c>
      <c r="AM225" s="195">
        <v>0.19500000000000001</v>
      </c>
      <c r="AN225" s="195">
        <v>0.29499999999999998</v>
      </c>
      <c r="AO225" s="195">
        <v>0.41500000000000004</v>
      </c>
      <c r="AP225" s="195">
        <v>0.44500000000000001</v>
      </c>
      <c r="AQ225" s="195">
        <v>0.39500000000000002</v>
      </c>
      <c r="AR225" s="195">
        <v>0.32999999999999996</v>
      </c>
      <c r="AS225" s="195">
        <v>0.39</v>
      </c>
    </row>
    <row r="226" spans="25:45" x14ac:dyDescent="0.25">
      <c r="Y226" s="191" t="s">
        <v>211</v>
      </c>
      <c r="Z226" s="192">
        <v>2448</v>
      </c>
      <c r="AA226" s="192">
        <v>1733</v>
      </c>
      <c r="AB226" s="192">
        <v>1529</v>
      </c>
      <c r="AC226" s="192">
        <v>2039</v>
      </c>
      <c r="AD226" s="192">
        <v>2539</v>
      </c>
      <c r="AE226" s="192">
        <v>3346</v>
      </c>
      <c r="AF226" s="192">
        <v>2409</v>
      </c>
      <c r="AG226" s="192">
        <v>2164</v>
      </c>
      <c r="AH226" s="192">
        <v>2423</v>
      </c>
      <c r="AI226"/>
      <c r="AJ226" s="191" t="s">
        <v>211</v>
      </c>
      <c r="AK226" s="195">
        <v>0.11</v>
      </c>
      <c r="AL226" s="195">
        <v>0.08</v>
      </c>
      <c r="AM226" s="195">
        <v>7.0000000000000007E-2</v>
      </c>
      <c r="AN226" s="195">
        <v>0.09</v>
      </c>
      <c r="AO226" s="195">
        <v>0.18</v>
      </c>
      <c r="AP226" s="195">
        <v>0.18</v>
      </c>
      <c r="AQ226" s="195">
        <v>0.17</v>
      </c>
      <c r="AR226" s="195">
        <v>0.12</v>
      </c>
      <c r="AS226" s="195">
        <v>0.17</v>
      </c>
    </row>
    <row r="227" spans="25:45" x14ac:dyDescent="0.25">
      <c r="Y227" s="191" t="s">
        <v>223</v>
      </c>
      <c r="Z227" s="192">
        <v>3950</v>
      </c>
      <c r="AA227" s="192">
        <v>3546</v>
      </c>
      <c r="AB227" s="192">
        <v>3293</v>
      </c>
      <c r="AC227" s="192">
        <v>3698</v>
      </c>
      <c r="AD227" s="192">
        <v>3687</v>
      </c>
      <c r="AE227" s="192">
        <v>4168</v>
      </c>
      <c r="AF227" s="192">
        <v>4093</v>
      </c>
      <c r="AG227" s="192">
        <v>3713</v>
      </c>
      <c r="AH227" s="192">
        <v>3670</v>
      </c>
      <c r="AI227"/>
      <c r="AJ227" s="191" t="s">
        <v>223</v>
      </c>
      <c r="AK227" s="195">
        <v>0.45</v>
      </c>
      <c r="AL227" s="195">
        <v>0.37</v>
      </c>
      <c r="AM227" s="195">
        <v>0.28999999999999998</v>
      </c>
      <c r="AN227" s="195">
        <v>0.41</v>
      </c>
      <c r="AO227" s="195">
        <v>0.49</v>
      </c>
      <c r="AP227" s="195">
        <v>0.54</v>
      </c>
      <c r="AQ227" s="195">
        <v>0.47</v>
      </c>
      <c r="AR227" s="195">
        <v>0.44</v>
      </c>
      <c r="AS227" s="195">
        <v>0.46</v>
      </c>
    </row>
    <row r="228" spans="25:45" x14ac:dyDescent="0.25">
      <c r="Y228" s="191" t="s">
        <v>224</v>
      </c>
      <c r="Z228" s="192">
        <v>3675</v>
      </c>
      <c r="AA228" s="192">
        <v>3100</v>
      </c>
      <c r="AB228" s="192">
        <v>2585</v>
      </c>
      <c r="AC228" s="192">
        <v>3394</v>
      </c>
      <c r="AD228" s="192">
        <v>3725</v>
      </c>
      <c r="AE228" s="192">
        <v>4304</v>
      </c>
      <c r="AF228" s="192">
        <v>3571</v>
      </c>
      <c r="AG228" s="192">
        <v>3687</v>
      </c>
      <c r="AH228" s="192">
        <v>3722</v>
      </c>
      <c r="AI228"/>
      <c r="AJ228" s="191" t="s">
        <v>224</v>
      </c>
      <c r="AK228" s="195">
        <v>0.24</v>
      </c>
      <c r="AL228" s="195">
        <v>0.2</v>
      </c>
      <c r="AM228" s="195">
        <v>0.16</v>
      </c>
      <c r="AN228" s="195">
        <v>0.22</v>
      </c>
      <c r="AO228" s="195">
        <v>0.28000000000000003</v>
      </c>
      <c r="AP228" s="195">
        <v>0.3</v>
      </c>
      <c r="AQ228" s="195">
        <v>0.28000000000000003</v>
      </c>
      <c r="AR228" s="195">
        <v>0.23</v>
      </c>
      <c r="AS228" s="195">
        <v>0.26</v>
      </c>
    </row>
    <row r="229" spans="25:45" x14ac:dyDescent="0.25">
      <c r="Y229"/>
      <c r="Z229"/>
      <c r="AA229"/>
      <c r="AB229" s="1"/>
      <c r="AC229" s="1"/>
      <c r="AD229" s="1"/>
      <c r="AE229" s="1"/>
      <c r="AF229" s="1"/>
      <c r="AG229" s="1"/>
      <c r="AH229" s="1"/>
      <c r="AI229"/>
      <c r="AJ229"/>
      <c r="AK229"/>
      <c r="AL229"/>
      <c r="AM229" s="1"/>
      <c r="AN229" s="1"/>
      <c r="AO229" s="1"/>
      <c r="AP229" s="1"/>
      <c r="AQ229" s="1"/>
    </row>
    <row r="230" spans="25:45" x14ac:dyDescent="0.25">
      <c r="Y230"/>
      <c r="Z230"/>
      <c r="AA230"/>
      <c r="AB230" s="1"/>
      <c r="AC230" s="1"/>
      <c r="AD230" s="1"/>
      <c r="AE230" s="1"/>
      <c r="AF230" s="1"/>
      <c r="AG230" s="1"/>
      <c r="AH230" s="1"/>
      <c r="AI230"/>
      <c r="AJ230"/>
      <c r="AK230"/>
      <c r="AL230"/>
      <c r="AM230" s="1"/>
      <c r="AN230" s="1"/>
      <c r="AO230" s="1"/>
      <c r="AP230" s="1"/>
      <c r="AQ230" s="1"/>
    </row>
  </sheetData>
  <sheetProtection algorithmName="SHA-512" hashValue="1KPcUHQNkYMznuRXby1bPmxw27dr+Y8RyHllkaHCAaiHuUX1yvy02QKOSRDQm+cMx/NmugdEC6USFdqGKFLpGQ==" saltValue="S/RVhT5GNFywQy7/QLcEbA==" spinCount="100000" sheet="1" objects="1" scenarios="1"/>
  <mergeCells count="16">
    <mergeCell ref="AT5:BE5"/>
    <mergeCell ref="AT25:BE25"/>
    <mergeCell ref="Y5:AE5"/>
    <mergeCell ref="AJ5:AP5"/>
    <mergeCell ref="R7:S7"/>
    <mergeCell ref="T7:U7"/>
    <mergeCell ref="V7:W7"/>
    <mergeCell ref="G6:O6"/>
    <mergeCell ref="G7:G9"/>
    <mergeCell ref="Q6:W6"/>
    <mergeCell ref="Q7:Q9"/>
    <mergeCell ref="B1:P1"/>
    <mergeCell ref="H7:I7"/>
    <mergeCell ref="J7:K7"/>
    <mergeCell ref="L7:M7"/>
    <mergeCell ref="N7:O7"/>
  </mergeCells>
  <conditionalFormatting sqref="B15:E21">
    <cfRule type="expression" dxfId="9" priority="91">
      <formula>$B15=VLOOKUP(#REF!,LPD_BuildingArea,5,FALSE)</formula>
    </cfRule>
  </conditionalFormatting>
  <conditionalFormatting sqref="B7:F13">
    <cfRule type="expression" dxfId="8" priority="1">
      <formula>$B7=VLOOKUP(#REF!,LPD_BuildingArea,5,FALSE)</formula>
    </cfRule>
  </conditionalFormatting>
  <conditionalFormatting sqref="C48:E52">
    <cfRule type="expression" dxfId="7" priority="101">
      <formula>#REF!=VLOOKUP(#REF!,LPD_BuildingArea,5,FALSE)</formula>
    </cfRule>
  </conditionalFormatting>
  <conditionalFormatting sqref="G47:G52 AA47:AA54 AG47:AH54 AL47:AL54">
    <cfRule type="expression" dxfId="6" priority="108">
      <formula>#REF!=VLOOKUP(#REF!,LPD_BuildingArea,5,FALSE)</formula>
    </cfRule>
  </conditionalFormatting>
  <conditionalFormatting sqref="Y20:Y45 AA21:AA46 Y21:Z152 G42:G46 B48:B50 B54:B62">
    <cfRule type="expression" dxfId="5" priority="95">
      <formula>$B20=VLOOKUP(#REF!,LPD_BuildingArea,5,FALSE)</formula>
    </cfRule>
  </conditionalFormatting>
  <conditionalFormatting sqref="Y7:AH13 AJ7:AQ13 AT7:BF13 G10:O13 Q10:W13">
    <cfRule type="expression" dxfId="4" priority="117">
      <formula>$B6=VLOOKUP(#REF!,LPD_BuildingArea,5,FALSE)</formula>
    </cfRule>
  </conditionalFormatting>
  <conditionalFormatting sqref="AA73:AA75 AG73:AH75 AL73:AL75 C74:E75">
    <cfRule type="expression" dxfId="3" priority="111">
      <formula>#REF!=VLOOKUP(#REF!,LPD_BuildingArea,5,FALSE)</formula>
    </cfRule>
  </conditionalFormatting>
  <conditionalFormatting sqref="AG55:AH64 AA55:AA72 AL55:AL72 C56:E58 C62:E64 B65:C67 X65:X67 AG65:AI67 C68:E70 AG68:AH72 AA76:AA136 AG76:AH136 AL76:AL152 AA137:AH152">
    <cfRule type="expression" dxfId="2" priority="102">
      <formula>$B47=VLOOKUP(#REF!,LPD_BuildingArea,5,FALSE)</formula>
    </cfRule>
  </conditionalFormatting>
  <conditionalFormatting sqref="AT27:BE36">
    <cfRule type="expression" dxfId="1" priority="39">
      <formula>$B14=VLOOKUP(#REF!,LPD_BuildingArea,5,FALSE)</formula>
    </cfRule>
  </conditionalFormatting>
  <conditionalFormatting sqref="AT14:BF18 Y14:AA20 Q14:W31 G14:O37 AG14:AH46 AL14:AL46 AB14:AF136 AJ14:AK152 AM14:AQ152 B24:E44">
    <cfRule type="expression" dxfId="0" priority="90">
      <formula>$B14=VLOOKUP(#REF!,LPD_BuildingArea,5,FALSE)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004F7F25A67C4391F7F0DBD9196C05" ma:contentTypeVersion="8" ma:contentTypeDescription="Create a new document." ma:contentTypeScope="" ma:versionID="2265beb7f6600ec8c1e0932634583c46">
  <xsd:schema xmlns:xsd="http://www.w3.org/2001/XMLSchema" xmlns:xs="http://www.w3.org/2001/XMLSchema" xmlns:p="http://schemas.microsoft.com/office/2006/metadata/properties" xmlns:ns2="a9943499-a5fa-40a5-8de2-4cf374f1a629" xmlns:ns3="a932c89c-5b5a-4592-af10-2e1640290ada" targetNamespace="http://schemas.microsoft.com/office/2006/metadata/properties" ma:root="true" ma:fieldsID="8b31b4cf5f42109df04cd8a21e44d948" ns2:_="" ns3:_="">
    <xsd:import namespace="a9943499-a5fa-40a5-8de2-4cf374f1a629"/>
    <xsd:import namespace="a932c89c-5b5a-4592-af10-2e1640290a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943499-a5fa-40a5-8de2-4cf374f1a6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32c89c-5b5a-4592-af10-2e1640290ad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932c89c-5b5a-4592-af10-2e1640290ada">
      <UserInfo>
        <DisplayName>Wyley Hodgson</DisplayName>
        <AccountId>22</AccountId>
        <AccountType/>
      </UserInfo>
    </SharedWithUsers>
  </documentManagement>
</p:properties>
</file>

<file path=customXml/itemProps1.xml><?xml version="1.0" encoding="utf-8"?>
<ds:datastoreItem xmlns:ds="http://schemas.openxmlformats.org/officeDocument/2006/customXml" ds:itemID="{D310A837-ACE3-4F55-98DE-C3F2216C1D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943499-a5fa-40a5-8de2-4cf374f1a629"/>
    <ds:schemaRef ds:uri="a932c89c-5b5a-4592-af10-2e1640290a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2A0B55-7E68-4AB2-A3A3-D32B05E42EDB}">
  <ds:schemaRefs>
    <ds:schemaRef ds:uri="http://schemas.microsoft.com/sharepoint/v3/contenttype/forms"/>
  </ds:schemaRefs>
</ds:datastoreItem>
</file>

<file path=customXml/itemProps3.xml><?xml version="1.0" encoding="utf-8"?>
<ds:datastoreItem xmlns:ds="http://schemas.openxmlformats.org/officeDocument/2006/customXml" ds:itemID="{FD190226-712F-46E9-8F8E-8E3415725484}">
  <ds:schemaRefs>
    <ds:schemaRef ds:uri="http://purl.org/dc/terms/"/>
    <ds:schemaRef ds:uri="http://schemas.microsoft.com/office/2006/documentManagement/types"/>
    <ds:schemaRef ds:uri="1b051ef0-edd4-46a5-9f74-d6eaace64f71"/>
    <ds:schemaRef ds:uri="http://purl.org/dc/elements/1.1/"/>
    <ds:schemaRef ds:uri="http://schemas.microsoft.com/office/2006/metadata/properties"/>
    <ds:schemaRef ds:uri="http://schemas.openxmlformats.org/package/2006/metadata/core-properties"/>
    <ds:schemaRef ds:uri="4f5afe23-90fe-4866-81f5-a9dfd6970532"/>
    <ds:schemaRef ds:uri="http://schemas.microsoft.com/office/infopath/2007/PartnerControls"/>
    <ds:schemaRef ds:uri="http://www.w3.org/XML/1998/namespace"/>
    <ds:schemaRef ds:uri="http://purl.org/dc/dcmitype/"/>
    <ds:schemaRef ds:uri="a932c89c-5b5a-4592-af10-2e1640290ada"/>
  </ds:schemaRefs>
</ds:datastoreItem>
</file>

<file path=docMetadata/LabelInfo.xml><?xml version="1.0" encoding="utf-8"?>
<clbl:labelList xmlns:clbl="http://schemas.microsoft.com/office/2020/mipLabelMetadata">
  <clbl:label id="{a8ee12a3-5bcd-4f4e-b3f4-bbf43d9c570a}" enabled="0" method="" siteId="{a8ee12a3-5bcd-4f4e-b3f4-bbf43d9c570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Manual</vt:lpstr>
      <vt:lpstr>Changelog</vt:lpstr>
      <vt:lpstr>Summary</vt:lpstr>
      <vt:lpstr>3.3.2 VFD Improvements</vt:lpstr>
      <vt:lpstr>3.3.1 Premium Efficiency Motors</vt:lpstr>
      <vt:lpstr>VFD Custom Load Profile</vt:lpstr>
      <vt:lpstr>Lookups</vt:lpstr>
      <vt:lpstr>Changelog</vt:lpstr>
      <vt:lpstr>Coincidence</vt:lpstr>
      <vt:lpstr>Manual</vt:lpstr>
      <vt:lpstr>Manual_1</vt:lpstr>
      <vt:lpstr>Manual_2</vt:lpstr>
      <vt:lpstr>Manual_3</vt:lpstr>
      <vt:lpstr>Manual_4</vt:lpstr>
      <vt:lpstr>Motor_HOU</vt:lpstr>
      <vt:lpstr>NEMA_Design_A_or_B</vt:lpstr>
      <vt:lpstr>NEMA_Design_C</vt:lpstr>
      <vt:lpstr>VFD_Load_Profiles</vt:lpstr>
      <vt:lpstr>VFD_Power_Profiles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Mary-Hall</dc:creator>
  <cp:keywords/>
  <dc:description/>
  <cp:lastModifiedBy>Jacob Steele</cp:lastModifiedBy>
  <cp:revision/>
  <dcterms:created xsi:type="dcterms:W3CDTF">2018-11-12T15:35:15Z</dcterms:created>
  <dcterms:modified xsi:type="dcterms:W3CDTF">2025-07-10T22:30:31Z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0x01010054004F7F25A67C4391F7F0DBD9196C05</vt:lpwstr>
  </property>
  <property fmtid="{D5CDD505-2E9C-101B-9397-08002B2CF9AE}" pid="3" name="AuthorIds_UIVersion_512">
    <vt:lpwstr>11</vt:lpwstr>
  </property>
  <property fmtid="{D5CDD505-2E9C-101B-9397-08002B2CF9AE}" pid="4" name="_dlc_DocIdItemGuid">
    <vt:lpwstr>3c86e7be-bc7d-4f1c-9ed4-d05931fef0b5</vt:lpwstr>
  </property>
</Properties>
</file>