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29"/>
  <workbookPr codeName="ThisWorkbook"/>
  <mc:AlternateContent xmlns:mc="http://schemas.openxmlformats.org/markup-compatibility/2006">
    <mc:Choice Requires="x15">
      <x15ac:absPath xmlns:x15ac="http://schemas.microsoft.com/office/spreadsheetml/2010/11/ac" url="https://franklinenergy.sharepoint.com/sites/eng/ngageengr/NGAGEMasterMeasureDatabase/Pennsylvania Programs/First Energy/Phase IV/2021 Start Up/C&amp;I/Excel Calculators for TAs on website/Revised Calculators/"/>
    </mc:Choice>
  </mc:AlternateContent>
  <xr:revisionPtr revIDLastSave="0" documentId="8_{A8517E0F-7585-4F39-A912-EC36BA30319E}" xr6:coauthVersionLast="47" xr6:coauthVersionMax="47" xr10:uidLastSave="{00000000-0000-0000-0000-000000000000}"/>
  <bookViews>
    <workbookView xWindow="-120" yWindow="-120" windowWidth="38640" windowHeight="21240" tabRatio="925" firstSheet="1" activeTab="1" xr2:uid="{00000000-000D-0000-FFFF-FFFF00000000}"/>
  </bookViews>
  <sheets>
    <sheet name="Engineering Log" sheetId="19" state="hidden" r:id="rId1"/>
    <sheet name="Instructions" sheetId="1" r:id="rId2"/>
    <sheet name="Project Summary" sheetId="3" r:id="rId3"/>
    <sheet name="Commercial Refrigerators" sheetId="5" r:id="rId4"/>
    <sheet name="Commercial Freezers" sheetId="6" r:id="rId5"/>
    <sheet name="Ice Machines" sheetId="7" r:id="rId6"/>
    <sheet name="Night Covers" sheetId="8" r:id="rId7"/>
    <sheet name="Strip Curtains" sheetId="9" r:id="rId8"/>
    <sheet name="Anti-Sweat Heaters" sheetId="10" r:id="rId9"/>
    <sheet name="Vending Controls" sheetId="11" r:id="rId10"/>
    <sheet name="Vending Machines" sheetId="12" state="hidden" r:id="rId11"/>
    <sheet name="Combination Ovens" sheetId="13" r:id="rId12"/>
    <sheet name="Convection Ovens" sheetId="14" r:id="rId13"/>
    <sheet name="Steam Cookers" sheetId="15" r:id="rId14"/>
    <sheet name="Fryers" sheetId="16" r:id="rId15"/>
    <sheet name="Griddles" sheetId="17" r:id="rId16"/>
    <sheet name="Hot Food Holding Cabinets" sheetId="18" r:id="rId17"/>
    <sheet name="Pre Rinse Sprayers" sheetId="20" r:id="rId18"/>
    <sheet name="Data Export" sheetId="4" state="hidden" r:id="rId1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15" i="20" l="1"/>
  <c r="U14" i="20"/>
  <c r="U13" i="20"/>
  <c r="U12" i="20"/>
  <c r="U11" i="20"/>
  <c r="U10" i="20"/>
  <c r="U9" i="20"/>
  <c r="U8" i="20"/>
  <c r="V15" i="18"/>
  <c r="V14" i="18"/>
  <c r="V13" i="18"/>
  <c r="V12" i="18"/>
  <c r="V11" i="18"/>
  <c r="V10" i="18"/>
  <c r="V9" i="18"/>
  <c r="V8" i="18"/>
  <c r="T15" i="18"/>
  <c r="W15" i="18" s="1"/>
  <c r="T14" i="18"/>
  <c r="W14" i="18" s="1"/>
  <c r="T13" i="18"/>
  <c r="W13" i="18" s="1"/>
  <c r="T12" i="18"/>
  <c r="W12" i="18" s="1"/>
  <c r="T11" i="18"/>
  <c r="W11" i="18" s="1"/>
  <c r="T10" i="18"/>
  <c r="W10" i="18" s="1"/>
  <c r="T9" i="18"/>
  <c r="W9" i="18" s="1"/>
  <c r="T8" i="18"/>
  <c r="W8" i="18" s="1"/>
  <c r="S15" i="18"/>
  <c r="S14" i="18"/>
  <c r="S13" i="18"/>
  <c r="S12" i="18"/>
  <c r="S11" i="18"/>
  <c r="S10" i="18"/>
  <c r="S9" i="18"/>
  <c r="S8" i="18"/>
  <c r="R15" i="18"/>
  <c r="R14" i="18"/>
  <c r="R13" i="18"/>
  <c r="R12" i="18"/>
  <c r="R11" i="18"/>
  <c r="R10" i="18"/>
  <c r="R9" i="18"/>
  <c r="R8" i="18"/>
  <c r="K15" i="18"/>
  <c r="K14" i="18"/>
  <c r="K13" i="18"/>
  <c r="K12" i="18"/>
  <c r="K11" i="18"/>
  <c r="K10" i="18"/>
  <c r="K9" i="18"/>
  <c r="K8" i="18"/>
  <c r="J15" i="17"/>
  <c r="J14" i="17"/>
  <c r="J13" i="17"/>
  <c r="J12" i="17"/>
  <c r="J11" i="17"/>
  <c r="J10" i="17"/>
  <c r="J9" i="17"/>
  <c r="J8" i="17"/>
  <c r="Z15" i="17"/>
  <c r="AC15" i="17" s="1"/>
  <c r="Z14" i="17"/>
  <c r="AC14" i="17" s="1"/>
  <c r="Z13" i="17"/>
  <c r="AC13" i="17" s="1"/>
  <c r="Z12" i="17"/>
  <c r="AC12" i="17" s="1"/>
  <c r="Z11" i="17"/>
  <c r="AC11" i="17" s="1"/>
  <c r="Z10" i="17"/>
  <c r="AC10" i="17" s="1"/>
  <c r="Z9" i="17"/>
  <c r="AC9" i="17" s="1"/>
  <c r="Z8" i="17"/>
  <c r="AC8" i="17" s="1"/>
  <c r="Y15" i="17"/>
  <c r="Y14" i="17"/>
  <c r="Y13" i="17"/>
  <c r="Y12" i="17"/>
  <c r="Y11" i="17"/>
  <c r="Y10" i="17"/>
  <c r="Y9" i="17"/>
  <c r="Y8" i="17"/>
  <c r="Y15" i="16"/>
  <c r="Y14" i="16"/>
  <c r="Y13" i="16"/>
  <c r="Y12" i="16"/>
  <c r="Y11" i="16"/>
  <c r="Y10" i="16"/>
  <c r="Y9" i="16"/>
  <c r="Y8" i="16"/>
  <c r="X15" i="16"/>
  <c r="X14" i="16"/>
  <c r="X13" i="16"/>
  <c r="X12" i="16"/>
  <c r="X11" i="16"/>
  <c r="X10" i="16"/>
  <c r="X9" i="16"/>
  <c r="X8" i="16"/>
  <c r="J15" i="16"/>
  <c r="J14" i="16"/>
  <c r="J13" i="16"/>
  <c r="J12" i="16"/>
  <c r="J11" i="16"/>
  <c r="J10" i="16"/>
  <c r="J9" i="16"/>
  <c r="J8" i="16"/>
  <c r="AA15" i="16"/>
  <c r="AA14" i="16"/>
  <c r="AA13" i="16"/>
  <c r="AA12" i="16"/>
  <c r="AA11" i="16"/>
  <c r="AA10" i="16"/>
  <c r="AA9" i="16"/>
  <c r="AA8" i="16"/>
  <c r="AH15" i="15"/>
  <c r="AH14" i="15"/>
  <c r="AH13" i="15"/>
  <c r="AH12" i="15"/>
  <c r="AH11" i="15"/>
  <c r="AH10" i="15"/>
  <c r="AH9" i="15"/>
  <c r="AH8" i="15"/>
  <c r="AA15" i="15"/>
  <c r="AA14" i="15"/>
  <c r="AA13" i="15"/>
  <c r="AA12" i="15"/>
  <c r="AA11" i="15"/>
  <c r="AA10" i="15"/>
  <c r="AA9" i="15"/>
  <c r="AA8" i="15"/>
  <c r="Z15" i="15"/>
  <c r="Z14" i="15"/>
  <c r="Z13" i="15"/>
  <c r="Z12" i="15"/>
  <c r="Z11" i="15"/>
  <c r="Z10" i="15"/>
  <c r="Z9" i="15"/>
  <c r="Z8" i="15"/>
  <c r="K15" i="15"/>
  <c r="K14" i="15"/>
  <c r="K13" i="15"/>
  <c r="K12" i="15"/>
  <c r="K11" i="15"/>
  <c r="K10" i="15"/>
  <c r="K9" i="15"/>
  <c r="K8" i="15"/>
  <c r="W15" i="14"/>
  <c r="V15" i="14" s="1"/>
  <c r="W14" i="14"/>
  <c r="V14" i="14" s="1"/>
  <c r="W13" i="14"/>
  <c r="U13" i="14" s="1"/>
  <c r="W12" i="14"/>
  <c r="U12" i="14" s="1"/>
  <c r="W11" i="14"/>
  <c r="Z11" i="14" s="1"/>
  <c r="W10" i="14"/>
  <c r="U10" i="14" s="1"/>
  <c r="W9" i="14"/>
  <c r="U9" i="14" s="1"/>
  <c r="W8" i="14"/>
  <c r="V8" i="14" s="1"/>
  <c r="V10" i="14"/>
  <c r="V9" i="14"/>
  <c r="U15" i="14"/>
  <c r="Z10" i="14"/>
  <c r="Z9" i="14"/>
  <c r="Y15" i="14"/>
  <c r="Y14" i="14"/>
  <c r="Y13" i="14"/>
  <c r="Y12" i="14"/>
  <c r="Y11" i="14"/>
  <c r="Y10" i="14"/>
  <c r="Y9" i="14"/>
  <c r="Y8" i="14"/>
  <c r="K15" i="14"/>
  <c r="K14" i="14"/>
  <c r="K13" i="14"/>
  <c r="K12" i="14"/>
  <c r="K11" i="14"/>
  <c r="K10" i="14"/>
  <c r="K9" i="14"/>
  <c r="K8" i="14"/>
  <c r="U14" i="14" l="1"/>
  <c r="Z14" i="14"/>
  <c r="V12" i="14"/>
  <c r="Z12" i="14"/>
  <c r="Z13" i="14"/>
  <c r="V11" i="14"/>
  <c r="Z15" i="14"/>
  <c r="V13" i="14"/>
  <c r="U11" i="14"/>
  <c r="U8" i="14"/>
  <c r="Z8" i="14"/>
  <c r="AE15" i="13" l="1"/>
  <c r="AE14" i="13"/>
  <c r="AE13" i="13"/>
  <c r="AE12" i="13"/>
  <c r="AE11" i="13"/>
  <c r="AE10" i="13"/>
  <c r="AE9" i="13"/>
  <c r="AE8" i="13"/>
  <c r="AD15" i="13"/>
  <c r="AD14" i="13"/>
  <c r="AD13" i="13"/>
  <c r="AD12" i="13"/>
  <c r="AD11" i="13"/>
  <c r="AD10" i="13"/>
  <c r="AD9" i="13"/>
  <c r="AD8" i="13"/>
  <c r="AC15" i="13"/>
  <c r="AC14" i="13"/>
  <c r="AC13" i="13"/>
  <c r="AC12" i="13"/>
  <c r="AC11" i="13"/>
  <c r="AC10" i="13"/>
  <c r="AC9" i="13"/>
  <c r="AC8" i="13"/>
  <c r="O15" i="11"/>
  <c r="O14" i="11"/>
  <c r="O13" i="11"/>
  <c r="O12" i="11"/>
  <c r="O11" i="11"/>
  <c r="O10" i="11"/>
  <c r="O9" i="11"/>
  <c r="O8" i="11"/>
  <c r="M9" i="10"/>
  <c r="M10" i="10"/>
  <c r="M11" i="10"/>
  <c r="M12" i="10"/>
  <c r="M13" i="10"/>
  <c r="M14" i="10"/>
  <c r="M15" i="10"/>
  <c r="M8" i="10"/>
  <c r="O15" i="10"/>
  <c r="O14" i="10"/>
  <c r="O13" i="10"/>
  <c r="O12" i="10"/>
  <c r="O11" i="10"/>
  <c r="O10" i="10"/>
  <c r="O9" i="10"/>
  <c r="O8" i="10"/>
  <c r="K15" i="10"/>
  <c r="K14" i="10"/>
  <c r="K13" i="10"/>
  <c r="K12" i="10"/>
  <c r="K11" i="10"/>
  <c r="K10" i="10"/>
  <c r="K9" i="10"/>
  <c r="K8" i="10"/>
  <c r="K26" i="10"/>
  <c r="K25" i="10"/>
  <c r="K24" i="10"/>
  <c r="K22" i="10"/>
  <c r="K21" i="10"/>
  <c r="K20" i="10"/>
  <c r="L15" i="9"/>
  <c r="L14" i="9"/>
  <c r="L13" i="9"/>
  <c r="L12" i="9"/>
  <c r="L11" i="9"/>
  <c r="L10" i="9"/>
  <c r="L9" i="9"/>
  <c r="L8" i="9"/>
  <c r="K15" i="9"/>
  <c r="K14" i="9"/>
  <c r="K13" i="9"/>
  <c r="K12" i="9"/>
  <c r="K11" i="9"/>
  <c r="K10" i="9"/>
  <c r="K9" i="9"/>
  <c r="K8" i="9"/>
  <c r="J15" i="9"/>
  <c r="J14" i="9"/>
  <c r="J13" i="9"/>
  <c r="J12" i="9"/>
  <c r="J11" i="9"/>
  <c r="J10" i="9"/>
  <c r="J9" i="9"/>
  <c r="J8" i="9"/>
  <c r="P15" i="8"/>
  <c r="P14" i="8"/>
  <c r="P13" i="8"/>
  <c r="P12" i="8"/>
  <c r="P11" i="8"/>
  <c r="P10" i="8"/>
  <c r="P9" i="8"/>
  <c r="P8" i="8"/>
  <c r="N15" i="8"/>
  <c r="N14" i="8"/>
  <c r="N13" i="8"/>
  <c r="N12" i="8"/>
  <c r="N11" i="8"/>
  <c r="N10" i="8"/>
  <c r="N9" i="8"/>
  <c r="N8" i="8"/>
  <c r="AQ12" i="7" l="1"/>
  <c r="AQ11" i="7"/>
  <c r="AN15" i="7"/>
  <c r="AQ15" i="7" s="1"/>
  <c r="AN14" i="7"/>
  <c r="AQ14" i="7" s="1"/>
  <c r="AN13" i="7"/>
  <c r="AQ13" i="7" s="1"/>
  <c r="AN12" i="7"/>
  <c r="AN11" i="7"/>
  <c r="AN10" i="7"/>
  <c r="AQ10" i="7" s="1"/>
  <c r="AN9" i="7"/>
  <c r="AQ9" i="7" s="1"/>
  <c r="AN8" i="7"/>
  <c r="AQ8" i="7" s="1"/>
  <c r="AM15" i="7"/>
  <c r="AM14" i="7"/>
  <c r="AM13" i="7"/>
  <c r="AM12" i="7"/>
  <c r="AM11" i="7"/>
  <c r="AM10" i="7"/>
  <c r="AM9" i="7"/>
  <c r="AM8" i="7"/>
  <c r="AL15" i="7"/>
  <c r="AL14" i="7"/>
  <c r="AL13" i="7"/>
  <c r="AL12" i="7"/>
  <c r="AL11" i="7"/>
  <c r="AL10" i="7"/>
  <c r="AL9" i="7"/>
  <c r="AL8" i="7"/>
  <c r="AP15" i="7"/>
  <c r="AP14" i="7"/>
  <c r="AP13" i="7"/>
  <c r="AP12" i="7"/>
  <c r="AP11" i="7"/>
  <c r="AP10" i="7"/>
  <c r="AP9" i="7"/>
  <c r="AP8" i="7"/>
  <c r="R15" i="6"/>
  <c r="R14" i="6"/>
  <c r="R13" i="6"/>
  <c r="R12" i="6"/>
  <c r="R11" i="6"/>
  <c r="R10" i="6"/>
  <c r="R9" i="6"/>
  <c r="R8" i="6"/>
  <c r="T15" i="6"/>
  <c r="T14" i="6"/>
  <c r="T13" i="6"/>
  <c r="T12" i="6"/>
  <c r="T11" i="6"/>
  <c r="T10" i="6"/>
  <c r="T9" i="6"/>
  <c r="T8" i="6"/>
  <c r="E15" i="6"/>
  <c r="E14" i="6"/>
  <c r="E13" i="6"/>
  <c r="E12" i="6"/>
  <c r="E11" i="6"/>
  <c r="E10" i="6"/>
  <c r="E9" i="6"/>
  <c r="E8" i="6"/>
  <c r="T15" i="5"/>
  <c r="T14" i="5"/>
  <c r="T13" i="5"/>
  <c r="T12" i="5"/>
  <c r="T11" i="5"/>
  <c r="T10" i="5"/>
  <c r="T9" i="5"/>
  <c r="T8" i="5"/>
  <c r="R15" i="5"/>
  <c r="R14" i="5"/>
  <c r="R13" i="5"/>
  <c r="R12" i="5"/>
  <c r="R11" i="5"/>
  <c r="R10" i="5"/>
  <c r="R9" i="5"/>
  <c r="R8" i="5"/>
  <c r="Q9" i="5"/>
  <c r="Q10" i="5"/>
  <c r="Q11" i="5"/>
  <c r="Q12" i="5"/>
  <c r="Q13" i="5"/>
  <c r="Q14" i="5"/>
  <c r="Q15" i="5"/>
  <c r="Q8" i="5"/>
  <c r="P15" i="5"/>
  <c r="P14" i="5"/>
  <c r="P13" i="5"/>
  <c r="P12" i="5"/>
  <c r="P11" i="5"/>
  <c r="P10" i="5"/>
  <c r="P9" i="5"/>
  <c r="P8" i="5"/>
  <c r="E15" i="5"/>
  <c r="E14" i="5"/>
  <c r="E13" i="5"/>
  <c r="E12" i="5"/>
  <c r="E11" i="5"/>
  <c r="E10" i="5"/>
  <c r="E9" i="5"/>
  <c r="E8" i="5"/>
  <c r="AC35" i="6" l="1"/>
  <c r="AC34" i="6"/>
  <c r="AC33" i="6"/>
  <c r="AC32" i="6"/>
  <c r="AB35" i="6"/>
  <c r="AB34" i="6"/>
  <c r="AB33" i="6"/>
  <c r="AB32" i="6"/>
  <c r="AA35" i="6"/>
  <c r="AA34" i="6"/>
  <c r="AA33" i="6"/>
  <c r="AA32" i="6"/>
  <c r="Z35" i="6"/>
  <c r="Z34" i="6"/>
  <c r="Z33" i="6"/>
  <c r="Z32" i="6"/>
  <c r="Y35" i="6"/>
  <c r="Y34" i="6"/>
  <c r="Y33" i="6"/>
  <c r="Y32" i="6"/>
  <c r="X35" i="6"/>
  <c r="X34" i="6"/>
  <c r="X33" i="6"/>
  <c r="X32" i="6"/>
  <c r="W35" i="6"/>
  <c r="W34" i="6"/>
  <c r="W33" i="6"/>
  <c r="W32" i="6"/>
  <c r="V35" i="6"/>
  <c r="V34" i="6"/>
  <c r="V33" i="6"/>
  <c r="V32" i="6"/>
  <c r="AC46" i="6"/>
  <c r="AC45" i="6"/>
  <c r="AC44" i="6"/>
  <c r="AC43" i="6"/>
  <c r="AB46" i="6"/>
  <c r="AB45" i="6"/>
  <c r="AB44" i="6"/>
  <c r="AB43" i="6"/>
  <c r="AA46" i="6"/>
  <c r="AA45" i="6"/>
  <c r="AA44" i="6"/>
  <c r="AA43" i="6"/>
  <c r="Z47" i="6"/>
  <c r="Z46" i="6"/>
  <c r="Z45" i="6"/>
  <c r="Z44" i="6"/>
  <c r="Z43" i="6"/>
  <c r="Y46" i="6"/>
  <c r="Y45" i="6"/>
  <c r="Y44" i="6"/>
  <c r="Y43" i="6"/>
  <c r="X46" i="6"/>
  <c r="X45" i="6"/>
  <c r="X44" i="6"/>
  <c r="X43" i="6"/>
  <c r="AC39" i="6"/>
  <c r="AB39" i="6"/>
  <c r="AA39" i="6"/>
  <c r="Z39" i="6"/>
  <c r="Y39" i="6"/>
  <c r="X39" i="6"/>
  <c r="W39" i="6"/>
  <c r="V39" i="6"/>
  <c r="AC38" i="6"/>
  <c r="AB38" i="6"/>
  <c r="AA38" i="6"/>
  <c r="Z38" i="6"/>
  <c r="Y38" i="6"/>
  <c r="X38" i="6"/>
  <c r="W38" i="6"/>
  <c r="V38" i="6"/>
  <c r="AC37" i="6"/>
  <c r="AB37" i="6"/>
  <c r="AA37" i="6"/>
  <c r="Z37" i="6"/>
  <c r="Y37" i="6"/>
  <c r="X37" i="6"/>
  <c r="W37" i="6"/>
  <c r="V37" i="6"/>
  <c r="AC36" i="6"/>
  <c r="AB36" i="6"/>
  <c r="AA36" i="6"/>
  <c r="Z36" i="6"/>
  <c r="Y36" i="6"/>
  <c r="X36" i="6"/>
  <c r="W36" i="6"/>
  <c r="V36" i="6"/>
  <c r="Z48" i="6"/>
  <c r="AA48" i="6"/>
  <c r="AB48" i="6"/>
  <c r="AC48" i="6"/>
  <c r="Z49" i="6"/>
  <c r="AA49" i="6"/>
  <c r="AB49" i="6"/>
  <c r="AC49" i="6"/>
  <c r="Z50" i="6"/>
  <c r="AA50" i="6"/>
  <c r="AB50" i="6"/>
  <c r="AC50" i="6"/>
  <c r="AC47" i="6"/>
  <c r="AB47" i="6"/>
  <c r="AA47" i="6"/>
  <c r="Y48" i="6"/>
  <c r="Y49" i="6"/>
  <c r="Y50" i="6"/>
  <c r="Y47" i="6"/>
  <c r="X48" i="6"/>
  <c r="X49" i="6"/>
  <c r="X50" i="6"/>
  <c r="X47" i="6"/>
  <c r="W48" i="6"/>
  <c r="W49" i="6"/>
  <c r="W50" i="6"/>
  <c r="W47" i="6"/>
  <c r="W46" i="6"/>
  <c r="W45" i="6"/>
  <c r="W44" i="6"/>
  <c r="W43" i="6"/>
  <c r="V48" i="6"/>
  <c r="V49" i="6"/>
  <c r="V50" i="6"/>
  <c r="V47" i="6"/>
  <c r="V46" i="6"/>
  <c r="V45" i="6"/>
  <c r="V44" i="6"/>
  <c r="V43" i="6"/>
  <c r="AC50" i="5"/>
  <c r="AC49" i="5"/>
  <c r="AC48" i="5"/>
  <c r="AC47" i="5"/>
  <c r="AC46" i="5"/>
  <c r="AC45" i="5"/>
  <c r="AC44" i="5"/>
  <c r="AC43" i="5"/>
  <c r="AB50" i="5"/>
  <c r="AB49" i="5"/>
  <c r="AB48" i="5"/>
  <c r="AB47" i="5"/>
  <c r="AB46" i="5"/>
  <c r="AB45" i="5"/>
  <c r="AB44" i="5"/>
  <c r="AB43" i="5"/>
  <c r="AA49" i="5"/>
  <c r="AA50" i="5"/>
  <c r="AA48" i="5"/>
  <c r="AA47" i="5"/>
  <c r="AA46" i="5"/>
  <c r="AA45" i="5"/>
  <c r="AA44" i="5"/>
  <c r="AA43" i="5"/>
  <c r="Z50" i="5"/>
  <c r="Z49" i="5"/>
  <c r="Z48" i="5"/>
  <c r="Z47" i="5"/>
  <c r="Z46" i="5"/>
  <c r="Z45" i="5"/>
  <c r="Z44" i="5"/>
  <c r="Z43" i="5"/>
  <c r="Y50" i="5"/>
  <c r="Y49" i="5"/>
  <c r="Y48" i="5"/>
  <c r="Y47" i="5"/>
  <c r="Y46" i="5"/>
  <c r="Y45" i="5"/>
  <c r="Y44" i="5"/>
  <c r="Y43" i="5"/>
  <c r="X50" i="5"/>
  <c r="X49" i="5"/>
  <c r="X48" i="5"/>
  <c r="X47" i="5"/>
  <c r="X46" i="5"/>
  <c r="X45" i="5"/>
  <c r="X44" i="5"/>
  <c r="X43" i="5"/>
  <c r="W50" i="5"/>
  <c r="W49" i="5"/>
  <c r="W48" i="5"/>
  <c r="W47" i="5"/>
  <c r="W46" i="5"/>
  <c r="W45" i="5"/>
  <c r="W44" i="5"/>
  <c r="W43" i="5"/>
  <c r="V50" i="5"/>
  <c r="V49" i="5"/>
  <c r="V48" i="5"/>
  <c r="V47" i="5"/>
  <c r="V46" i="5"/>
  <c r="V45" i="5"/>
  <c r="V44" i="5"/>
  <c r="V43" i="5"/>
  <c r="AC39" i="5"/>
  <c r="AC38" i="5"/>
  <c r="AC37" i="5"/>
  <c r="AC36" i="5"/>
  <c r="AC35" i="5"/>
  <c r="AC34" i="5"/>
  <c r="AC33" i="5"/>
  <c r="AC32" i="5"/>
  <c r="AB39" i="5"/>
  <c r="AB38" i="5"/>
  <c r="AB37" i="5"/>
  <c r="AB36" i="5"/>
  <c r="AB35" i="5"/>
  <c r="AB34" i="5"/>
  <c r="AB33" i="5"/>
  <c r="AB32" i="5"/>
  <c r="AA39" i="5"/>
  <c r="AA38" i="5"/>
  <c r="AA37" i="5"/>
  <c r="AA36" i="5"/>
  <c r="AA35" i="5"/>
  <c r="AA34" i="5"/>
  <c r="AA33" i="5"/>
  <c r="AA32" i="5"/>
  <c r="Z39" i="5"/>
  <c r="Z38" i="5"/>
  <c r="Z37" i="5"/>
  <c r="Z36" i="5"/>
  <c r="Z35" i="5"/>
  <c r="Z34" i="5"/>
  <c r="Z33" i="5"/>
  <c r="Z32" i="5"/>
  <c r="Y39" i="5"/>
  <c r="Y38" i="5"/>
  <c r="Y37" i="5"/>
  <c r="Y36" i="5"/>
  <c r="Y35" i="5"/>
  <c r="Y34" i="5"/>
  <c r="Y33" i="5"/>
  <c r="Y32" i="5"/>
  <c r="X39" i="5"/>
  <c r="X38" i="5"/>
  <c r="X37" i="5"/>
  <c r="X36" i="5"/>
  <c r="X35" i="5"/>
  <c r="X34" i="5"/>
  <c r="X33" i="5"/>
  <c r="X32" i="5"/>
  <c r="W39" i="5"/>
  <c r="W38" i="5"/>
  <c r="W37" i="5"/>
  <c r="W36" i="5"/>
  <c r="W35" i="5"/>
  <c r="W34" i="5"/>
  <c r="W33" i="5"/>
  <c r="W32" i="5"/>
  <c r="V39" i="5"/>
  <c r="V38" i="5"/>
  <c r="V37" i="5"/>
  <c r="V36" i="5"/>
  <c r="V35" i="5"/>
  <c r="V34" i="5"/>
  <c r="V33" i="5"/>
  <c r="V32" i="5"/>
  <c r="Q9" i="17" l="1"/>
  <c r="Q10" i="17"/>
  <c r="Q11" i="17"/>
  <c r="Q12" i="17"/>
  <c r="Q13" i="17"/>
  <c r="Q14" i="17"/>
  <c r="Q15" i="17"/>
  <c r="Q8" i="17"/>
  <c r="P9" i="16"/>
  <c r="P10" i="16"/>
  <c r="P11" i="16"/>
  <c r="P12" i="16"/>
  <c r="P13" i="16"/>
  <c r="P14" i="16"/>
  <c r="P15" i="16"/>
  <c r="P8" i="16"/>
  <c r="X9" i="15"/>
  <c r="X10" i="15"/>
  <c r="X11" i="15"/>
  <c r="X12" i="15"/>
  <c r="X13" i="15"/>
  <c r="X14" i="15"/>
  <c r="X15" i="15"/>
  <c r="X8" i="15"/>
  <c r="R9" i="14"/>
  <c r="R10" i="14"/>
  <c r="R11" i="14"/>
  <c r="R12" i="14"/>
  <c r="R13" i="14"/>
  <c r="R14" i="14"/>
  <c r="R15" i="14"/>
  <c r="R8" i="14"/>
  <c r="S9" i="7"/>
  <c r="S10" i="7"/>
  <c r="S11" i="7"/>
  <c r="S12" i="7"/>
  <c r="S13" i="7"/>
  <c r="S14" i="7"/>
  <c r="S15" i="7"/>
  <c r="S8" i="7"/>
  <c r="N9" i="11" l="1"/>
  <c r="N10" i="11"/>
  <c r="N11" i="11"/>
  <c r="N12" i="11"/>
  <c r="N13" i="11"/>
  <c r="N14" i="11"/>
  <c r="N15" i="11"/>
  <c r="N8" i="11"/>
  <c r="J8" i="12" l="1"/>
  <c r="J9" i="12"/>
  <c r="J10" i="12"/>
  <c r="J11" i="12"/>
  <c r="J12" i="12"/>
  <c r="J13" i="12"/>
  <c r="J14" i="12"/>
  <c r="J7" i="12"/>
  <c r="M39" i="20" l="1"/>
  <c r="M38" i="20"/>
  <c r="M37" i="20"/>
  <c r="M36" i="20"/>
  <c r="P8" i="20" s="1" a="1"/>
  <c r="P8" i="20" s="1"/>
  <c r="M35" i="20"/>
  <c r="M34" i="20"/>
  <c r="M33" i="20"/>
  <c r="M32" i="20"/>
  <c r="N19" i="20"/>
  <c r="I17" i="20"/>
  <c r="C32" i="3" s="1"/>
  <c r="T15" i="20"/>
  <c r="P15" i="20" a="1"/>
  <c r="P15" i="20" s="1"/>
  <c r="O15" i="20" a="1"/>
  <c r="O15" i="20" s="1"/>
  <c r="N15" i="20" a="1"/>
  <c r="N15" i="20" s="1"/>
  <c r="M15" i="20" a="1"/>
  <c r="M15" i="20" s="1"/>
  <c r="L15" i="20" a="1"/>
  <c r="L15" i="20" s="1"/>
  <c r="S15" i="20" s="1"/>
  <c r="K15" i="20"/>
  <c r="T14" i="20"/>
  <c r="P14" i="20" a="1"/>
  <c r="P14" i="20" s="1"/>
  <c r="O14" i="20" a="1"/>
  <c r="O14" i="20" s="1"/>
  <c r="N14" i="20" a="1"/>
  <c r="N14" i="20" s="1"/>
  <c r="M14" i="20" a="1"/>
  <c r="M14" i="20" s="1"/>
  <c r="L14" i="20" a="1"/>
  <c r="L14" i="20" s="1"/>
  <c r="K14" i="20"/>
  <c r="T13" i="20"/>
  <c r="P13" i="20" a="1"/>
  <c r="P13" i="20" s="1"/>
  <c r="O13" i="20" a="1"/>
  <c r="O13" i="20" s="1"/>
  <c r="N13" i="20" a="1"/>
  <c r="N13" i="20" s="1"/>
  <c r="M13" i="20" a="1"/>
  <c r="M13" i="20" s="1"/>
  <c r="L13" i="20" a="1"/>
  <c r="L13" i="20" s="1"/>
  <c r="K13" i="20"/>
  <c r="T12" i="20"/>
  <c r="P12" i="20" a="1"/>
  <c r="P12" i="20" s="1"/>
  <c r="O12" i="20" a="1"/>
  <c r="O12" i="20" s="1"/>
  <c r="N12" i="20" a="1"/>
  <c r="N12" i="20" s="1"/>
  <c r="M12" i="20" a="1"/>
  <c r="M12" i="20" s="1"/>
  <c r="L12" i="20" a="1"/>
  <c r="L12" i="20" s="1"/>
  <c r="K12" i="20"/>
  <c r="T11" i="20"/>
  <c r="P11" i="20" a="1"/>
  <c r="P11" i="20" s="1"/>
  <c r="O11" i="20" a="1"/>
  <c r="O11" i="20" s="1"/>
  <c r="N11" i="20" a="1"/>
  <c r="N11" i="20" s="1"/>
  <c r="M11" i="20" a="1"/>
  <c r="M11" i="20" s="1"/>
  <c r="L11" i="20" a="1"/>
  <c r="L11" i="20" s="1"/>
  <c r="S11" i="20" s="1"/>
  <c r="V11" i="20" s="1"/>
  <c r="K11" i="20"/>
  <c r="T10" i="20"/>
  <c r="P10" i="20" a="1"/>
  <c r="P10" i="20" s="1"/>
  <c r="R10" i="20" s="1"/>
  <c r="Q10" i="20" s="1"/>
  <c r="O10" i="20" a="1"/>
  <c r="O10" i="20" s="1"/>
  <c r="N10" i="20" a="1"/>
  <c r="N10" i="20" s="1"/>
  <c r="M10" i="20" a="1"/>
  <c r="M10" i="20" s="1"/>
  <c r="L10" i="20" a="1"/>
  <c r="L10" i="20" s="1"/>
  <c r="S10" i="20" s="1"/>
  <c r="V10" i="20" s="1"/>
  <c r="K10" i="20"/>
  <c r="T9" i="20"/>
  <c r="P9" i="20" a="1"/>
  <c r="P9" i="20" s="1"/>
  <c r="O9" i="20" a="1"/>
  <c r="O9" i="20" s="1"/>
  <c r="N9" i="20" a="1"/>
  <c r="N9" i="20" s="1"/>
  <c r="M9" i="20" a="1"/>
  <c r="M9" i="20" s="1"/>
  <c r="L9" i="20" a="1"/>
  <c r="L9" i="20" s="1"/>
  <c r="S9" i="20" s="1"/>
  <c r="V9" i="20" s="1"/>
  <c r="K9" i="20"/>
  <c r="T8" i="20"/>
  <c r="O8" i="20" a="1"/>
  <c r="O8" i="20" s="1"/>
  <c r="N8" i="20" a="1"/>
  <c r="N8" i="20" s="1"/>
  <c r="M8" i="20" a="1"/>
  <c r="M8" i="20" s="1"/>
  <c r="L8" i="20" a="1"/>
  <c r="L8" i="20" s="1"/>
  <c r="S8" i="20" s="1"/>
  <c r="V8" i="20" s="1"/>
  <c r="K8" i="20"/>
  <c r="S14" i="20" l="1"/>
  <c r="V14" i="20" s="1"/>
  <c r="R9" i="20"/>
  <c r="Q9" i="20" s="1"/>
  <c r="S13" i="20"/>
  <c r="V13" i="20" s="1"/>
  <c r="R11" i="20"/>
  <c r="Q11" i="20" s="1"/>
  <c r="R15" i="20"/>
  <c r="Q15" i="20" s="1"/>
  <c r="V15" i="20"/>
  <c r="R8" i="20"/>
  <c r="Q8" i="20" s="1"/>
  <c r="S12" i="20"/>
  <c r="V12" i="20" s="1"/>
  <c r="T17" i="20"/>
  <c r="F32" i="3" s="1"/>
  <c r="M19" i="20"/>
  <c r="L19" i="20"/>
  <c r="P9" i="10"/>
  <c r="P10" i="10"/>
  <c r="P11" i="10"/>
  <c r="P12" i="10"/>
  <c r="P13" i="10"/>
  <c r="P14" i="10"/>
  <c r="P15" i="10"/>
  <c r="P8" i="10"/>
  <c r="L9" i="10"/>
  <c r="L10" i="10"/>
  <c r="L11" i="10"/>
  <c r="L12" i="10"/>
  <c r="L13" i="10"/>
  <c r="L14" i="10"/>
  <c r="L15" i="10"/>
  <c r="L8" i="10"/>
  <c r="N9" i="10"/>
  <c r="N10" i="10"/>
  <c r="N11" i="10"/>
  <c r="N12" i="10"/>
  <c r="N13" i="10"/>
  <c r="N14" i="10"/>
  <c r="N15" i="10"/>
  <c r="N8" i="10"/>
  <c r="C21" i="7"/>
  <c r="AJ9" i="7" s="1"/>
  <c r="Z9" i="7" a="1"/>
  <c r="Z9" i="7" s="1"/>
  <c r="Z10" i="7" a="1"/>
  <c r="Z10" i="7" s="1"/>
  <c r="Z11" i="7" a="1"/>
  <c r="Z11" i="7" s="1"/>
  <c r="Z12" i="7" a="1"/>
  <c r="Z12" i="7" s="1"/>
  <c r="Z13" i="7" a="1"/>
  <c r="Z13" i="7" s="1"/>
  <c r="Z14" i="7" a="1"/>
  <c r="Z14" i="7" s="1"/>
  <c r="Z15" i="7" a="1"/>
  <c r="Z15" i="7" s="1"/>
  <c r="AI9" i="7" a="1"/>
  <c r="AI9" i="7" s="1"/>
  <c r="AI10" i="7" a="1"/>
  <c r="AI10" i="7" s="1"/>
  <c r="AI11" i="7" a="1"/>
  <c r="AI11" i="7" s="1"/>
  <c r="AI12" i="7" a="1"/>
  <c r="AI12" i="7" s="1"/>
  <c r="AI13" i="7" a="1"/>
  <c r="AI13" i="7" s="1"/>
  <c r="AI14" i="7" a="1"/>
  <c r="AI14" i="7" s="1"/>
  <c r="AI15" i="7" a="1"/>
  <c r="AI15" i="7" s="1"/>
  <c r="AH8" i="7"/>
  <c r="AG9" i="7" a="1"/>
  <c r="AG9" i="7" s="1"/>
  <c r="AG10" i="7" a="1"/>
  <c r="AG10" i="7" s="1"/>
  <c r="AG11" i="7" a="1"/>
  <c r="AG11" i="7" s="1"/>
  <c r="AG12" i="7" a="1"/>
  <c r="AG12" i="7" s="1"/>
  <c r="AG13" i="7" a="1"/>
  <c r="AG13" i="7" s="1"/>
  <c r="AG14" i="7" a="1"/>
  <c r="AG14" i="7" s="1"/>
  <c r="AG15" i="7" a="1"/>
  <c r="AG15" i="7" s="1"/>
  <c r="AF9" i="7"/>
  <c r="AF10" i="7"/>
  <c r="AF11" i="7"/>
  <c r="AF12" i="7"/>
  <c r="AF13" i="7"/>
  <c r="AF14" i="7"/>
  <c r="AF15" i="7"/>
  <c r="AE9" i="7" a="1"/>
  <c r="AE9" i="7" s="1"/>
  <c r="AE10" i="7" a="1"/>
  <c r="AE10" i="7" s="1"/>
  <c r="AE11" i="7" a="1"/>
  <c r="AE11" i="7" s="1"/>
  <c r="AE12" i="7" a="1"/>
  <c r="AE12" i="7" s="1"/>
  <c r="AE13" i="7" a="1"/>
  <c r="AE13" i="7" s="1"/>
  <c r="AE14" i="7" a="1"/>
  <c r="AE14" i="7" s="1"/>
  <c r="AE15" i="7" a="1"/>
  <c r="AE15" i="7" s="1"/>
  <c r="AF8" i="7"/>
  <c r="AD9" i="7"/>
  <c r="AD10" i="7"/>
  <c r="AD11" i="7"/>
  <c r="AD12" i="7"/>
  <c r="AD13" i="7"/>
  <c r="AD14" i="7"/>
  <c r="AD15" i="7"/>
  <c r="AC9" i="7" a="1"/>
  <c r="AC9" i="7" s="1"/>
  <c r="AC10" i="7" a="1"/>
  <c r="AC10" i="7" s="1"/>
  <c r="AC11" i="7" a="1"/>
  <c r="AC11" i="7" s="1"/>
  <c r="AC12" i="7" a="1"/>
  <c r="AC12" i="7" s="1"/>
  <c r="AC13" i="7" a="1"/>
  <c r="AC13" i="7" s="1"/>
  <c r="AC14" i="7" a="1"/>
  <c r="AC14" i="7" s="1"/>
  <c r="AC15" i="7" a="1"/>
  <c r="AC15" i="7" s="1"/>
  <c r="AB9" i="7"/>
  <c r="AB10" i="7"/>
  <c r="AB11" i="7"/>
  <c r="AB12" i="7"/>
  <c r="AB13" i="7"/>
  <c r="AB14" i="7"/>
  <c r="AB15" i="7"/>
  <c r="W8" i="7"/>
  <c r="AD8" i="7"/>
  <c r="N9" i="18"/>
  <c r="N10" i="18"/>
  <c r="N11" i="18"/>
  <c r="N12" i="18"/>
  <c r="N13" i="18"/>
  <c r="N14" i="18"/>
  <c r="N15" i="18"/>
  <c r="N8" i="18"/>
  <c r="AA9" i="17"/>
  <c r="AA10" i="17"/>
  <c r="AA11" i="17"/>
  <c r="AA12" i="17"/>
  <c r="AA13" i="17"/>
  <c r="AA14" i="17"/>
  <c r="AA15" i="17"/>
  <c r="T9" i="17"/>
  <c r="AB9" i="17" s="1"/>
  <c r="U9" i="17"/>
  <c r="T10" i="17"/>
  <c r="AB10" i="17" s="1"/>
  <c r="U10" i="17"/>
  <c r="T11" i="17"/>
  <c r="AB11" i="17" s="1"/>
  <c r="U11" i="17"/>
  <c r="T12" i="17"/>
  <c r="AB12" i="17" s="1"/>
  <c r="U12" i="17"/>
  <c r="T13" i="17"/>
  <c r="AB13" i="17" s="1"/>
  <c r="U13" i="17"/>
  <c r="T14" i="17"/>
  <c r="AB14" i="17" s="1"/>
  <c r="U14" i="17"/>
  <c r="T15" i="17"/>
  <c r="AB15" i="17" s="1"/>
  <c r="U15" i="17"/>
  <c r="U8" i="17"/>
  <c r="T8" i="17"/>
  <c r="AB8" i="17" s="1"/>
  <c r="AA8" i="17"/>
  <c r="T10" i="16"/>
  <c r="T11" i="16"/>
  <c r="T12" i="16"/>
  <c r="T13" i="16"/>
  <c r="T14" i="16"/>
  <c r="T15" i="16"/>
  <c r="S10" i="16"/>
  <c r="S11" i="16"/>
  <c r="S12" i="16"/>
  <c r="S13" i="16"/>
  <c r="S14" i="16"/>
  <c r="S15" i="16"/>
  <c r="K9" i="16"/>
  <c r="K10" i="16"/>
  <c r="Q10" i="16" s="1"/>
  <c r="K11" i="16"/>
  <c r="Q11" i="16" s="1"/>
  <c r="K12" i="16"/>
  <c r="Q12" i="16" s="1"/>
  <c r="K13" i="16"/>
  <c r="Q13" i="16" s="1"/>
  <c r="K14" i="16"/>
  <c r="Q14" i="16" s="1"/>
  <c r="K15" i="16"/>
  <c r="Q15" i="16" s="1"/>
  <c r="K8" i="16"/>
  <c r="M9" i="11"/>
  <c r="M10" i="11"/>
  <c r="M11" i="11"/>
  <c r="M12" i="11"/>
  <c r="M13" i="11"/>
  <c r="M14" i="11"/>
  <c r="M15" i="11"/>
  <c r="M8" i="11"/>
  <c r="L9" i="11"/>
  <c r="L10" i="11"/>
  <c r="L11" i="11"/>
  <c r="L12" i="11"/>
  <c r="L13" i="11"/>
  <c r="L14" i="11"/>
  <c r="L15" i="11"/>
  <c r="K8" i="8"/>
  <c r="L8" i="8" s="1"/>
  <c r="AB8" i="7"/>
  <c r="T128" i="7"/>
  <c r="S128" i="7"/>
  <c r="R128" i="7"/>
  <c r="Q128" i="7"/>
  <c r="P128" i="7"/>
  <c r="O128" i="7"/>
  <c r="N128" i="7"/>
  <c r="M128" i="7"/>
  <c r="T127" i="7"/>
  <c r="S127" i="7"/>
  <c r="R127" i="7"/>
  <c r="Q127" i="7"/>
  <c r="P127" i="7"/>
  <c r="O127" i="7"/>
  <c r="N127" i="7"/>
  <c r="M127" i="7"/>
  <c r="T125" i="7"/>
  <c r="S125" i="7"/>
  <c r="R125" i="7"/>
  <c r="Q125" i="7"/>
  <c r="P125" i="7"/>
  <c r="O125" i="7"/>
  <c r="N125" i="7"/>
  <c r="M125" i="7"/>
  <c r="T123" i="7"/>
  <c r="S123" i="7"/>
  <c r="R123" i="7"/>
  <c r="Q123" i="7"/>
  <c r="P123" i="7"/>
  <c r="O123" i="7"/>
  <c r="N123" i="7"/>
  <c r="M123" i="7"/>
  <c r="T121" i="7"/>
  <c r="S121" i="7"/>
  <c r="R121" i="7"/>
  <c r="Q121" i="7"/>
  <c r="P121" i="7"/>
  <c r="O121" i="7"/>
  <c r="N121" i="7"/>
  <c r="M121" i="7"/>
  <c r="T120" i="7"/>
  <c r="S120" i="7"/>
  <c r="R120" i="7"/>
  <c r="Q120" i="7"/>
  <c r="P120" i="7"/>
  <c r="O120" i="7"/>
  <c r="N120" i="7"/>
  <c r="M120" i="7"/>
  <c r="T119" i="7"/>
  <c r="S119" i="7"/>
  <c r="R119" i="7"/>
  <c r="Q119" i="7"/>
  <c r="P119" i="7"/>
  <c r="O119" i="7"/>
  <c r="N119" i="7"/>
  <c r="M119" i="7"/>
  <c r="T142" i="7"/>
  <c r="S142" i="7"/>
  <c r="R142" i="7"/>
  <c r="Q142" i="7"/>
  <c r="P142" i="7"/>
  <c r="O142" i="7"/>
  <c r="N142" i="7"/>
  <c r="M142" i="7"/>
  <c r="T141" i="7"/>
  <c r="S141" i="7"/>
  <c r="R141" i="7"/>
  <c r="Q141" i="7"/>
  <c r="P141" i="7"/>
  <c r="O141" i="7"/>
  <c r="N141" i="7"/>
  <c r="M141" i="7"/>
  <c r="T139" i="7"/>
  <c r="S139" i="7"/>
  <c r="R139" i="7"/>
  <c r="Q139" i="7"/>
  <c r="P139" i="7"/>
  <c r="O139" i="7"/>
  <c r="N139" i="7"/>
  <c r="T137" i="7"/>
  <c r="S137" i="7"/>
  <c r="R137" i="7"/>
  <c r="Q137" i="7"/>
  <c r="P137" i="7"/>
  <c r="O137" i="7"/>
  <c r="N137" i="7"/>
  <c r="M139" i="7"/>
  <c r="M137" i="7"/>
  <c r="T135" i="7"/>
  <c r="S135" i="7"/>
  <c r="R135" i="7"/>
  <c r="Q135" i="7"/>
  <c r="P135" i="7"/>
  <c r="O135" i="7"/>
  <c r="N135" i="7"/>
  <c r="M135" i="7"/>
  <c r="T134" i="7"/>
  <c r="S134" i="7"/>
  <c r="R134" i="7"/>
  <c r="Q134" i="7"/>
  <c r="P134" i="7"/>
  <c r="O134" i="7"/>
  <c r="N134" i="7"/>
  <c r="M134" i="7"/>
  <c r="T113" i="7"/>
  <c r="S113" i="7"/>
  <c r="R113" i="7"/>
  <c r="Q113" i="7"/>
  <c r="P113" i="7"/>
  <c r="O113" i="7"/>
  <c r="N113" i="7"/>
  <c r="M113" i="7"/>
  <c r="T112" i="7"/>
  <c r="S112" i="7"/>
  <c r="R112" i="7"/>
  <c r="Q112" i="7"/>
  <c r="P112" i="7"/>
  <c r="O112" i="7"/>
  <c r="N112" i="7"/>
  <c r="M112" i="7"/>
  <c r="T110" i="7"/>
  <c r="S110" i="7"/>
  <c r="R110" i="7"/>
  <c r="Q110" i="7"/>
  <c r="P110" i="7"/>
  <c r="O110" i="7"/>
  <c r="N110" i="7"/>
  <c r="M110" i="7"/>
  <c r="T108" i="7"/>
  <c r="S108" i="7"/>
  <c r="R108" i="7"/>
  <c r="Q108" i="7"/>
  <c r="P108" i="7"/>
  <c r="O108" i="7"/>
  <c r="N108" i="7"/>
  <c r="M108" i="7"/>
  <c r="T106" i="7"/>
  <c r="S106" i="7"/>
  <c r="R106" i="7"/>
  <c r="Q106" i="7"/>
  <c r="P106" i="7"/>
  <c r="O106" i="7"/>
  <c r="N106" i="7"/>
  <c r="M106" i="7"/>
  <c r="T105" i="7"/>
  <c r="S105" i="7"/>
  <c r="R105" i="7"/>
  <c r="Q105" i="7"/>
  <c r="P105" i="7"/>
  <c r="O105" i="7"/>
  <c r="N105" i="7"/>
  <c r="M105" i="7"/>
  <c r="T99" i="7"/>
  <c r="S99" i="7"/>
  <c r="R99" i="7"/>
  <c r="Q99" i="7"/>
  <c r="P99" i="7"/>
  <c r="O99" i="7"/>
  <c r="N99" i="7"/>
  <c r="M99" i="7"/>
  <c r="T98" i="7"/>
  <c r="S98" i="7"/>
  <c r="R98" i="7"/>
  <c r="Q98" i="7"/>
  <c r="P98" i="7"/>
  <c r="O98" i="7"/>
  <c r="N98" i="7"/>
  <c r="M98" i="7"/>
  <c r="T96" i="7"/>
  <c r="S96" i="7"/>
  <c r="R96" i="7"/>
  <c r="Q96" i="7"/>
  <c r="P96" i="7"/>
  <c r="O96" i="7"/>
  <c r="N96" i="7"/>
  <c r="M96" i="7"/>
  <c r="T94" i="7"/>
  <c r="S94" i="7"/>
  <c r="R94" i="7"/>
  <c r="Q94" i="7"/>
  <c r="P94" i="7"/>
  <c r="O94" i="7"/>
  <c r="N94" i="7"/>
  <c r="M94" i="7"/>
  <c r="T92" i="7"/>
  <c r="S92" i="7"/>
  <c r="R92" i="7"/>
  <c r="Q92" i="7"/>
  <c r="P92" i="7"/>
  <c r="O92" i="7"/>
  <c r="N92" i="7"/>
  <c r="M92" i="7"/>
  <c r="T91" i="7"/>
  <c r="S91" i="7"/>
  <c r="R91" i="7"/>
  <c r="Q91" i="7"/>
  <c r="P91" i="7"/>
  <c r="O91" i="7"/>
  <c r="N91" i="7"/>
  <c r="M91" i="7"/>
  <c r="T90" i="7"/>
  <c r="S90" i="7"/>
  <c r="R90" i="7"/>
  <c r="Q90" i="7"/>
  <c r="P90" i="7"/>
  <c r="O90" i="7"/>
  <c r="N90" i="7"/>
  <c r="M90" i="7"/>
  <c r="R50" i="6"/>
  <c r="Q50" i="6"/>
  <c r="P50" i="6"/>
  <c r="O50" i="6"/>
  <c r="N50" i="6"/>
  <c r="M50" i="6"/>
  <c r="L50" i="6"/>
  <c r="K50" i="6"/>
  <c r="R49" i="6"/>
  <c r="Q49" i="6"/>
  <c r="P49" i="6"/>
  <c r="O49" i="6"/>
  <c r="N49" i="6"/>
  <c r="M49" i="6"/>
  <c r="L49" i="6"/>
  <c r="K49" i="6"/>
  <c r="R48" i="6"/>
  <c r="Q48" i="6"/>
  <c r="P48" i="6"/>
  <c r="O48" i="6"/>
  <c r="N48" i="6"/>
  <c r="M48" i="6"/>
  <c r="L48" i="6"/>
  <c r="K48" i="6"/>
  <c r="R47" i="6"/>
  <c r="Q47" i="6"/>
  <c r="P47" i="6"/>
  <c r="O47" i="6"/>
  <c r="N47" i="6"/>
  <c r="M47" i="6"/>
  <c r="L47" i="6"/>
  <c r="K47" i="6"/>
  <c r="R46" i="6"/>
  <c r="Q46" i="6"/>
  <c r="P46" i="6"/>
  <c r="O46" i="6"/>
  <c r="N46" i="6"/>
  <c r="M46" i="6"/>
  <c r="L46" i="6"/>
  <c r="K46" i="6"/>
  <c r="R45" i="6"/>
  <c r="Q45" i="6"/>
  <c r="P45" i="6"/>
  <c r="O45" i="6"/>
  <c r="N45" i="6"/>
  <c r="M45" i="6"/>
  <c r="L45" i="6"/>
  <c r="K45" i="6"/>
  <c r="R44" i="6"/>
  <c r="Q44" i="6"/>
  <c r="P44" i="6"/>
  <c r="O44" i="6"/>
  <c r="N44" i="6"/>
  <c r="M44" i="6"/>
  <c r="L44" i="6"/>
  <c r="K44" i="6"/>
  <c r="R43" i="6"/>
  <c r="Q43" i="6"/>
  <c r="P43" i="6"/>
  <c r="O43" i="6"/>
  <c r="N43" i="6"/>
  <c r="M43" i="6"/>
  <c r="L43" i="6"/>
  <c r="K43" i="6"/>
  <c r="R50" i="5"/>
  <c r="Q50" i="5"/>
  <c r="P50" i="5"/>
  <c r="O50" i="5"/>
  <c r="N50" i="5"/>
  <c r="M50" i="5"/>
  <c r="L50" i="5"/>
  <c r="K50" i="5"/>
  <c r="R49" i="5"/>
  <c r="Q49" i="5"/>
  <c r="P49" i="5"/>
  <c r="O49" i="5"/>
  <c r="N49" i="5"/>
  <c r="M49" i="5"/>
  <c r="L49" i="5"/>
  <c r="K49" i="5"/>
  <c r="R48" i="5"/>
  <c r="Q48" i="5"/>
  <c r="P48" i="5"/>
  <c r="O48" i="5"/>
  <c r="N48" i="5"/>
  <c r="M48" i="5"/>
  <c r="L48" i="5"/>
  <c r="K48" i="5"/>
  <c r="R47" i="5"/>
  <c r="Q47" i="5"/>
  <c r="P47" i="5"/>
  <c r="O47" i="5"/>
  <c r="N47" i="5"/>
  <c r="M47" i="5"/>
  <c r="L47" i="5"/>
  <c r="K47" i="5"/>
  <c r="R46" i="5"/>
  <c r="Q46" i="5"/>
  <c r="P46" i="5"/>
  <c r="O46" i="5"/>
  <c r="N46" i="5"/>
  <c r="M46" i="5"/>
  <c r="L46" i="5"/>
  <c r="K46" i="5"/>
  <c r="R45" i="5"/>
  <c r="Q45" i="5"/>
  <c r="P45" i="5"/>
  <c r="O45" i="5"/>
  <c r="N45" i="5"/>
  <c r="M45" i="5"/>
  <c r="L45" i="5"/>
  <c r="K45" i="5"/>
  <c r="R44" i="5"/>
  <c r="Q44" i="5"/>
  <c r="P44" i="5"/>
  <c r="O44" i="5"/>
  <c r="N44" i="5"/>
  <c r="M44" i="5"/>
  <c r="L44" i="5"/>
  <c r="K44" i="5"/>
  <c r="R43" i="5"/>
  <c r="Q43" i="5"/>
  <c r="P43" i="5"/>
  <c r="O43" i="5"/>
  <c r="N43" i="5"/>
  <c r="M43" i="5"/>
  <c r="L43" i="5"/>
  <c r="K43" i="5"/>
  <c r="L8" i="5"/>
  <c r="R12" i="20" l="1"/>
  <c r="Q12" i="20" s="1"/>
  <c r="R13" i="20"/>
  <c r="Q13" i="20" s="1"/>
  <c r="R14" i="20"/>
  <c r="Q14" i="20" s="1"/>
  <c r="K15" i="11"/>
  <c r="P15" i="11"/>
  <c r="P8" i="11"/>
  <c r="K8" i="11"/>
  <c r="K13" i="11"/>
  <c r="P13" i="11"/>
  <c r="K10" i="11"/>
  <c r="P10" i="11"/>
  <c r="K12" i="11"/>
  <c r="P12" i="11"/>
  <c r="K11" i="11"/>
  <c r="P11" i="11"/>
  <c r="K9" i="11"/>
  <c r="P9" i="11"/>
  <c r="K14" i="11"/>
  <c r="P14" i="11"/>
  <c r="S17" i="20"/>
  <c r="E32" i="3" s="1"/>
  <c r="AC8" i="7" a="1"/>
  <c r="AC8" i="7" s="1"/>
  <c r="Q8" i="16"/>
  <c r="T8" i="16"/>
  <c r="S8" i="16"/>
  <c r="T9" i="16"/>
  <c r="S9" i="16"/>
  <c r="AE8" i="7" a="1"/>
  <c r="AE8" i="7" s="1"/>
  <c r="AG8" i="7" a="1"/>
  <c r="AG8" i="7" s="1"/>
  <c r="AI8" i="7" a="1"/>
  <c r="AI8" i="7" s="1"/>
  <c r="AJ14" i="7"/>
  <c r="AJ15" i="7"/>
  <c r="AJ13" i="7"/>
  <c r="AJ12" i="7"/>
  <c r="AJ11" i="7"/>
  <c r="AJ10" i="7"/>
  <c r="Q9" i="16"/>
  <c r="S8" i="5"/>
  <c r="R17" i="20" l="1"/>
  <c r="D32" i="3" s="1"/>
  <c r="AC28" i="6"/>
  <c r="AB28" i="6"/>
  <c r="AA28" i="6"/>
  <c r="Z28" i="6"/>
  <c r="Y28" i="6"/>
  <c r="X28" i="6"/>
  <c r="W28" i="6"/>
  <c r="V28" i="6"/>
  <c r="AC27" i="6"/>
  <c r="AB27" i="6"/>
  <c r="AA27" i="6"/>
  <c r="Z27" i="6"/>
  <c r="Y27" i="6"/>
  <c r="X27" i="6"/>
  <c r="W27" i="6"/>
  <c r="V27" i="6"/>
  <c r="AC26" i="6"/>
  <c r="AB26" i="6"/>
  <c r="AA26" i="6"/>
  <c r="Z26" i="6"/>
  <c r="Y26" i="6"/>
  <c r="X26" i="6"/>
  <c r="W26" i="6"/>
  <c r="V26" i="6"/>
  <c r="AC25" i="6"/>
  <c r="AB25" i="6"/>
  <c r="AA25" i="6"/>
  <c r="Z25" i="6"/>
  <c r="Y25" i="6"/>
  <c r="X25" i="6"/>
  <c r="W25" i="6"/>
  <c r="V25" i="6"/>
  <c r="AC24" i="6"/>
  <c r="AB24" i="6"/>
  <c r="AA24" i="6"/>
  <c r="Z24" i="6"/>
  <c r="Y24" i="6"/>
  <c r="X24" i="6"/>
  <c r="W24" i="6"/>
  <c r="V24" i="6"/>
  <c r="AC23" i="6"/>
  <c r="AB23" i="6"/>
  <c r="AA23" i="6"/>
  <c r="Z23" i="6"/>
  <c r="Y23" i="6"/>
  <c r="X23" i="6"/>
  <c r="W23" i="6"/>
  <c r="V23" i="6"/>
  <c r="AC22" i="6"/>
  <c r="AB22" i="6"/>
  <c r="AA22" i="6"/>
  <c r="Z22" i="6"/>
  <c r="Y22" i="6"/>
  <c r="X22" i="6"/>
  <c r="W22" i="6"/>
  <c r="V22" i="6"/>
  <c r="V27" i="5"/>
  <c r="V26" i="5"/>
  <c r="V25" i="5"/>
  <c r="V24" i="5"/>
  <c r="V23" i="5"/>
  <c r="V22" i="5"/>
  <c r="V21" i="5"/>
  <c r="P21" i="6" l="1"/>
  <c r="N77" i="7" l="1"/>
  <c r="M77" i="7"/>
  <c r="T77" i="7"/>
  <c r="S77" i="7"/>
  <c r="R77" i="7"/>
  <c r="Q77" i="7"/>
  <c r="P77" i="7"/>
  <c r="O77" i="7"/>
  <c r="N44" i="7" l="1"/>
  <c r="N72" i="7"/>
  <c r="M72" i="7"/>
  <c r="Y8" i="7" l="1"/>
  <c r="Z8" i="7" s="1" a="1"/>
  <c r="Z8" i="7" s="1"/>
  <c r="T85" i="7"/>
  <c r="S85" i="7"/>
  <c r="R85" i="7"/>
  <c r="Q85" i="7"/>
  <c r="P85" i="7"/>
  <c r="O85" i="7"/>
  <c r="N85" i="7"/>
  <c r="M85" i="7"/>
  <c r="T84" i="7"/>
  <c r="S84" i="7"/>
  <c r="R84" i="7"/>
  <c r="Q84" i="7"/>
  <c r="P84" i="7"/>
  <c r="O84" i="7"/>
  <c r="N84" i="7"/>
  <c r="M84" i="7"/>
  <c r="R83" i="7"/>
  <c r="T83" i="7"/>
  <c r="S83" i="7"/>
  <c r="Q83" i="7"/>
  <c r="P83" i="7"/>
  <c r="O83" i="7"/>
  <c r="N83" i="7"/>
  <c r="M83" i="7"/>
  <c r="T82" i="7"/>
  <c r="AA15" i="7" s="1"/>
  <c r="S82" i="7"/>
  <c r="AA14" i="7" s="1"/>
  <c r="R82" i="7"/>
  <c r="AA13" i="7" s="1"/>
  <c r="Q82" i="7"/>
  <c r="AA12" i="7" s="1"/>
  <c r="P82" i="7"/>
  <c r="AA11" i="7" s="1"/>
  <c r="O82" i="7"/>
  <c r="AA10" i="7" s="1"/>
  <c r="N82" i="7"/>
  <c r="AA9" i="7" s="1"/>
  <c r="M82" i="7"/>
  <c r="T76" i="7"/>
  <c r="S76" i="7"/>
  <c r="R76" i="7"/>
  <c r="Q76" i="7"/>
  <c r="P76" i="7"/>
  <c r="O76" i="7"/>
  <c r="N76" i="7"/>
  <c r="M76" i="7"/>
  <c r="T75" i="7"/>
  <c r="S75" i="7"/>
  <c r="R75" i="7"/>
  <c r="Q75" i="7"/>
  <c r="P75" i="7"/>
  <c r="O75" i="7"/>
  <c r="N75" i="7"/>
  <c r="M75" i="7"/>
  <c r="T74" i="7"/>
  <c r="S74" i="7"/>
  <c r="R74" i="7"/>
  <c r="Q74" i="7"/>
  <c r="P74" i="7"/>
  <c r="O74" i="7"/>
  <c r="N74" i="7"/>
  <c r="M74" i="7"/>
  <c r="T73" i="7"/>
  <c r="S73" i="7"/>
  <c r="R73" i="7"/>
  <c r="Q73" i="7"/>
  <c r="P73" i="7"/>
  <c r="O73" i="7"/>
  <c r="N73" i="7"/>
  <c r="M73" i="7"/>
  <c r="T72" i="7"/>
  <c r="S72" i="7"/>
  <c r="R72" i="7"/>
  <c r="Q72" i="7"/>
  <c r="P72" i="7"/>
  <c r="O72" i="7"/>
  <c r="T66" i="7"/>
  <c r="S66" i="7"/>
  <c r="R66" i="7"/>
  <c r="Q66" i="7"/>
  <c r="P66" i="7"/>
  <c r="O66" i="7"/>
  <c r="N66" i="7"/>
  <c r="M66" i="7"/>
  <c r="T65" i="7"/>
  <c r="S65" i="7"/>
  <c r="R65" i="7"/>
  <c r="Q65" i="7"/>
  <c r="P65" i="7"/>
  <c r="O65" i="7"/>
  <c r="N65" i="7"/>
  <c r="M65" i="7"/>
  <c r="T63" i="7"/>
  <c r="S63" i="7"/>
  <c r="R63" i="7"/>
  <c r="Q63" i="7"/>
  <c r="P63" i="7"/>
  <c r="O63" i="7"/>
  <c r="N63" i="7"/>
  <c r="M63" i="7"/>
  <c r="T61" i="7"/>
  <c r="S61" i="7"/>
  <c r="R61" i="7"/>
  <c r="Q61" i="7"/>
  <c r="P61" i="7"/>
  <c r="O61" i="7"/>
  <c r="N61" i="7"/>
  <c r="M61" i="7"/>
  <c r="T59" i="7"/>
  <c r="S59" i="7"/>
  <c r="R59" i="7"/>
  <c r="Q59" i="7"/>
  <c r="P59" i="7"/>
  <c r="O59" i="7"/>
  <c r="N59" i="7"/>
  <c r="M59" i="7"/>
  <c r="T58" i="7"/>
  <c r="S58" i="7"/>
  <c r="R58" i="7"/>
  <c r="Q58" i="7"/>
  <c r="P58" i="7"/>
  <c r="O58" i="7"/>
  <c r="N58" i="7"/>
  <c r="M58" i="7"/>
  <c r="X8" i="7" s="1" a="1"/>
  <c r="X8" i="7" s="1"/>
  <c r="T52" i="7"/>
  <c r="S52" i="7"/>
  <c r="R52" i="7"/>
  <c r="Q52" i="7"/>
  <c r="P52" i="7"/>
  <c r="O52" i="7"/>
  <c r="N52" i="7"/>
  <c r="T51" i="7"/>
  <c r="S51" i="7"/>
  <c r="R51" i="7"/>
  <c r="Q51" i="7"/>
  <c r="P51" i="7"/>
  <c r="O51" i="7"/>
  <c r="N51" i="7"/>
  <c r="M52" i="7"/>
  <c r="M51" i="7"/>
  <c r="T49" i="7"/>
  <c r="S49" i="7"/>
  <c r="R49" i="7"/>
  <c r="Q49" i="7"/>
  <c r="P49" i="7"/>
  <c r="O49" i="7"/>
  <c r="N49" i="7"/>
  <c r="M49" i="7"/>
  <c r="T47" i="7"/>
  <c r="S47" i="7"/>
  <c r="R47" i="7"/>
  <c r="Q47" i="7"/>
  <c r="P47" i="7"/>
  <c r="O47" i="7"/>
  <c r="N47" i="7"/>
  <c r="M47" i="7"/>
  <c r="T45" i="7"/>
  <c r="S45" i="7"/>
  <c r="R45" i="7"/>
  <c r="Q45" i="7"/>
  <c r="P45" i="7"/>
  <c r="O45" i="7"/>
  <c r="N45" i="7"/>
  <c r="M45" i="7"/>
  <c r="T44" i="7"/>
  <c r="S44" i="7"/>
  <c r="R44" i="7"/>
  <c r="Q44" i="7"/>
  <c r="P44" i="7"/>
  <c r="O44" i="7"/>
  <c r="M44" i="7"/>
  <c r="T43" i="7"/>
  <c r="S43" i="7"/>
  <c r="R43" i="7"/>
  <c r="Q43" i="7"/>
  <c r="P43" i="7"/>
  <c r="O43" i="7"/>
  <c r="N43" i="7"/>
  <c r="M43" i="7"/>
  <c r="Y9" i="7"/>
  <c r="Y10" i="7"/>
  <c r="Y11" i="7"/>
  <c r="Y12" i="7"/>
  <c r="Y13" i="7"/>
  <c r="Y14" i="7"/>
  <c r="Y15" i="7"/>
  <c r="U9" i="7"/>
  <c r="U10" i="7"/>
  <c r="V10" i="7" s="1" a="1"/>
  <c r="V10" i="7" s="1"/>
  <c r="U11" i="7"/>
  <c r="U12" i="7"/>
  <c r="V12" i="7" s="1" a="1"/>
  <c r="V12" i="7" s="1"/>
  <c r="U13" i="7"/>
  <c r="U14" i="7"/>
  <c r="V14" i="7" s="1" a="1"/>
  <c r="V14" i="7" s="1"/>
  <c r="U15" i="7"/>
  <c r="V15" i="7" s="1" a="1"/>
  <c r="V15" i="7" s="1"/>
  <c r="U8" i="7"/>
  <c r="W9" i="7"/>
  <c r="W10" i="7"/>
  <c r="X10" i="7" s="1" a="1"/>
  <c r="X10" i="7" s="1"/>
  <c r="W11" i="7"/>
  <c r="W12" i="7"/>
  <c r="X12" i="7" s="1" a="1"/>
  <c r="X12" i="7" s="1"/>
  <c r="W13" i="7"/>
  <c r="W14" i="7"/>
  <c r="X14" i="7" s="1" a="1"/>
  <c r="X14" i="7" s="1"/>
  <c r="W15" i="7"/>
  <c r="X15" i="7" s="1" a="1"/>
  <c r="X15" i="7" s="1"/>
  <c r="V8" i="7" l="1" a="1"/>
  <c r="V8" i="7" s="1"/>
  <c r="AJ8" i="7" s="1"/>
  <c r="AA8" i="7"/>
  <c r="AO14" i="7"/>
  <c r="X13" i="7" a="1"/>
  <c r="X13" i="7" s="1"/>
  <c r="X9" i="7" a="1"/>
  <c r="X9" i="7" s="1"/>
  <c r="V13" i="7" a="1"/>
  <c r="V13" i="7" s="1"/>
  <c r="V9" i="7" a="1"/>
  <c r="V9" i="7" s="1"/>
  <c r="X11" i="7" a="1"/>
  <c r="X11" i="7" s="1"/>
  <c r="V11" i="7" a="1"/>
  <c r="V11" i="7" s="1"/>
  <c r="P14" i="7"/>
  <c r="B24" i="4" l="1"/>
  <c r="A24" i="4" s="1"/>
  <c r="AO15" i="7"/>
  <c r="B25" i="4" l="1"/>
  <c r="A25" i="4" s="1"/>
  <c r="K37" i="6" l="1"/>
  <c r="L37" i="6"/>
  <c r="M37" i="6"/>
  <c r="N37" i="6"/>
  <c r="O37" i="6"/>
  <c r="P37" i="6"/>
  <c r="Q37" i="6"/>
  <c r="R37" i="6"/>
  <c r="K38" i="6"/>
  <c r="L38" i="6"/>
  <c r="M38" i="6"/>
  <c r="N38" i="6"/>
  <c r="O38" i="6"/>
  <c r="P38" i="6"/>
  <c r="Q38" i="6"/>
  <c r="R38" i="6"/>
  <c r="K39" i="6"/>
  <c r="L39" i="6"/>
  <c r="M39" i="6"/>
  <c r="N39" i="6"/>
  <c r="O39" i="6"/>
  <c r="P39" i="6"/>
  <c r="Q39" i="6"/>
  <c r="R39" i="6"/>
  <c r="R36" i="6"/>
  <c r="Q36" i="6"/>
  <c r="P36" i="6"/>
  <c r="O36" i="6"/>
  <c r="N36" i="6"/>
  <c r="M36" i="6"/>
  <c r="L36" i="6"/>
  <c r="K36" i="6"/>
  <c r="K33" i="6"/>
  <c r="L33" i="6"/>
  <c r="M33" i="6"/>
  <c r="N33" i="6"/>
  <c r="O33" i="6"/>
  <c r="P33" i="6"/>
  <c r="Q33" i="6"/>
  <c r="R33" i="6"/>
  <c r="K34" i="6"/>
  <c r="L34" i="6"/>
  <c r="M34" i="6"/>
  <c r="N34" i="6"/>
  <c r="O34" i="6"/>
  <c r="P34" i="6"/>
  <c r="Q34" i="6"/>
  <c r="R34" i="6"/>
  <c r="K35" i="6"/>
  <c r="L35" i="6"/>
  <c r="M35" i="6"/>
  <c r="N35" i="6"/>
  <c r="O35" i="6"/>
  <c r="P35" i="6"/>
  <c r="Q35" i="6"/>
  <c r="R35" i="6"/>
  <c r="R32" i="6"/>
  <c r="Q32" i="6"/>
  <c r="P32" i="6"/>
  <c r="O32" i="6"/>
  <c r="N32" i="6"/>
  <c r="M32" i="6"/>
  <c r="L32" i="6"/>
  <c r="K32" i="6"/>
  <c r="C34" i="6"/>
  <c r="R39" i="5"/>
  <c r="Q39" i="5"/>
  <c r="P39" i="5"/>
  <c r="O39" i="5"/>
  <c r="N39" i="5"/>
  <c r="M39" i="5"/>
  <c r="L39" i="5"/>
  <c r="K39" i="5"/>
  <c r="R38" i="5"/>
  <c r="Q38" i="5"/>
  <c r="P38" i="5"/>
  <c r="O38" i="5"/>
  <c r="N38" i="5"/>
  <c r="M38" i="5"/>
  <c r="L38" i="5"/>
  <c r="K38" i="5"/>
  <c r="R37" i="5"/>
  <c r="Q37" i="5"/>
  <c r="P37" i="5"/>
  <c r="O37" i="5"/>
  <c r="N37" i="5"/>
  <c r="M37" i="5"/>
  <c r="L37" i="5"/>
  <c r="K37" i="5"/>
  <c r="R36" i="5"/>
  <c r="Q36" i="5"/>
  <c r="P36" i="5"/>
  <c r="O36" i="5"/>
  <c r="N36" i="5"/>
  <c r="M36" i="5"/>
  <c r="L36" i="5"/>
  <c r="K36" i="5"/>
  <c r="R35" i="5"/>
  <c r="Q35" i="5"/>
  <c r="P35" i="5"/>
  <c r="O35" i="5"/>
  <c r="N35" i="5"/>
  <c r="M35" i="5"/>
  <c r="L35" i="5"/>
  <c r="K35" i="5"/>
  <c r="R34" i="5"/>
  <c r="Q34" i="5"/>
  <c r="P34" i="5"/>
  <c r="O34" i="5"/>
  <c r="N34" i="5"/>
  <c r="M34" i="5"/>
  <c r="L34" i="5"/>
  <c r="K34" i="5"/>
  <c r="R33" i="5"/>
  <c r="Q33" i="5"/>
  <c r="P33" i="5"/>
  <c r="O33" i="5"/>
  <c r="N33" i="5"/>
  <c r="M33" i="5"/>
  <c r="L33" i="5"/>
  <c r="K33" i="5"/>
  <c r="R32" i="5"/>
  <c r="Q32" i="5"/>
  <c r="P32" i="5"/>
  <c r="O32" i="5"/>
  <c r="N32" i="5"/>
  <c r="M32" i="5"/>
  <c r="L32" i="5"/>
  <c r="K32" i="5"/>
  <c r="C34" i="5"/>
  <c r="N8" i="5" l="1" a="1"/>
  <c r="N8" i="5" s="1"/>
  <c r="M8" i="5" a="1"/>
  <c r="M8" i="5" s="1"/>
  <c r="AG9" i="15"/>
  <c r="AG10" i="15"/>
  <c r="AG11" i="15"/>
  <c r="AG12" i="15"/>
  <c r="AG13" i="15"/>
  <c r="AG14" i="15"/>
  <c r="AG15" i="15"/>
  <c r="O8" i="8" l="1"/>
  <c r="B26" i="4" s="1"/>
  <c r="M26" i="4" s="1"/>
  <c r="O9" i="8"/>
  <c r="B27" i="4" s="1"/>
  <c r="M27" i="4" s="1"/>
  <c r="O10" i="8"/>
  <c r="B28" i="4" s="1"/>
  <c r="M28" i="4" s="1"/>
  <c r="O11" i="8"/>
  <c r="B29" i="4" s="1"/>
  <c r="M29" i="4" s="1"/>
  <c r="O12" i="8"/>
  <c r="B30" i="4" s="1"/>
  <c r="M30" i="4" s="1"/>
  <c r="O13" i="8"/>
  <c r="B31" i="4" s="1"/>
  <c r="M31" i="4" s="1"/>
  <c r="O14" i="8"/>
  <c r="B32" i="4" s="1"/>
  <c r="O15" i="8"/>
  <c r="B33" i="4" s="1"/>
  <c r="M33" i="4" s="1"/>
  <c r="M9" i="8"/>
  <c r="M10" i="8"/>
  <c r="M11" i="8"/>
  <c r="M12" i="8"/>
  <c r="M13" i="8"/>
  <c r="M14" i="8"/>
  <c r="M15" i="8"/>
  <c r="R15" i="17"/>
  <c r="R14" i="17"/>
  <c r="R13" i="17"/>
  <c r="R12" i="17"/>
  <c r="R11" i="17"/>
  <c r="R10" i="17"/>
  <c r="R9" i="17"/>
  <c r="R8" i="17"/>
  <c r="B99" i="4"/>
  <c r="U99" i="4" s="1"/>
  <c r="B100" i="4"/>
  <c r="B101" i="4"/>
  <c r="I101" i="4" s="1"/>
  <c r="B102" i="4"/>
  <c r="G102" i="4" s="1"/>
  <c r="B103" i="4"/>
  <c r="K163" i="3" s="1"/>
  <c r="P163" i="3" s="1"/>
  <c r="B104" i="4"/>
  <c r="Q104" i="4" s="1"/>
  <c r="B105" i="4"/>
  <c r="B98" i="4"/>
  <c r="G98" i="4" s="1"/>
  <c r="Y9" i="15"/>
  <c r="Y10" i="15"/>
  <c r="Y11" i="15"/>
  <c r="Y12" i="15"/>
  <c r="Y13" i="15"/>
  <c r="Y14" i="15"/>
  <c r="Y15" i="15"/>
  <c r="Y8" i="15"/>
  <c r="T9" i="7"/>
  <c r="T10" i="7"/>
  <c r="T11" i="7"/>
  <c r="T12" i="7"/>
  <c r="T13" i="7"/>
  <c r="T14" i="7"/>
  <c r="T15" i="7"/>
  <c r="T8" i="7"/>
  <c r="P9" i="18"/>
  <c r="P10" i="18"/>
  <c r="P11" i="18"/>
  <c r="P12" i="18"/>
  <c r="P13" i="18"/>
  <c r="P14" i="18"/>
  <c r="P15" i="18"/>
  <c r="Q15" i="18"/>
  <c r="AB10" i="16"/>
  <c r="T27" i="7"/>
  <c r="S27" i="7"/>
  <c r="R27" i="7"/>
  <c r="Q27" i="7"/>
  <c r="P27" i="7"/>
  <c r="O27" i="7"/>
  <c r="N27" i="7"/>
  <c r="M27" i="7"/>
  <c r="L8" i="18"/>
  <c r="M8" i="18" s="1"/>
  <c r="P8" i="18"/>
  <c r="L9" i="18"/>
  <c r="M9" i="18" s="1"/>
  <c r="L10" i="18"/>
  <c r="M10" i="18" s="1"/>
  <c r="L11" i="18"/>
  <c r="U11" i="18"/>
  <c r="B109" i="4" s="1"/>
  <c r="N109" i="4" s="1"/>
  <c r="L12" i="18"/>
  <c r="M12" i="18" s="1"/>
  <c r="U12" i="18"/>
  <c r="B110" i="4" s="1"/>
  <c r="E110" i="4" s="1"/>
  <c r="Q12" i="18"/>
  <c r="L13" i="18"/>
  <c r="M13" i="18" s="1"/>
  <c r="Q13" i="18"/>
  <c r="L14" i="18"/>
  <c r="M14" i="18" s="1"/>
  <c r="L15" i="18"/>
  <c r="M15" i="18" s="1"/>
  <c r="Z8" i="16"/>
  <c r="B90" i="4" s="1"/>
  <c r="Z9" i="16"/>
  <c r="B91" i="4" s="1"/>
  <c r="I91" i="4" s="1"/>
  <c r="Z10" i="16"/>
  <c r="B92" i="4" s="1"/>
  <c r="P92" i="4" s="1"/>
  <c r="Z11" i="16"/>
  <c r="B93" i="4" s="1"/>
  <c r="P93" i="4" s="1"/>
  <c r="Z12" i="16"/>
  <c r="B94" i="4" s="1"/>
  <c r="Z13" i="16"/>
  <c r="B95" i="4" s="1"/>
  <c r="H95" i="4" s="1"/>
  <c r="Z14" i="16"/>
  <c r="B96" i="4" s="1"/>
  <c r="A96" i="4" s="1"/>
  <c r="Z15" i="16"/>
  <c r="B97" i="4" s="1"/>
  <c r="D97" i="4" s="1"/>
  <c r="L8" i="15"/>
  <c r="N8" i="15"/>
  <c r="O8" i="15"/>
  <c r="P8" i="15"/>
  <c r="Q8" i="15"/>
  <c r="U8" i="15"/>
  <c r="V8" i="15"/>
  <c r="AG8" i="15"/>
  <c r="L9" i="15"/>
  <c r="N9" i="15"/>
  <c r="O9" i="15"/>
  <c r="P9" i="15"/>
  <c r="Q9" i="15"/>
  <c r="U9" i="15"/>
  <c r="V9" i="15"/>
  <c r="B83" i="4"/>
  <c r="A83" i="4" s="1"/>
  <c r="L10" i="15"/>
  <c r="N10" i="15"/>
  <c r="O10" i="15"/>
  <c r="P10" i="15"/>
  <c r="Q10" i="15"/>
  <c r="U10" i="15"/>
  <c r="V10" i="15"/>
  <c r="L11" i="15"/>
  <c r="N11" i="15"/>
  <c r="O11" i="15"/>
  <c r="P11" i="15"/>
  <c r="Q11" i="15"/>
  <c r="U11" i="15"/>
  <c r="V11" i="15"/>
  <c r="B85" i="4"/>
  <c r="P85" i="4" s="1"/>
  <c r="L12" i="15"/>
  <c r="N12" i="15"/>
  <c r="O12" i="15"/>
  <c r="P12" i="15"/>
  <c r="Q12" i="15"/>
  <c r="U12" i="15"/>
  <c r="V12" i="15"/>
  <c r="B86" i="4"/>
  <c r="L13" i="15"/>
  <c r="N13" i="15"/>
  <c r="O13" i="15"/>
  <c r="P13" i="15"/>
  <c r="Q13" i="15"/>
  <c r="U13" i="15"/>
  <c r="V13" i="15"/>
  <c r="B87" i="4"/>
  <c r="N87" i="4" s="1"/>
  <c r="L14" i="15"/>
  <c r="N14" i="15"/>
  <c r="O14" i="15"/>
  <c r="P14" i="15"/>
  <c r="Q14" i="15"/>
  <c r="U14" i="15"/>
  <c r="V14" i="15"/>
  <c r="L15" i="15"/>
  <c r="N15" i="15"/>
  <c r="O15" i="15"/>
  <c r="P15" i="15"/>
  <c r="Q15" i="15"/>
  <c r="U15" i="15"/>
  <c r="V15" i="15"/>
  <c r="B89" i="4"/>
  <c r="P89" i="4" s="1"/>
  <c r="L8" i="14"/>
  <c r="M8" i="14"/>
  <c r="N8" i="14"/>
  <c r="O8" i="14"/>
  <c r="P8" i="14"/>
  <c r="Q8" i="14"/>
  <c r="X8" i="14"/>
  <c r="B74" i="4" s="1"/>
  <c r="J74" i="4" s="1"/>
  <c r="L9" i="14"/>
  <c r="M9" i="14"/>
  <c r="N9" i="14"/>
  <c r="O9" i="14"/>
  <c r="P9" i="14"/>
  <c r="Q9" i="14"/>
  <c r="X9" i="14"/>
  <c r="B75" i="4" s="1"/>
  <c r="G75" i="4" s="1"/>
  <c r="L10" i="14"/>
  <c r="M10" i="14"/>
  <c r="N10" i="14"/>
  <c r="O10" i="14"/>
  <c r="P10" i="14"/>
  <c r="Q10" i="14"/>
  <c r="X10" i="14"/>
  <c r="B76" i="4" s="1"/>
  <c r="K130" i="3" s="1"/>
  <c r="M130" i="3" s="1"/>
  <c r="L11" i="14"/>
  <c r="M11" i="14"/>
  <c r="N11" i="14"/>
  <c r="O11" i="14"/>
  <c r="P11" i="14"/>
  <c r="Q11" i="14"/>
  <c r="X11" i="14"/>
  <c r="B77" i="4" s="1"/>
  <c r="P77" i="4" s="1"/>
  <c r="L12" i="14"/>
  <c r="M12" i="14"/>
  <c r="N12" i="14"/>
  <c r="O12" i="14"/>
  <c r="P12" i="14"/>
  <c r="Q12" i="14"/>
  <c r="X12" i="14"/>
  <c r="B78" i="4" s="1"/>
  <c r="AE78" i="4" s="1"/>
  <c r="L13" i="14"/>
  <c r="M13" i="14"/>
  <c r="N13" i="14"/>
  <c r="O13" i="14"/>
  <c r="P13" i="14"/>
  <c r="Q13" i="14"/>
  <c r="X13" i="14"/>
  <c r="B79" i="4" s="1"/>
  <c r="N79" i="4" s="1"/>
  <c r="L14" i="14"/>
  <c r="M14" i="14"/>
  <c r="N14" i="14"/>
  <c r="O14" i="14"/>
  <c r="P14" i="14"/>
  <c r="Q14" i="14"/>
  <c r="X14" i="14"/>
  <c r="B80" i="4" s="1"/>
  <c r="G80" i="4" s="1"/>
  <c r="L15" i="14"/>
  <c r="M15" i="14"/>
  <c r="N15" i="14"/>
  <c r="O15" i="14"/>
  <c r="P15" i="14"/>
  <c r="Q15" i="14"/>
  <c r="X15" i="14"/>
  <c r="B81" i="4" s="1"/>
  <c r="Q81" i="4" s="1"/>
  <c r="K8" i="13"/>
  <c r="S8" i="13"/>
  <c r="T8" i="13"/>
  <c r="AF8" i="13"/>
  <c r="B66" i="4" s="1"/>
  <c r="F66" i="4" s="1"/>
  <c r="K9" i="13"/>
  <c r="X9" i="13" s="1"/>
  <c r="S9" i="13"/>
  <c r="T9" i="13"/>
  <c r="AF9" i="13"/>
  <c r="B67" i="4" s="1"/>
  <c r="K10" i="13"/>
  <c r="S10" i="13"/>
  <c r="T10" i="13"/>
  <c r="AF10" i="13"/>
  <c r="B68" i="4" s="1"/>
  <c r="R68" i="4" s="1"/>
  <c r="K11" i="13"/>
  <c r="W11" i="13" s="1"/>
  <c r="S11" i="13"/>
  <c r="T11" i="13"/>
  <c r="AF11" i="13"/>
  <c r="B69" i="4" s="1"/>
  <c r="K12" i="13"/>
  <c r="U12" i="13" s="1"/>
  <c r="S12" i="13"/>
  <c r="T12" i="13"/>
  <c r="AF12" i="13"/>
  <c r="B70" i="4" s="1"/>
  <c r="K13" i="13"/>
  <c r="P13" i="13" s="1"/>
  <c r="S13" i="13"/>
  <c r="T13" i="13"/>
  <c r="AF13" i="13"/>
  <c r="B71" i="4" s="1"/>
  <c r="K14" i="13"/>
  <c r="S14" i="13"/>
  <c r="T14" i="13"/>
  <c r="AF14" i="13"/>
  <c r="B72" i="4" s="1"/>
  <c r="K15" i="13"/>
  <c r="P15" i="13" s="1"/>
  <c r="S15" i="13"/>
  <c r="T15" i="13"/>
  <c r="AF15" i="13"/>
  <c r="B73" i="4" s="1"/>
  <c r="K125" i="3" s="1"/>
  <c r="L125" i="3" s="1"/>
  <c r="K7" i="12"/>
  <c r="M7" i="12" s="1"/>
  <c r="L7" i="12"/>
  <c r="N7" i="12"/>
  <c r="B58" i="4" s="1"/>
  <c r="O58" i="4" s="1"/>
  <c r="M8" i="12"/>
  <c r="K8" i="12"/>
  <c r="L8" i="12"/>
  <c r="N8" i="12"/>
  <c r="B59" i="4" s="1"/>
  <c r="E59" i="4" s="1"/>
  <c r="K9" i="12"/>
  <c r="M9" i="12"/>
  <c r="L9" i="12"/>
  <c r="N9" i="12"/>
  <c r="B60" i="4" s="1"/>
  <c r="P60" i="4" s="1"/>
  <c r="M10" i="12"/>
  <c r="K10" i="12"/>
  <c r="L10" i="12"/>
  <c r="N10" i="12"/>
  <c r="B61" i="4" s="1"/>
  <c r="P61" i="4" s="1"/>
  <c r="M11" i="12"/>
  <c r="K11" i="12"/>
  <c r="L11" i="12"/>
  <c r="N11" i="12"/>
  <c r="B62" i="4" s="1"/>
  <c r="P62" i="4" s="1"/>
  <c r="M12" i="12"/>
  <c r="K12" i="12"/>
  <c r="L12" i="12"/>
  <c r="N12" i="12"/>
  <c r="B63" i="4" s="1"/>
  <c r="E63" i="4" s="1"/>
  <c r="M13" i="12"/>
  <c r="K13" i="12"/>
  <c r="L13" i="12"/>
  <c r="N13" i="12"/>
  <c r="B64" i="4" s="1"/>
  <c r="P64" i="4" s="1"/>
  <c r="M14" i="12"/>
  <c r="K14" i="12"/>
  <c r="L14" i="12"/>
  <c r="N14" i="12"/>
  <c r="B65" i="4" s="1"/>
  <c r="J65" i="4" s="1"/>
  <c r="R65" i="4" s="1"/>
  <c r="L8" i="11"/>
  <c r="B50" i="4"/>
  <c r="K50" i="4" s="1"/>
  <c r="B51" i="4"/>
  <c r="B52" i="4"/>
  <c r="J52" i="4" s="1"/>
  <c r="R52" i="4" s="1"/>
  <c r="B53" i="4"/>
  <c r="K53" i="4" s="1"/>
  <c r="B54" i="4"/>
  <c r="J54" i="4" s="1"/>
  <c r="R54" i="4" s="1"/>
  <c r="B55" i="4"/>
  <c r="I55" i="4" s="1"/>
  <c r="B56" i="4"/>
  <c r="P56" i="4" s="1"/>
  <c r="B57" i="4"/>
  <c r="B42" i="4"/>
  <c r="E42" i="4" s="1"/>
  <c r="B43" i="4"/>
  <c r="B44" i="4"/>
  <c r="B45" i="4"/>
  <c r="B46" i="4"/>
  <c r="E46" i="4" s="1"/>
  <c r="B47" i="4"/>
  <c r="B48" i="4"/>
  <c r="A48" i="4" s="1"/>
  <c r="B49" i="4"/>
  <c r="F49" i="4" s="1"/>
  <c r="M8" i="9"/>
  <c r="B34" i="4" s="1"/>
  <c r="E34" i="4" s="1"/>
  <c r="M9" i="9"/>
  <c r="B35" i="4" s="1"/>
  <c r="E35" i="4" s="1"/>
  <c r="M10" i="9"/>
  <c r="B36" i="4" s="1"/>
  <c r="J36" i="4" s="1"/>
  <c r="R36" i="4" s="1"/>
  <c r="M11" i="9"/>
  <c r="B37" i="4" s="1"/>
  <c r="M37" i="4" s="1"/>
  <c r="M12" i="9"/>
  <c r="B38" i="4" s="1"/>
  <c r="M38" i="4" s="1"/>
  <c r="M13" i="9"/>
  <c r="B39" i="4" s="1"/>
  <c r="M39" i="4" s="1"/>
  <c r="M14" i="9"/>
  <c r="B40" i="4" s="1"/>
  <c r="M40" i="4" s="1"/>
  <c r="M15" i="9"/>
  <c r="B41" i="4" s="1"/>
  <c r="M41" i="4" s="1"/>
  <c r="M8" i="8"/>
  <c r="K9" i="8"/>
  <c r="L9" i="8" s="1"/>
  <c r="K10" i="8"/>
  <c r="L10" i="8" s="1"/>
  <c r="K11" i="8"/>
  <c r="L11" i="8" s="1"/>
  <c r="K12" i="8"/>
  <c r="L12" i="8" s="1"/>
  <c r="K13" i="8"/>
  <c r="L13" i="8" s="1"/>
  <c r="K14" i="8"/>
  <c r="L14" i="8" s="1"/>
  <c r="K15" i="8"/>
  <c r="L15" i="8" s="1"/>
  <c r="O8" i="7"/>
  <c r="N8" i="7" s="1"/>
  <c r="P8" i="7"/>
  <c r="O9" i="7"/>
  <c r="N9" i="7" s="1"/>
  <c r="P9" i="7"/>
  <c r="O10" i="7"/>
  <c r="N10" i="7" s="1"/>
  <c r="P10" i="7"/>
  <c r="O11" i="7"/>
  <c r="N11" i="7" s="1"/>
  <c r="P11" i="7"/>
  <c r="O12" i="7"/>
  <c r="N12" i="7" s="1"/>
  <c r="P12" i="7"/>
  <c r="O13" i="7"/>
  <c r="N13" i="7" s="1"/>
  <c r="P13" i="7"/>
  <c r="O14" i="7"/>
  <c r="N14" i="7" s="1"/>
  <c r="Q14" i="7" s="1" a="1"/>
  <c r="Q14" i="7" s="1"/>
  <c r="AK14" i="7" s="1"/>
  <c r="W24" i="4"/>
  <c r="O15" i="7"/>
  <c r="N15" i="7" s="1"/>
  <c r="P15" i="7"/>
  <c r="M21" i="7"/>
  <c r="N21" i="7"/>
  <c r="O21" i="7"/>
  <c r="P21" i="7"/>
  <c r="Q21" i="7"/>
  <c r="R21" i="7"/>
  <c r="S21" i="7"/>
  <c r="T21" i="7"/>
  <c r="M22" i="7"/>
  <c r="N22" i="7"/>
  <c r="O22" i="7"/>
  <c r="P22" i="7"/>
  <c r="Q22" i="7"/>
  <c r="R22" i="7"/>
  <c r="S22" i="7"/>
  <c r="T22" i="7"/>
  <c r="M23" i="7"/>
  <c r="N23" i="7"/>
  <c r="O23" i="7"/>
  <c r="P23" i="7"/>
  <c r="Q23" i="7"/>
  <c r="R23" i="7"/>
  <c r="S23" i="7"/>
  <c r="T23" i="7"/>
  <c r="M25" i="7"/>
  <c r="N25" i="7"/>
  <c r="O25" i="7"/>
  <c r="P25" i="7"/>
  <c r="Q25" i="7"/>
  <c r="R25" i="7"/>
  <c r="S25" i="7"/>
  <c r="T25" i="7"/>
  <c r="M33" i="7"/>
  <c r="N33" i="7"/>
  <c r="O33" i="7"/>
  <c r="P33" i="7"/>
  <c r="Q33" i="7"/>
  <c r="R33" i="7"/>
  <c r="S33" i="7"/>
  <c r="T33" i="7"/>
  <c r="M34" i="7"/>
  <c r="N34" i="7"/>
  <c r="O34" i="7"/>
  <c r="P34" i="7"/>
  <c r="Q34" i="7"/>
  <c r="R34" i="7"/>
  <c r="S34" i="7"/>
  <c r="T34" i="7"/>
  <c r="M35" i="7"/>
  <c r="N35" i="7"/>
  <c r="O35" i="7"/>
  <c r="P35" i="7"/>
  <c r="Q35" i="7"/>
  <c r="R35" i="7"/>
  <c r="S35" i="7"/>
  <c r="T35" i="7"/>
  <c r="M36" i="7"/>
  <c r="N36" i="7"/>
  <c r="O36" i="7"/>
  <c r="P36" i="7"/>
  <c r="Q36" i="7"/>
  <c r="R36" i="7"/>
  <c r="S36" i="7"/>
  <c r="T36" i="7"/>
  <c r="M37" i="7"/>
  <c r="N37" i="7"/>
  <c r="O37" i="7"/>
  <c r="P37" i="7"/>
  <c r="Q37" i="7"/>
  <c r="R37" i="7"/>
  <c r="S37" i="7"/>
  <c r="T37" i="7"/>
  <c r="M38" i="7"/>
  <c r="N38" i="7"/>
  <c r="O38" i="7"/>
  <c r="P38" i="7"/>
  <c r="Q38" i="7"/>
  <c r="R38" i="7"/>
  <c r="S38" i="7"/>
  <c r="R14" i="7" s="1" a="1"/>
  <c r="R14" i="7" s="1"/>
  <c r="T38" i="7"/>
  <c r="L8" i="6"/>
  <c r="S8" i="6"/>
  <c r="B10" i="4" s="1"/>
  <c r="R10" i="4" s="1"/>
  <c r="L9" i="6"/>
  <c r="S9" i="6"/>
  <c r="B11" i="4" s="1"/>
  <c r="L10" i="6"/>
  <c r="S10" i="6"/>
  <c r="B12" i="4" s="1"/>
  <c r="S12" i="4" s="1"/>
  <c r="L11" i="6"/>
  <c r="S11" i="6"/>
  <c r="B13" i="4" s="1"/>
  <c r="J13" i="4" s="1"/>
  <c r="L12" i="6"/>
  <c r="M12" i="6" s="1" a="1"/>
  <c r="M12" i="6" s="1"/>
  <c r="S12" i="6"/>
  <c r="B14" i="4" s="1"/>
  <c r="N14" i="4" s="1"/>
  <c r="L13" i="6"/>
  <c r="S13" i="6"/>
  <c r="B15" i="4" s="1"/>
  <c r="L14" i="6"/>
  <c r="M14" i="6" s="1" a="1"/>
  <c r="M14" i="6" s="1"/>
  <c r="S14" i="6"/>
  <c r="B16" i="4" s="1"/>
  <c r="L15" i="6"/>
  <c r="S15" i="6"/>
  <c r="B17" i="4" s="1"/>
  <c r="N17" i="4" s="1"/>
  <c r="K21" i="6"/>
  <c r="L21" i="6"/>
  <c r="M21" i="6"/>
  <c r="N21" i="6"/>
  <c r="O21" i="6"/>
  <c r="Q21" i="6"/>
  <c r="R21" i="6"/>
  <c r="V21" i="6"/>
  <c r="W21" i="6"/>
  <c r="X21" i="6"/>
  <c r="Y21" i="6"/>
  <c r="Z21" i="6"/>
  <c r="AA21" i="6"/>
  <c r="AB21" i="6"/>
  <c r="AC21" i="6"/>
  <c r="K22" i="6"/>
  <c r="L22" i="6"/>
  <c r="M22" i="6"/>
  <c r="N22" i="6"/>
  <c r="O22" i="6"/>
  <c r="P22" i="6"/>
  <c r="Q22" i="6"/>
  <c r="R22" i="6"/>
  <c r="K23" i="6"/>
  <c r="L23" i="6"/>
  <c r="M23" i="6"/>
  <c r="N23" i="6"/>
  <c r="O23" i="6"/>
  <c r="P23" i="6"/>
  <c r="Q23" i="6"/>
  <c r="R23" i="6"/>
  <c r="K24" i="6"/>
  <c r="L24" i="6"/>
  <c r="M24" i="6"/>
  <c r="N24" i="6"/>
  <c r="O24" i="6"/>
  <c r="P24" i="6"/>
  <c r="Q24" i="6"/>
  <c r="R24" i="6"/>
  <c r="K25" i="6"/>
  <c r="L25" i="6"/>
  <c r="M25" i="6"/>
  <c r="N25" i="6"/>
  <c r="O25" i="6"/>
  <c r="P25" i="6"/>
  <c r="Q25" i="6"/>
  <c r="R25" i="6"/>
  <c r="K26" i="6"/>
  <c r="L26" i="6"/>
  <c r="M26" i="6"/>
  <c r="N26" i="6"/>
  <c r="O26" i="6"/>
  <c r="P26" i="6"/>
  <c r="Q26" i="6"/>
  <c r="R26" i="6"/>
  <c r="K27" i="6"/>
  <c r="L27" i="6"/>
  <c r="M27" i="6"/>
  <c r="N27" i="6"/>
  <c r="O27" i="6"/>
  <c r="P27" i="6"/>
  <c r="Q27" i="6"/>
  <c r="R27" i="6"/>
  <c r="K28" i="6"/>
  <c r="L28" i="6"/>
  <c r="M28" i="6"/>
  <c r="N28" i="6"/>
  <c r="O28" i="6"/>
  <c r="P28" i="6"/>
  <c r="Q28" i="6"/>
  <c r="R28" i="6"/>
  <c r="B2" i="4"/>
  <c r="D2" i="4" s="1"/>
  <c r="L9" i="5"/>
  <c r="S9" i="5"/>
  <c r="B3" i="4" s="1"/>
  <c r="I3" i="4" s="1"/>
  <c r="L10" i="5"/>
  <c r="S10" i="5"/>
  <c r="B4" i="4" s="1"/>
  <c r="L11" i="5"/>
  <c r="S11" i="5"/>
  <c r="B5" i="4" s="1"/>
  <c r="E5" i="4" s="1"/>
  <c r="L12" i="5"/>
  <c r="S12" i="5"/>
  <c r="B6" i="4" s="1"/>
  <c r="K6" i="4" s="1"/>
  <c r="L13" i="5"/>
  <c r="S13" i="5"/>
  <c r="B7" i="4" s="1"/>
  <c r="K7" i="4" s="1"/>
  <c r="L14" i="5"/>
  <c r="M14" i="5" s="1" a="1"/>
  <c r="M14" i="5" s="1"/>
  <c r="S14" i="5"/>
  <c r="B8" i="4" s="1"/>
  <c r="I8" i="4" s="1"/>
  <c r="L15" i="5"/>
  <c r="M15" i="5" s="1" a="1"/>
  <c r="M15" i="5" s="1"/>
  <c r="S15" i="5"/>
  <c r="B9" i="4" s="1"/>
  <c r="G9" i="4" s="1"/>
  <c r="K21" i="5"/>
  <c r="L21" i="5"/>
  <c r="M21" i="5"/>
  <c r="N21" i="5"/>
  <c r="O21" i="5"/>
  <c r="P21" i="5"/>
  <c r="Q21" i="5"/>
  <c r="R21" i="5"/>
  <c r="W21" i="5"/>
  <c r="X21" i="5"/>
  <c r="Y21" i="5"/>
  <c r="Z21" i="5"/>
  <c r="AA21" i="5"/>
  <c r="AB21" i="5"/>
  <c r="AC21" i="5"/>
  <c r="K22" i="5"/>
  <c r="L22" i="5"/>
  <c r="M22" i="5"/>
  <c r="N22" i="5"/>
  <c r="O22" i="5"/>
  <c r="P22" i="5"/>
  <c r="Q22" i="5"/>
  <c r="R22" i="5"/>
  <c r="W22" i="5"/>
  <c r="X22" i="5"/>
  <c r="Y22" i="5"/>
  <c r="Z22" i="5"/>
  <c r="AA22" i="5"/>
  <c r="AB22" i="5"/>
  <c r="AC22" i="5"/>
  <c r="K23" i="5"/>
  <c r="L23" i="5"/>
  <c r="M23" i="5"/>
  <c r="N23" i="5"/>
  <c r="O23" i="5"/>
  <c r="P23" i="5"/>
  <c r="Q23" i="5"/>
  <c r="R23" i="5"/>
  <c r="W23" i="5"/>
  <c r="X23" i="5"/>
  <c r="Y23" i="5"/>
  <c r="Z23" i="5"/>
  <c r="AA23" i="5"/>
  <c r="AB23" i="5"/>
  <c r="AC23" i="5"/>
  <c r="K24" i="5"/>
  <c r="L24" i="5"/>
  <c r="M24" i="5"/>
  <c r="N24" i="5"/>
  <c r="O24" i="5"/>
  <c r="P24" i="5"/>
  <c r="Q24" i="5"/>
  <c r="R24" i="5"/>
  <c r="W24" i="5"/>
  <c r="X24" i="5"/>
  <c r="Y24" i="5"/>
  <c r="Z24" i="5"/>
  <c r="AA24" i="5"/>
  <c r="AB24" i="5"/>
  <c r="AC24" i="5"/>
  <c r="K25" i="5"/>
  <c r="L25" i="5"/>
  <c r="M25" i="5"/>
  <c r="N25" i="5"/>
  <c r="O25" i="5"/>
  <c r="P25" i="5"/>
  <c r="Q25" i="5"/>
  <c r="R25" i="5"/>
  <c r="W25" i="5"/>
  <c r="X25" i="5"/>
  <c r="Y25" i="5"/>
  <c r="Z25" i="5"/>
  <c r="AA25" i="5"/>
  <c r="AB25" i="5"/>
  <c r="AC25" i="5"/>
  <c r="K26" i="5"/>
  <c r="L26" i="5"/>
  <c r="M26" i="5"/>
  <c r="N26" i="5"/>
  <c r="O26" i="5"/>
  <c r="P26" i="5"/>
  <c r="Q26" i="5"/>
  <c r="R26" i="5"/>
  <c r="W26" i="5"/>
  <c r="X26" i="5"/>
  <c r="Y26" i="5"/>
  <c r="Z26" i="5"/>
  <c r="AA26" i="5"/>
  <c r="AB26" i="5"/>
  <c r="AC26" i="5"/>
  <c r="K27" i="5"/>
  <c r="L27" i="5"/>
  <c r="M27" i="5"/>
  <c r="N27" i="5"/>
  <c r="O27" i="5"/>
  <c r="P27" i="5"/>
  <c r="Q27" i="5"/>
  <c r="R27" i="5"/>
  <c r="W27" i="5"/>
  <c r="X27" i="5"/>
  <c r="Y27" i="5"/>
  <c r="Z27" i="5"/>
  <c r="AA27" i="5"/>
  <c r="AB27" i="5"/>
  <c r="AC27" i="5"/>
  <c r="K28" i="5"/>
  <c r="L28" i="5"/>
  <c r="M28" i="5"/>
  <c r="N28" i="5"/>
  <c r="O28" i="5"/>
  <c r="P28" i="5"/>
  <c r="Q28" i="5"/>
  <c r="R28" i="5"/>
  <c r="V28" i="5"/>
  <c r="W28" i="5"/>
  <c r="X28" i="5"/>
  <c r="Y28" i="5"/>
  <c r="Z28" i="5"/>
  <c r="AA28" i="5"/>
  <c r="AB28" i="5"/>
  <c r="AC28" i="5"/>
  <c r="Q10" i="18"/>
  <c r="U10" i="18"/>
  <c r="B108" i="4" s="1"/>
  <c r="J108" i="4" s="1"/>
  <c r="Q14" i="18"/>
  <c r="Q11" i="18"/>
  <c r="M11" i="18"/>
  <c r="V11" i="17"/>
  <c r="AB14" i="16"/>
  <c r="AB15" i="16"/>
  <c r="AB11" i="16"/>
  <c r="AB13" i="16"/>
  <c r="B88" i="4"/>
  <c r="P88" i="4" s="1"/>
  <c r="B84" i="4"/>
  <c r="P84" i="4" s="1"/>
  <c r="AB12" i="16"/>
  <c r="L110" i="4"/>
  <c r="K172" i="3"/>
  <c r="N172" i="3" s="1"/>
  <c r="O110" i="4"/>
  <c r="Q110" i="4"/>
  <c r="C110" i="4"/>
  <c r="T110" i="4"/>
  <c r="D110" i="4"/>
  <c r="U13" i="18"/>
  <c r="B111" i="4" s="1"/>
  <c r="K111" i="4" s="1"/>
  <c r="U15" i="18"/>
  <c r="B113" i="4" s="1"/>
  <c r="E113" i="4" s="1"/>
  <c r="U14" i="18"/>
  <c r="B112" i="4" s="1"/>
  <c r="K174" i="3" s="1"/>
  <c r="U8" i="18"/>
  <c r="B106" i="4" s="1"/>
  <c r="E106" i="4" s="1"/>
  <c r="K161" i="3"/>
  <c r="N161" i="3" s="1"/>
  <c r="G101" i="4"/>
  <c r="H101" i="4"/>
  <c r="O101" i="4"/>
  <c r="K101" i="4"/>
  <c r="D85" i="4"/>
  <c r="D59" i="4"/>
  <c r="I54" i="4"/>
  <c r="N54" i="4"/>
  <c r="R101" i="4"/>
  <c r="R110" i="4"/>
  <c r="K110" i="4" l="1"/>
  <c r="D102" i="4"/>
  <c r="I102" i="4"/>
  <c r="C102" i="4"/>
  <c r="W11" i="17"/>
  <c r="X11" i="17"/>
  <c r="H103" i="4"/>
  <c r="S101" i="4"/>
  <c r="J101" i="4"/>
  <c r="N103" i="4"/>
  <c r="Q101" i="4"/>
  <c r="N101" i="4"/>
  <c r="D101" i="4"/>
  <c r="K103" i="4"/>
  <c r="A101" i="4"/>
  <c r="G77" i="4"/>
  <c r="R76" i="4"/>
  <c r="J77" i="4"/>
  <c r="D42" i="4"/>
  <c r="V35" i="4"/>
  <c r="N40" i="4"/>
  <c r="S103" i="4"/>
  <c r="E103" i="4"/>
  <c r="L102" i="4"/>
  <c r="R103" i="4"/>
  <c r="G103" i="4"/>
  <c r="J103" i="4"/>
  <c r="F102" i="4"/>
  <c r="J102" i="4"/>
  <c r="M103" i="4"/>
  <c r="A102" i="4"/>
  <c r="Q103" i="4"/>
  <c r="R102" i="4"/>
  <c r="O102" i="4"/>
  <c r="R93" i="4"/>
  <c r="R95" i="4"/>
  <c r="G93" i="4"/>
  <c r="K95" i="4"/>
  <c r="M95" i="4"/>
  <c r="E95" i="4"/>
  <c r="K151" i="3"/>
  <c r="M151" i="3" s="1"/>
  <c r="W15" i="13"/>
  <c r="O15" i="13"/>
  <c r="O56" i="4"/>
  <c r="N13" i="5" a="1"/>
  <c r="N13" i="5" s="1"/>
  <c r="M13" i="5" a="1"/>
  <c r="M13" i="5" s="1"/>
  <c r="N11" i="5" a="1"/>
  <c r="N11" i="5" s="1"/>
  <c r="M11" i="5" a="1"/>
  <c r="M11" i="5" s="1"/>
  <c r="N8" i="13"/>
  <c r="L8" i="13"/>
  <c r="N10" i="5" a="1"/>
  <c r="N10" i="5" s="1"/>
  <c r="M10" i="5" a="1"/>
  <c r="M10" i="5" s="1"/>
  <c r="M11" i="6" a="1"/>
  <c r="M11" i="6" s="1"/>
  <c r="N11" i="6" a="1"/>
  <c r="N11" i="6" s="1"/>
  <c r="O13" i="13"/>
  <c r="L13" i="13"/>
  <c r="N12" i="5" a="1"/>
  <c r="N12" i="5" s="1"/>
  <c r="M12" i="5" a="1"/>
  <c r="M12" i="5" s="1"/>
  <c r="O11" i="13"/>
  <c r="L11" i="13"/>
  <c r="N11" i="13"/>
  <c r="V11" i="13"/>
  <c r="N9" i="5" a="1"/>
  <c r="N9" i="5" s="1"/>
  <c r="M9" i="5" a="1"/>
  <c r="M9" i="5" s="1"/>
  <c r="M10" i="6" a="1"/>
  <c r="M10" i="6" s="1"/>
  <c r="N10" i="6" a="1"/>
  <c r="N10" i="6" s="1"/>
  <c r="N14" i="13"/>
  <c r="L14" i="13"/>
  <c r="M13" i="6" a="1"/>
  <c r="M13" i="6" s="1"/>
  <c r="N13" i="6" a="1"/>
  <c r="N13" i="6" s="1"/>
  <c r="M15" i="6" a="1"/>
  <c r="M15" i="6" s="1"/>
  <c r="N15" i="6" a="1"/>
  <c r="N15" i="6" s="1"/>
  <c r="M9" i="6" a="1"/>
  <c r="M9" i="6" s="1"/>
  <c r="N9" i="6" a="1"/>
  <c r="N9" i="6" s="1"/>
  <c r="M15" i="13"/>
  <c r="L15" i="13"/>
  <c r="Q12" i="13"/>
  <c r="L12" i="13"/>
  <c r="L161" i="3"/>
  <c r="P161" i="3"/>
  <c r="M161" i="3"/>
  <c r="O161" i="3"/>
  <c r="E93" i="4"/>
  <c r="K93" i="4"/>
  <c r="R92" i="4"/>
  <c r="F93" i="4"/>
  <c r="N93" i="4"/>
  <c r="O93" i="4"/>
  <c r="S93" i="4"/>
  <c r="C93" i="4"/>
  <c r="D93" i="4"/>
  <c r="Q93" i="4"/>
  <c r="L93" i="4"/>
  <c r="A93" i="4"/>
  <c r="I93" i="4"/>
  <c r="R74" i="4"/>
  <c r="H77" i="4"/>
  <c r="N74" i="4"/>
  <c r="F74" i="4"/>
  <c r="K131" i="3"/>
  <c r="P131" i="3" s="1"/>
  <c r="M10" i="13"/>
  <c r="L10" i="13"/>
  <c r="W9" i="13"/>
  <c r="L9" i="13"/>
  <c r="M8" i="13"/>
  <c r="Q10" i="13"/>
  <c r="M12" i="13"/>
  <c r="R66" i="4"/>
  <c r="C63" i="4"/>
  <c r="K113" i="3"/>
  <c r="M113" i="3" s="1"/>
  <c r="M63" i="4"/>
  <c r="C62" i="4"/>
  <c r="K63" i="4"/>
  <c r="S60" i="4"/>
  <c r="G59" i="4"/>
  <c r="O62" i="4"/>
  <c r="H62" i="4"/>
  <c r="J59" i="4"/>
  <c r="R59" i="4" s="1"/>
  <c r="N56" i="4"/>
  <c r="F56" i="4"/>
  <c r="E56" i="4"/>
  <c r="F62" i="4"/>
  <c r="N63" i="4"/>
  <c r="G60" i="4"/>
  <c r="S63" i="4"/>
  <c r="I60" i="4"/>
  <c r="H63" i="4"/>
  <c r="S62" i="4"/>
  <c r="T59" i="4"/>
  <c r="T62" i="4"/>
  <c r="AC62" i="4"/>
  <c r="AB54" i="4"/>
  <c r="AB51" i="4"/>
  <c r="M64" i="4"/>
  <c r="O63" i="4"/>
  <c r="K59" i="4"/>
  <c r="L63" i="4"/>
  <c r="AB53" i="4"/>
  <c r="Q62" i="4"/>
  <c r="C59" i="4"/>
  <c r="J63" i="4"/>
  <c r="R63" i="4" s="1"/>
  <c r="AC63" i="4"/>
  <c r="K60" i="4"/>
  <c r="M62" i="4"/>
  <c r="F59" i="4"/>
  <c r="T63" i="4"/>
  <c r="G63" i="4"/>
  <c r="K62" i="4"/>
  <c r="H59" i="4"/>
  <c r="A62" i="4"/>
  <c r="AC59" i="4"/>
  <c r="A63" i="4"/>
  <c r="F63" i="4"/>
  <c r="K101" i="3"/>
  <c r="O101" i="3" s="1"/>
  <c r="A53" i="4"/>
  <c r="V56" i="4"/>
  <c r="C56" i="4"/>
  <c r="Q52" i="4"/>
  <c r="A56" i="4"/>
  <c r="S56" i="4"/>
  <c r="K99" i="3"/>
  <c r="O99" i="3" s="1"/>
  <c r="L51" i="4"/>
  <c r="J51" i="4"/>
  <c r="R51" i="4" s="1"/>
  <c r="G52" i="4"/>
  <c r="M51" i="4"/>
  <c r="F52" i="4"/>
  <c r="G51" i="4"/>
  <c r="I52" i="4"/>
  <c r="D51" i="4"/>
  <c r="O54" i="4"/>
  <c r="H64" i="4"/>
  <c r="G61" i="4"/>
  <c r="D54" i="4"/>
  <c r="AB56" i="4"/>
  <c r="Q9" i="18"/>
  <c r="J61" i="4"/>
  <c r="R61" i="4" s="1"/>
  <c r="T64" i="4"/>
  <c r="Q8" i="18"/>
  <c r="O106" i="4" s="1"/>
  <c r="P106" i="4" s="1"/>
  <c r="E64" i="4"/>
  <c r="Q61" i="4"/>
  <c r="Q54" i="4"/>
  <c r="D64" i="4"/>
  <c r="N97" i="4"/>
  <c r="R97" i="4"/>
  <c r="M61" i="4"/>
  <c r="A76" i="4"/>
  <c r="AC64" i="4"/>
  <c r="G54" i="4"/>
  <c r="K102" i="3"/>
  <c r="O102" i="3" s="1"/>
  <c r="S61" i="4"/>
  <c r="A54" i="4"/>
  <c r="M54" i="4"/>
  <c r="F54" i="4"/>
  <c r="S64" i="4"/>
  <c r="E61" i="4"/>
  <c r="H54" i="4"/>
  <c r="S54" i="4"/>
  <c r="O64" i="4"/>
  <c r="K54" i="4"/>
  <c r="I61" i="4"/>
  <c r="L54" i="4"/>
  <c r="L97" i="4"/>
  <c r="N64" i="4"/>
  <c r="D61" i="4"/>
  <c r="C54" i="4"/>
  <c r="K97" i="4"/>
  <c r="H61" i="4"/>
  <c r="G64" i="4"/>
  <c r="T61" i="4"/>
  <c r="V54" i="4"/>
  <c r="Q64" i="4"/>
  <c r="U9" i="18"/>
  <c r="B107" i="4" s="1"/>
  <c r="G107" i="4" s="1"/>
  <c r="R112" i="4"/>
  <c r="G110" i="4"/>
  <c r="E112" i="4"/>
  <c r="I112" i="4"/>
  <c r="S110" i="4"/>
  <c r="I110" i="4"/>
  <c r="G66" i="4"/>
  <c r="A61" i="4"/>
  <c r="V40" i="4"/>
  <c r="V51" i="4"/>
  <c r="J56" i="4"/>
  <c r="R56" i="4" s="1"/>
  <c r="Q53" i="4"/>
  <c r="N59" i="4"/>
  <c r="I63" i="4"/>
  <c r="K56" i="4"/>
  <c r="G112" i="4"/>
  <c r="S66" i="4"/>
  <c r="U101" i="4"/>
  <c r="H102" i="4"/>
  <c r="J112" i="4"/>
  <c r="F112" i="4"/>
  <c r="R81" i="4"/>
  <c r="AC61" i="4"/>
  <c r="C52" i="4"/>
  <c r="I56" i="4"/>
  <c r="AB50" i="4"/>
  <c r="M59" i="4"/>
  <c r="D63" i="4"/>
  <c r="Q112" i="4"/>
  <c r="F101" i="4"/>
  <c r="Q63" i="4"/>
  <c r="K112" i="4"/>
  <c r="AC58" i="4"/>
  <c r="L58" i="4"/>
  <c r="F61" i="4"/>
  <c r="C51" i="4"/>
  <c r="D52" i="4"/>
  <c r="K108" i="3"/>
  <c r="P108" i="3" s="1"/>
  <c r="H58" i="4" s="1"/>
  <c r="K109" i="3"/>
  <c r="N109" i="3" s="1"/>
  <c r="G58" i="4"/>
  <c r="AB55" i="4"/>
  <c r="S112" i="4"/>
  <c r="M101" i="4"/>
  <c r="L101" i="4"/>
  <c r="E58" i="4"/>
  <c r="D58" i="4"/>
  <c r="M58" i="4"/>
  <c r="Q58" i="4"/>
  <c r="M8" i="6" a="1"/>
  <c r="M8" i="6" s="1"/>
  <c r="N8" i="6" a="1"/>
  <c r="N8" i="6" s="1"/>
  <c r="M42" i="4"/>
  <c r="I42" i="4"/>
  <c r="C42" i="4"/>
  <c r="F42" i="4"/>
  <c r="N42" i="4"/>
  <c r="O42" i="4"/>
  <c r="P42" i="4" s="1"/>
  <c r="V42" i="4"/>
  <c r="S42" i="4"/>
  <c r="K88" i="3"/>
  <c r="A42" i="4"/>
  <c r="G42" i="4"/>
  <c r="J42" i="4"/>
  <c r="R42" i="4" s="1"/>
  <c r="V48" i="4"/>
  <c r="K42" i="4"/>
  <c r="M48" i="4"/>
  <c r="L48" i="4"/>
  <c r="K48" i="4"/>
  <c r="K95" i="3"/>
  <c r="L95" i="3" s="1"/>
  <c r="A49" i="4"/>
  <c r="K49" i="4"/>
  <c r="D49" i="4"/>
  <c r="G49" i="4"/>
  <c r="J46" i="4"/>
  <c r="R46" i="4" s="1"/>
  <c r="F46" i="4"/>
  <c r="H110" i="4"/>
  <c r="A110" i="4"/>
  <c r="L172" i="3"/>
  <c r="F110" i="4"/>
  <c r="J110" i="4"/>
  <c r="N110" i="4"/>
  <c r="M110" i="4"/>
  <c r="O108" i="4"/>
  <c r="P108" i="4" s="1"/>
  <c r="R106" i="4"/>
  <c r="D106" i="4"/>
  <c r="O113" i="4"/>
  <c r="I113" i="4"/>
  <c r="K175" i="3"/>
  <c r="P175" i="3" s="1"/>
  <c r="S113" i="4"/>
  <c r="C113" i="4"/>
  <c r="K104" i="4"/>
  <c r="G104" i="4"/>
  <c r="A104" i="4"/>
  <c r="C104" i="4"/>
  <c r="N104" i="4"/>
  <c r="R99" i="4"/>
  <c r="M163" i="3"/>
  <c r="H104" i="4"/>
  <c r="J104" i="4"/>
  <c r="R104" i="4"/>
  <c r="S104" i="4"/>
  <c r="M98" i="4"/>
  <c r="F104" i="4"/>
  <c r="A98" i="4"/>
  <c r="V9" i="17"/>
  <c r="X9" i="17" s="1"/>
  <c r="I99" i="4"/>
  <c r="D104" i="4"/>
  <c r="K164" i="3"/>
  <c r="M164" i="3" s="1"/>
  <c r="U104" i="4"/>
  <c r="L99" i="4"/>
  <c r="F98" i="4"/>
  <c r="K158" i="3"/>
  <c r="N158" i="3" s="1"/>
  <c r="N163" i="3"/>
  <c r="L104" i="4"/>
  <c r="I104" i="4"/>
  <c r="S98" i="4"/>
  <c r="M104" i="4"/>
  <c r="J98" i="4"/>
  <c r="L163" i="3"/>
  <c r="O104" i="4"/>
  <c r="H93" i="4"/>
  <c r="J93" i="4"/>
  <c r="S97" i="4"/>
  <c r="M93" i="4"/>
  <c r="U14" i="16"/>
  <c r="U12" i="16"/>
  <c r="I92" i="4"/>
  <c r="O92" i="4"/>
  <c r="C97" i="4"/>
  <c r="Q97" i="4"/>
  <c r="L95" i="4"/>
  <c r="F95" i="4"/>
  <c r="L91" i="4"/>
  <c r="I84" i="4"/>
  <c r="C84" i="4"/>
  <c r="G84" i="4"/>
  <c r="N84" i="4"/>
  <c r="AD84" i="4"/>
  <c r="J84" i="4"/>
  <c r="F84" i="4"/>
  <c r="J85" i="4"/>
  <c r="K85" i="4"/>
  <c r="G85" i="4"/>
  <c r="AD85" i="4"/>
  <c r="N85" i="4"/>
  <c r="F85" i="4"/>
  <c r="C85" i="4"/>
  <c r="C87" i="4"/>
  <c r="Q85" i="4"/>
  <c r="A85" i="4"/>
  <c r="K141" i="3"/>
  <c r="O141" i="3" s="1"/>
  <c r="S85" i="4"/>
  <c r="H85" i="4"/>
  <c r="O85" i="4"/>
  <c r="R85" i="4"/>
  <c r="L85" i="4"/>
  <c r="M85" i="4"/>
  <c r="I85" i="4"/>
  <c r="C89" i="4"/>
  <c r="R84" i="4"/>
  <c r="Q83" i="4"/>
  <c r="K83" i="4"/>
  <c r="S83" i="4"/>
  <c r="M83" i="4"/>
  <c r="R83" i="4"/>
  <c r="L83" i="4"/>
  <c r="G83" i="4"/>
  <c r="N88" i="4"/>
  <c r="D83" i="4"/>
  <c r="F77" i="4"/>
  <c r="S77" i="4"/>
  <c r="F81" i="4"/>
  <c r="K128" i="3"/>
  <c r="P128" i="3" s="1"/>
  <c r="H74" i="4" s="1"/>
  <c r="G74" i="4"/>
  <c r="M74" i="4"/>
  <c r="M78" i="4"/>
  <c r="A79" i="4"/>
  <c r="F79" i="4"/>
  <c r="K129" i="3"/>
  <c r="J78" i="4"/>
  <c r="R75" i="4"/>
  <c r="L81" i="4"/>
  <c r="L74" i="4"/>
  <c r="A81" i="4"/>
  <c r="O77" i="4"/>
  <c r="AE77" i="4"/>
  <c r="F76" i="4"/>
  <c r="H78" i="4"/>
  <c r="C75" i="4"/>
  <c r="S78" i="4"/>
  <c r="R79" i="4"/>
  <c r="K74" i="4"/>
  <c r="S74" i="4"/>
  <c r="K77" i="4"/>
  <c r="Q77" i="4"/>
  <c r="S76" i="4"/>
  <c r="F78" i="4"/>
  <c r="I74" i="4"/>
  <c r="I79" i="4"/>
  <c r="N77" i="4"/>
  <c r="D77" i="4"/>
  <c r="J76" i="4"/>
  <c r="R78" i="4"/>
  <c r="R77" i="4"/>
  <c r="C77" i="4"/>
  <c r="I77" i="4"/>
  <c r="M77" i="4"/>
  <c r="L76" i="4"/>
  <c r="K78" i="4"/>
  <c r="J79" i="4"/>
  <c r="C79" i="4"/>
  <c r="A77" i="4"/>
  <c r="L77" i="4"/>
  <c r="J80" i="4"/>
  <c r="K133" i="3"/>
  <c r="L133" i="3" s="1"/>
  <c r="K132" i="3"/>
  <c r="O132" i="3" s="1"/>
  <c r="S14" i="14"/>
  <c r="O79" i="4"/>
  <c r="I80" i="4"/>
  <c r="O78" i="4"/>
  <c r="L78" i="4"/>
  <c r="E79" i="4"/>
  <c r="C80" i="4"/>
  <c r="M68" i="4"/>
  <c r="M14" i="13"/>
  <c r="V12" i="13"/>
  <c r="D66" i="4"/>
  <c r="K92" i="3"/>
  <c r="G92" i="4"/>
  <c r="J92" i="4"/>
  <c r="K58" i="4"/>
  <c r="C61" i="4"/>
  <c r="K61" i="4"/>
  <c r="H60" i="4"/>
  <c r="J62" i="4"/>
  <c r="R62" i="4" s="1"/>
  <c r="G62" i="4"/>
  <c r="A59" i="4"/>
  <c r="J64" i="4"/>
  <c r="R64" i="4" s="1"/>
  <c r="I64" i="4"/>
  <c r="L60" i="4"/>
  <c r="O61" i="4"/>
  <c r="L61" i="4"/>
  <c r="I62" i="4"/>
  <c r="D62" i="4"/>
  <c r="I59" i="4"/>
  <c r="A64" i="4"/>
  <c r="E62" i="4"/>
  <c r="N61" i="4"/>
  <c r="N58" i="4"/>
  <c r="N62" i="4"/>
  <c r="S59" i="4"/>
  <c r="O59" i="4"/>
  <c r="K114" i="3"/>
  <c r="L62" i="4"/>
  <c r="L64" i="4"/>
  <c r="K111" i="3"/>
  <c r="M111" i="3" s="1"/>
  <c r="F58" i="4"/>
  <c r="K112" i="3"/>
  <c r="L112" i="3" s="1"/>
  <c r="Q59" i="4"/>
  <c r="C64" i="4"/>
  <c r="F64" i="4"/>
  <c r="AC60" i="4"/>
  <c r="K64" i="4"/>
  <c r="N53" i="4"/>
  <c r="Q51" i="4"/>
  <c r="Q56" i="4"/>
  <c r="L53" i="4"/>
  <c r="I51" i="4"/>
  <c r="F51" i="4"/>
  <c r="K104" i="3"/>
  <c r="N104" i="3" s="1"/>
  <c r="N51" i="4"/>
  <c r="K51" i="4"/>
  <c r="M56" i="4"/>
  <c r="O51" i="4"/>
  <c r="P51" i="4" s="1"/>
  <c r="L56" i="4"/>
  <c r="D56" i="4"/>
  <c r="A51" i="4"/>
  <c r="H56" i="4"/>
  <c r="D53" i="4"/>
  <c r="G56" i="4"/>
  <c r="S51" i="4"/>
  <c r="O109" i="3"/>
  <c r="M109" i="3"/>
  <c r="L109" i="3"/>
  <c r="L130" i="3"/>
  <c r="P130" i="3"/>
  <c r="P151" i="3"/>
  <c r="O151" i="3"/>
  <c r="S58" i="4"/>
  <c r="J58" i="4"/>
  <c r="R58" i="4" s="1"/>
  <c r="T58" i="4"/>
  <c r="I58" i="4"/>
  <c r="C58" i="4"/>
  <c r="A58" i="4"/>
  <c r="P58" i="4"/>
  <c r="M57" i="4"/>
  <c r="S57" i="4"/>
  <c r="O57" i="4"/>
  <c r="E57" i="4"/>
  <c r="A57" i="4"/>
  <c r="D57" i="4"/>
  <c r="I57" i="4"/>
  <c r="C57" i="4"/>
  <c r="N57" i="4"/>
  <c r="G57" i="4"/>
  <c r="K105" i="3"/>
  <c r="O105" i="3" s="1"/>
  <c r="Q57" i="4"/>
  <c r="K57" i="4"/>
  <c r="J57" i="4"/>
  <c r="R57" i="4" s="1"/>
  <c r="F57" i="4"/>
  <c r="V57" i="4"/>
  <c r="L50" i="4"/>
  <c r="K98" i="3"/>
  <c r="O98" i="3" s="1"/>
  <c r="O50" i="4"/>
  <c r="P50" i="4" s="1"/>
  <c r="U15" i="16"/>
  <c r="R96" i="4"/>
  <c r="J71" i="4"/>
  <c r="C71" i="4"/>
  <c r="R71" i="4"/>
  <c r="K71" i="4"/>
  <c r="S71" i="4"/>
  <c r="I71" i="4"/>
  <c r="G71" i="4"/>
  <c r="N71" i="4"/>
  <c r="L71" i="4"/>
  <c r="D71" i="4"/>
  <c r="K123" i="3"/>
  <c r="L123" i="3" s="1"/>
  <c r="M71" i="4"/>
  <c r="A71" i="4"/>
  <c r="A94" i="4"/>
  <c r="J94" i="4"/>
  <c r="H94" i="4"/>
  <c r="F94" i="4"/>
  <c r="M94" i="4"/>
  <c r="R94" i="4"/>
  <c r="N94" i="4"/>
  <c r="O94" i="4"/>
  <c r="K152" i="3"/>
  <c r="P152" i="3" s="1"/>
  <c r="S90" i="4"/>
  <c r="F90" i="4"/>
  <c r="J90" i="4"/>
  <c r="I90" i="4"/>
  <c r="R90" i="4"/>
  <c r="E90" i="4"/>
  <c r="L90" i="4"/>
  <c r="A90" i="4"/>
  <c r="G90" i="4"/>
  <c r="C90" i="4"/>
  <c r="D90" i="4"/>
  <c r="M90" i="4"/>
  <c r="K90" i="4"/>
  <c r="N90" i="4"/>
  <c r="K148" i="3"/>
  <c r="P148" i="3" s="1"/>
  <c r="H90" i="4" s="1"/>
  <c r="F100" i="4"/>
  <c r="S100" i="4"/>
  <c r="K160" i="3"/>
  <c r="P160" i="3" s="1"/>
  <c r="N100" i="4"/>
  <c r="G100" i="4"/>
  <c r="D100" i="4"/>
  <c r="U100" i="4"/>
  <c r="J100" i="4"/>
  <c r="R100" i="4"/>
  <c r="H100" i="4"/>
  <c r="M172" i="3"/>
  <c r="M53" i="4"/>
  <c r="J60" i="4"/>
  <c r="R60" i="4" s="1"/>
  <c r="M60" i="4"/>
  <c r="K110" i="3"/>
  <c r="L110" i="3" s="1"/>
  <c r="T60" i="4"/>
  <c r="O53" i="4"/>
  <c r="O172" i="3"/>
  <c r="X13" i="13"/>
  <c r="O9" i="13"/>
  <c r="Q80" i="4"/>
  <c r="K134" i="3"/>
  <c r="L134" i="3" s="1"/>
  <c r="D92" i="4"/>
  <c r="Q92" i="4"/>
  <c r="F92" i="4"/>
  <c r="L92" i="4"/>
  <c r="G95" i="4"/>
  <c r="K153" i="3"/>
  <c r="P153" i="3" s="1"/>
  <c r="Q95" i="4"/>
  <c r="D95" i="4"/>
  <c r="O12" i="13"/>
  <c r="W8" i="13"/>
  <c r="V9" i="13"/>
  <c r="U10" i="13"/>
  <c r="R12" i="13"/>
  <c r="O89" i="4"/>
  <c r="F96" i="4"/>
  <c r="Q13" i="13"/>
  <c r="S15" i="14"/>
  <c r="AD10" i="15"/>
  <c r="AB10" i="15"/>
  <c r="AD9" i="15"/>
  <c r="AB9" i="15"/>
  <c r="V14" i="17"/>
  <c r="U8" i="16"/>
  <c r="P95" i="4"/>
  <c r="I48" i="4"/>
  <c r="R80" i="4"/>
  <c r="P172" i="3"/>
  <c r="C39" i="4"/>
  <c r="F48" i="4"/>
  <c r="I53" i="4"/>
  <c r="S53" i="4"/>
  <c r="C53" i="4"/>
  <c r="C60" i="4"/>
  <c r="N60" i="4"/>
  <c r="AB52" i="4"/>
  <c r="O60" i="4"/>
  <c r="K65" i="4"/>
  <c r="S106" i="4"/>
  <c r="V13" i="13"/>
  <c r="Q9" i="13"/>
  <c r="W13" i="13"/>
  <c r="R9" i="13"/>
  <c r="S80" i="4"/>
  <c r="AE80" i="4"/>
  <c r="C92" i="4"/>
  <c r="K92" i="4"/>
  <c r="K150" i="3"/>
  <c r="L150" i="3" s="1"/>
  <c r="N92" i="4"/>
  <c r="I95" i="4"/>
  <c r="C95" i="4"/>
  <c r="O95" i="4"/>
  <c r="A95" i="4"/>
  <c r="Q71" i="4"/>
  <c r="P12" i="13"/>
  <c r="O8" i="13"/>
  <c r="P8" i="13"/>
  <c r="X12" i="13"/>
  <c r="U13" i="13"/>
  <c r="G89" i="4"/>
  <c r="S11" i="14"/>
  <c r="S10" i="14"/>
  <c r="U9" i="16"/>
  <c r="P63" i="4"/>
  <c r="N39" i="4"/>
  <c r="N48" i="4"/>
  <c r="J53" i="4"/>
  <c r="R53" i="4" s="1"/>
  <c r="E48" i="4"/>
  <c r="H53" i="4"/>
  <c r="D48" i="4"/>
  <c r="F53" i="4"/>
  <c r="G53" i="4"/>
  <c r="V53" i="4"/>
  <c r="Q60" i="4"/>
  <c r="F60" i="4"/>
  <c r="D60" i="4"/>
  <c r="A60" i="4"/>
  <c r="C106" i="4"/>
  <c r="M13" i="13"/>
  <c r="N13" i="13"/>
  <c r="N9" i="13"/>
  <c r="P9" i="13"/>
  <c r="M9" i="13"/>
  <c r="K80" i="4"/>
  <c r="H92" i="4"/>
  <c r="S92" i="4"/>
  <c r="A92" i="4"/>
  <c r="M92" i="4"/>
  <c r="S95" i="4"/>
  <c r="N95" i="4"/>
  <c r="J95" i="4"/>
  <c r="W12" i="13"/>
  <c r="X8" i="13"/>
  <c r="U9" i="13"/>
  <c r="N12" i="13"/>
  <c r="R13" i="13"/>
  <c r="D89" i="4"/>
  <c r="O10" i="13"/>
  <c r="E60" i="4"/>
  <c r="U10" i="16"/>
  <c r="K9" i="4"/>
  <c r="Q17" i="4"/>
  <c r="T12" i="4"/>
  <c r="G10" i="4"/>
  <c r="M10" i="4"/>
  <c r="V9" i="4"/>
  <c r="R13" i="7" a="1"/>
  <c r="R13" i="7" s="1"/>
  <c r="R11" i="7" a="1"/>
  <c r="R11" i="7" s="1"/>
  <c r="R8" i="7" a="1"/>
  <c r="R8" i="7" s="1"/>
  <c r="Q15" i="7" a="1"/>
  <c r="Q15" i="7" s="1"/>
  <c r="AK15" i="7" s="1"/>
  <c r="Q10" i="7" a="1"/>
  <c r="Q10" i="7" s="1"/>
  <c r="AK10" i="7" s="1"/>
  <c r="Q12" i="7" a="1"/>
  <c r="Q12" i="7" s="1"/>
  <c r="AK12" i="7" s="1"/>
  <c r="R10" i="7" a="1"/>
  <c r="R10" i="7" s="1"/>
  <c r="R12" i="7" a="1"/>
  <c r="R12" i="7" s="1"/>
  <c r="Q8" i="7" a="1"/>
  <c r="Q8" i="7" s="1"/>
  <c r="AK8" i="7" s="1"/>
  <c r="Q13" i="7" a="1"/>
  <c r="Q13" i="7" s="1"/>
  <c r="R9" i="7" a="1"/>
  <c r="R9" i="7" s="1"/>
  <c r="Q9" i="7" a="1"/>
  <c r="Q9" i="7" s="1"/>
  <c r="AK9" i="7" s="1"/>
  <c r="R15" i="7" a="1"/>
  <c r="R15" i="7" s="1"/>
  <c r="Q11" i="7" a="1"/>
  <c r="Q11" i="7" s="1"/>
  <c r="O24" i="4"/>
  <c r="P24" i="4" s="1"/>
  <c r="M24" i="4"/>
  <c r="V24" i="4"/>
  <c r="I24" i="4"/>
  <c r="C24" i="4"/>
  <c r="F8" i="4"/>
  <c r="D6" i="4"/>
  <c r="C15" i="4"/>
  <c r="A11" i="4"/>
  <c r="V13" i="4"/>
  <c r="M11" i="4"/>
  <c r="K13" i="4"/>
  <c r="K51" i="3"/>
  <c r="F15" i="4"/>
  <c r="N3" i="4"/>
  <c r="I7" i="4"/>
  <c r="G3" i="4"/>
  <c r="K39" i="3"/>
  <c r="P39" i="3" s="1"/>
  <c r="H3" i="4" s="1"/>
  <c r="J3" i="4"/>
  <c r="S3" i="4"/>
  <c r="C3" i="4"/>
  <c r="F16" i="4"/>
  <c r="K54" i="3"/>
  <c r="N54" i="3" s="1"/>
  <c r="M16" i="4"/>
  <c r="D16" i="4"/>
  <c r="A16" i="4"/>
  <c r="V16" i="4"/>
  <c r="A13" i="4"/>
  <c r="R13" i="4"/>
  <c r="S15" i="4"/>
  <c r="I13" i="4"/>
  <c r="I11" i="4"/>
  <c r="S13" i="4"/>
  <c r="M15" i="4"/>
  <c r="C13" i="4"/>
  <c r="T13" i="4"/>
  <c r="K53" i="3"/>
  <c r="N53" i="3" s="1"/>
  <c r="F13" i="4"/>
  <c r="N13" i="4"/>
  <c r="N15" i="4"/>
  <c r="G13" i="4"/>
  <c r="L13" i="4"/>
  <c r="M13" i="4"/>
  <c r="E13" i="4"/>
  <c r="K15" i="4"/>
  <c r="D13" i="4"/>
  <c r="L15" i="4"/>
  <c r="E15" i="4"/>
  <c r="I14" i="4"/>
  <c r="L14" i="4"/>
  <c r="K49" i="3"/>
  <c r="P49" i="3" s="1"/>
  <c r="H11" i="4" s="1"/>
  <c r="G11" i="4"/>
  <c r="C11" i="4"/>
  <c r="E11" i="4"/>
  <c r="F17" i="4"/>
  <c r="F11" i="4"/>
  <c r="D12" i="4"/>
  <c r="K52" i="3"/>
  <c r="O52" i="3" s="1"/>
  <c r="L11" i="4"/>
  <c r="D11" i="4"/>
  <c r="D17" i="4"/>
  <c r="J17" i="4"/>
  <c r="J15" i="4"/>
  <c r="V15" i="4"/>
  <c r="R15" i="4"/>
  <c r="T15" i="4"/>
  <c r="K11" i="4"/>
  <c r="D15" i="4"/>
  <c r="I15" i="4"/>
  <c r="E12" i="4"/>
  <c r="T11" i="4"/>
  <c r="R17" i="4"/>
  <c r="J11" i="4"/>
  <c r="S11" i="4"/>
  <c r="R11" i="4"/>
  <c r="S17" i="4"/>
  <c r="K17" i="4"/>
  <c r="A15" i="4"/>
  <c r="G15" i="4"/>
  <c r="J14" i="4"/>
  <c r="N11" i="4"/>
  <c r="T8" i="4"/>
  <c r="A6" i="4"/>
  <c r="C8" i="4"/>
  <c r="S6" i="4"/>
  <c r="J6" i="4"/>
  <c r="R8" i="4"/>
  <c r="I6" i="4"/>
  <c r="E9" i="4"/>
  <c r="K45" i="3"/>
  <c r="J5" i="4"/>
  <c r="C5" i="4"/>
  <c r="D5" i="4"/>
  <c r="M9" i="4"/>
  <c r="A5" i="4"/>
  <c r="G5" i="4"/>
  <c r="A9" i="4"/>
  <c r="S5" i="4"/>
  <c r="J9" i="4"/>
  <c r="N5" i="4"/>
  <c r="K41" i="3"/>
  <c r="L5" i="4"/>
  <c r="L16" i="4"/>
  <c r="S16" i="4"/>
  <c r="R12" i="4"/>
  <c r="K12" i="4"/>
  <c r="T16" i="4"/>
  <c r="G16" i="4"/>
  <c r="R16" i="4"/>
  <c r="J16" i="4"/>
  <c r="G12" i="4"/>
  <c r="F12" i="4"/>
  <c r="N16" i="4"/>
  <c r="C16" i="4"/>
  <c r="L12" i="4"/>
  <c r="E4" i="4"/>
  <c r="K4" i="4"/>
  <c r="J4" i="4"/>
  <c r="A4" i="4"/>
  <c r="T4" i="4"/>
  <c r="M2" i="4"/>
  <c r="L8" i="4"/>
  <c r="T2" i="4"/>
  <c r="R2" i="4"/>
  <c r="R3" i="4"/>
  <c r="K3" i="4"/>
  <c r="A3" i="4"/>
  <c r="J8" i="4"/>
  <c r="V8" i="4"/>
  <c r="K44" i="3"/>
  <c r="D8" i="4"/>
  <c r="R6" i="4"/>
  <c r="N6" i="4"/>
  <c r="M6" i="4"/>
  <c r="C6" i="4"/>
  <c r="C2" i="4"/>
  <c r="G8" i="4"/>
  <c r="K8" i="4"/>
  <c r="N8" i="4"/>
  <c r="V6" i="4"/>
  <c r="T6" i="4"/>
  <c r="G6" i="4"/>
  <c r="K2" i="4"/>
  <c r="A2" i="4"/>
  <c r="M3" i="4"/>
  <c r="F3" i="4"/>
  <c r="M8" i="4"/>
  <c r="A8" i="4"/>
  <c r="S8" i="4"/>
  <c r="F6" i="4"/>
  <c r="L6" i="4"/>
  <c r="K42" i="3"/>
  <c r="K25" i="4"/>
  <c r="N25" i="4"/>
  <c r="W25" i="4"/>
  <c r="C25" i="4"/>
  <c r="J25" i="4"/>
  <c r="G25" i="4"/>
  <c r="M25" i="4"/>
  <c r="F25" i="4"/>
  <c r="V25" i="4"/>
  <c r="L25" i="4"/>
  <c r="S25" i="4"/>
  <c r="I25" i="4"/>
  <c r="R25" i="4"/>
  <c r="K65" i="3"/>
  <c r="O65" i="3" s="1"/>
  <c r="D25" i="4"/>
  <c r="P105" i="4"/>
  <c r="M105" i="4"/>
  <c r="A105" i="4"/>
  <c r="D105" i="4"/>
  <c r="J105" i="4"/>
  <c r="L105" i="4"/>
  <c r="O105" i="4"/>
  <c r="H105" i="4"/>
  <c r="K105" i="4"/>
  <c r="G105" i="4"/>
  <c r="E105" i="4"/>
  <c r="R105" i="4"/>
  <c r="N105" i="4"/>
  <c r="I105" i="4"/>
  <c r="F105" i="4"/>
  <c r="Q105" i="4"/>
  <c r="K165" i="3"/>
  <c r="U105" i="4"/>
  <c r="S105" i="4"/>
  <c r="C105" i="4"/>
  <c r="K40" i="3"/>
  <c r="G7" i="4"/>
  <c r="E2" i="4"/>
  <c r="F2" i="4"/>
  <c r="L2" i="4"/>
  <c r="G2" i="4"/>
  <c r="F5" i="4"/>
  <c r="E74" i="4"/>
  <c r="AE74" i="4"/>
  <c r="A74" i="4"/>
  <c r="D74" i="4"/>
  <c r="P94" i="4"/>
  <c r="I94" i="4"/>
  <c r="D94" i="4"/>
  <c r="C94" i="4"/>
  <c r="Q94" i="4"/>
  <c r="K94" i="4"/>
  <c r="L94" i="4"/>
  <c r="S94" i="4"/>
  <c r="G94" i="4"/>
  <c r="V12" i="17"/>
  <c r="P100" i="4"/>
  <c r="E100" i="4"/>
  <c r="O100" i="4"/>
  <c r="M100" i="4"/>
  <c r="L100" i="4"/>
  <c r="K100" i="4"/>
  <c r="C100" i="4"/>
  <c r="A100" i="4"/>
  <c r="I100" i="4"/>
  <c r="Q100" i="4"/>
  <c r="O109" i="4"/>
  <c r="J109" i="4"/>
  <c r="M14" i="4"/>
  <c r="T10" i="4"/>
  <c r="J10" i="4"/>
  <c r="F10" i="4"/>
  <c r="S14" i="4"/>
  <c r="T14" i="4"/>
  <c r="K10" i="4"/>
  <c r="I10" i="4"/>
  <c r="C10" i="4"/>
  <c r="V10" i="4"/>
  <c r="N65" i="4"/>
  <c r="I2" i="4"/>
  <c r="V2" i="4"/>
  <c r="O130" i="3"/>
  <c r="G4" i="4"/>
  <c r="F4" i="4"/>
  <c r="V4" i="4"/>
  <c r="R5" i="4"/>
  <c r="M5" i="4"/>
  <c r="T5" i="4"/>
  <c r="V11" i="4"/>
  <c r="D14" i="4"/>
  <c r="S2" i="4"/>
  <c r="E16" i="4"/>
  <c r="T12" i="14"/>
  <c r="K76" i="4"/>
  <c r="I76" i="4"/>
  <c r="AD14" i="15"/>
  <c r="AB14" i="15"/>
  <c r="AD13" i="15"/>
  <c r="AB13" i="15"/>
  <c r="AD12" i="15"/>
  <c r="AB12" i="15"/>
  <c r="AD11" i="15"/>
  <c r="AB11" i="15"/>
  <c r="AC10" i="15"/>
  <c r="I83" i="4"/>
  <c r="N83" i="4"/>
  <c r="H83" i="4"/>
  <c r="F83" i="4"/>
  <c r="O83" i="4"/>
  <c r="K139" i="3"/>
  <c r="N139" i="3" s="1"/>
  <c r="C83" i="4"/>
  <c r="J83" i="4"/>
  <c r="AD83" i="4"/>
  <c r="AC9" i="15"/>
  <c r="K155" i="3"/>
  <c r="G97" i="4"/>
  <c r="M97" i="4"/>
  <c r="O97" i="4"/>
  <c r="H97" i="4"/>
  <c r="I97" i="4"/>
  <c r="A97" i="4"/>
  <c r="D103" i="4"/>
  <c r="F103" i="4"/>
  <c r="A103" i="4"/>
  <c r="U103" i="4"/>
  <c r="C103" i="4"/>
  <c r="L103" i="4"/>
  <c r="I103" i="4"/>
  <c r="O103" i="4"/>
  <c r="N7" i="4"/>
  <c r="L7" i="4"/>
  <c r="F7" i="4"/>
  <c r="S7" i="4"/>
  <c r="E7" i="4"/>
  <c r="R7" i="4"/>
  <c r="M7" i="4"/>
  <c r="T7" i="4"/>
  <c r="T107" i="4"/>
  <c r="D107" i="4"/>
  <c r="P133" i="3"/>
  <c r="R14" i="4"/>
  <c r="E14" i="4"/>
  <c r="G14" i="4"/>
  <c r="E10" i="4"/>
  <c r="D10" i="4"/>
  <c r="N4" i="4"/>
  <c r="M4" i="4"/>
  <c r="F108" i="4"/>
  <c r="R107" i="4"/>
  <c r="L151" i="3"/>
  <c r="F14" i="4"/>
  <c r="K14" i="4"/>
  <c r="A10" i="4"/>
  <c r="K48" i="3"/>
  <c r="S10" i="4"/>
  <c r="L10" i="4"/>
  <c r="N2" i="4"/>
  <c r="J2" i="4"/>
  <c r="O163" i="3"/>
  <c r="D4" i="4"/>
  <c r="R4" i="4"/>
  <c r="S4" i="4"/>
  <c r="C4" i="4"/>
  <c r="K5" i="4"/>
  <c r="I5" i="4"/>
  <c r="V5" i="4"/>
  <c r="C14" i="4"/>
  <c r="A14" i="4"/>
  <c r="K118" i="3"/>
  <c r="C74" i="4"/>
  <c r="L4" i="4"/>
  <c r="C7" i="4"/>
  <c r="K38" i="3"/>
  <c r="E24" i="4"/>
  <c r="L24" i="4"/>
  <c r="R24" i="4"/>
  <c r="J24" i="4"/>
  <c r="S24" i="4"/>
  <c r="N24" i="4"/>
  <c r="F24" i="4"/>
  <c r="S96" i="4"/>
  <c r="Q96" i="4"/>
  <c r="L96" i="4"/>
  <c r="D96" i="4"/>
  <c r="C96" i="4"/>
  <c r="O96" i="4"/>
  <c r="L3" i="4"/>
  <c r="E71" i="4"/>
  <c r="AD71" i="4"/>
  <c r="F71" i="4"/>
  <c r="S13" i="14"/>
  <c r="E78" i="4"/>
  <c r="G78" i="4"/>
  <c r="C78" i="4"/>
  <c r="I78" i="4"/>
  <c r="Q78" i="4"/>
  <c r="D78" i="4"/>
  <c r="N78" i="4"/>
  <c r="A78" i="4"/>
  <c r="U11" i="16"/>
  <c r="P102" i="4"/>
  <c r="E102" i="4"/>
  <c r="U102" i="4"/>
  <c r="K102" i="4"/>
  <c r="S102" i="4"/>
  <c r="K162" i="3"/>
  <c r="N102" i="4"/>
  <c r="Q102" i="4"/>
  <c r="M102" i="4"/>
  <c r="C99" i="4"/>
  <c r="K159" i="3"/>
  <c r="P159" i="3" s="1"/>
  <c r="H99" i="4" s="1"/>
  <c r="D99" i="4"/>
  <c r="P103" i="4"/>
  <c r="O36" i="4"/>
  <c r="E51" i="4"/>
  <c r="T14" i="14"/>
  <c r="T13" i="14"/>
  <c r="AD15" i="15"/>
  <c r="AB15" i="15"/>
  <c r="AC14" i="15"/>
  <c r="AC13" i="15"/>
  <c r="AC12" i="15"/>
  <c r="AC11" i="15"/>
  <c r="V15" i="17"/>
  <c r="V13" i="17"/>
  <c r="V10" i="17"/>
  <c r="O71" i="4"/>
  <c r="T15" i="14"/>
  <c r="S12" i="14"/>
  <c r="S9" i="14"/>
  <c r="T8" i="14"/>
  <c r="AC15" i="15"/>
  <c r="D33" i="4"/>
  <c r="K28" i="4"/>
  <c r="N28" i="4"/>
  <c r="S33" i="4"/>
  <c r="I28" i="4"/>
  <c r="G28" i="4"/>
  <c r="X28" i="4"/>
  <c r="K75" i="3"/>
  <c r="N75" i="3" s="1"/>
  <c r="J89" i="4"/>
  <c r="S89" i="4"/>
  <c r="N89" i="4"/>
  <c r="I89" i="4"/>
  <c r="L89" i="4"/>
  <c r="M89" i="4"/>
  <c r="K145" i="3"/>
  <c r="L145" i="3" s="1"/>
  <c r="Q89" i="4"/>
  <c r="R89" i="4"/>
  <c r="H89" i="4"/>
  <c r="F89" i="4"/>
  <c r="K89" i="4"/>
  <c r="AD89" i="4"/>
  <c r="A89" i="4"/>
  <c r="E89" i="4"/>
  <c r="R86" i="4"/>
  <c r="AD86" i="4"/>
  <c r="C86" i="4"/>
  <c r="AD8" i="15"/>
  <c r="AB8" i="15"/>
  <c r="AC8" i="15"/>
  <c r="S86" i="4"/>
  <c r="H84" i="4"/>
  <c r="D84" i="4"/>
  <c r="L84" i="4"/>
  <c r="E84" i="4"/>
  <c r="K84" i="4"/>
  <c r="M84" i="4"/>
  <c r="B82" i="4"/>
  <c r="D82" i="4" s="1"/>
  <c r="E86" i="4"/>
  <c r="A84" i="4"/>
  <c r="S84" i="4"/>
  <c r="K140" i="3"/>
  <c r="Q84" i="4"/>
  <c r="O84" i="4"/>
  <c r="J87" i="4"/>
  <c r="R88" i="4"/>
  <c r="L86" i="4"/>
  <c r="A86" i="4"/>
  <c r="K142" i="3"/>
  <c r="N142" i="3" s="1"/>
  <c r="G88" i="4"/>
  <c r="I88" i="4"/>
  <c r="O87" i="4"/>
  <c r="O88" i="4"/>
  <c r="K144" i="3"/>
  <c r="L88" i="4"/>
  <c r="Q86" i="4"/>
  <c r="M88" i="4"/>
  <c r="D88" i="4"/>
  <c r="R87" i="4"/>
  <c r="N86" i="4"/>
  <c r="I86" i="4"/>
  <c r="O86" i="4"/>
  <c r="M86" i="4"/>
  <c r="F87" i="4"/>
  <c r="Q87" i="4"/>
  <c r="K88" i="4"/>
  <c r="H88" i="4"/>
  <c r="F88" i="4"/>
  <c r="S88" i="4"/>
  <c r="G86" i="4"/>
  <c r="F86" i="4"/>
  <c r="C88" i="4"/>
  <c r="K86" i="4"/>
  <c r="D86" i="4"/>
  <c r="H86" i="4"/>
  <c r="A88" i="4"/>
  <c r="Q88" i="4"/>
  <c r="J88" i="4"/>
  <c r="AD88" i="4"/>
  <c r="E88" i="4"/>
  <c r="M32" i="4"/>
  <c r="Y32" i="4"/>
  <c r="K74" i="3"/>
  <c r="P74" i="3" s="1"/>
  <c r="L28" i="4"/>
  <c r="D28" i="4"/>
  <c r="A28" i="4"/>
  <c r="F28" i="4"/>
  <c r="E28" i="4"/>
  <c r="J33" i="4"/>
  <c r="R33" i="4" s="1"/>
  <c r="Y33" i="4"/>
  <c r="N33" i="4"/>
  <c r="L33" i="4"/>
  <c r="J28" i="4"/>
  <c r="R28" i="4" s="1"/>
  <c r="O28" i="4"/>
  <c r="P28" i="4" s="1"/>
  <c r="S28" i="4"/>
  <c r="I33" i="4"/>
  <c r="O33" i="4"/>
  <c r="A33" i="4"/>
  <c r="C33" i="4"/>
  <c r="C28" i="4"/>
  <c r="Y28" i="4"/>
  <c r="K70" i="3"/>
  <c r="N70" i="3" s="1"/>
  <c r="G33" i="4"/>
  <c r="F33" i="4"/>
  <c r="K33" i="4"/>
  <c r="X33" i="4"/>
  <c r="Q28" i="4"/>
  <c r="S69" i="4"/>
  <c r="K121" i="3"/>
  <c r="N121" i="3" s="1"/>
  <c r="AD69" i="4"/>
  <c r="M69" i="4"/>
  <c r="N69" i="4"/>
  <c r="A69" i="4"/>
  <c r="L69" i="4"/>
  <c r="K69" i="4"/>
  <c r="R69" i="4"/>
  <c r="J69" i="4"/>
  <c r="I69" i="4"/>
  <c r="F69" i="4"/>
  <c r="G69" i="4"/>
  <c r="D69" i="4"/>
  <c r="C69" i="4"/>
  <c r="M11" i="13"/>
  <c r="R11" i="13"/>
  <c r="X11" i="13"/>
  <c r="O69" i="4"/>
  <c r="R14" i="13"/>
  <c r="Q14" i="13"/>
  <c r="V15" i="13"/>
  <c r="U11" i="13"/>
  <c r="O14" i="13"/>
  <c r="W10" i="13"/>
  <c r="X10" i="13"/>
  <c r="P10" i="13"/>
  <c r="X15" i="13"/>
  <c r="Q15" i="13"/>
  <c r="U15" i="13"/>
  <c r="X14" i="13"/>
  <c r="W14" i="13"/>
  <c r="V14" i="13"/>
  <c r="R10" i="13"/>
  <c r="R15" i="13"/>
  <c r="N15" i="13"/>
  <c r="Q11" i="13"/>
  <c r="P11" i="13"/>
  <c r="U14" i="13"/>
  <c r="P14" i="13"/>
  <c r="V10" i="13"/>
  <c r="N10" i="13"/>
  <c r="Q69" i="4"/>
  <c r="M67" i="4"/>
  <c r="J67" i="4"/>
  <c r="S67" i="4"/>
  <c r="D67" i="4"/>
  <c r="R67" i="4"/>
  <c r="A67" i="4"/>
  <c r="C67" i="4"/>
  <c r="N67" i="4"/>
  <c r="AD67" i="4"/>
  <c r="I67" i="4"/>
  <c r="F67" i="4"/>
  <c r="G67" i="4"/>
  <c r="L67" i="4"/>
  <c r="K67" i="4"/>
  <c r="K119" i="3"/>
  <c r="A66" i="4"/>
  <c r="K66" i="4"/>
  <c r="I72" i="4"/>
  <c r="P71" i="4"/>
  <c r="M70" i="4"/>
  <c r="C70" i="4"/>
  <c r="E67" i="4"/>
  <c r="Q33" i="4"/>
  <c r="S50" i="4"/>
  <c r="A50" i="4"/>
  <c r="D50" i="4"/>
  <c r="F50" i="4"/>
  <c r="J50" i="4"/>
  <c r="R50" i="4" s="1"/>
  <c r="Q50" i="4"/>
  <c r="O34" i="4"/>
  <c r="P34" i="4" s="1"/>
  <c r="F38" i="4"/>
  <c r="J39" i="4"/>
  <c r="R39" i="4" s="1"/>
  <c r="J40" i="4"/>
  <c r="R40" i="4" s="1"/>
  <c r="A39" i="4"/>
  <c r="Z34" i="4"/>
  <c r="J48" i="4"/>
  <c r="R48" i="4" s="1"/>
  <c r="K94" i="3"/>
  <c r="M94" i="3" s="1"/>
  <c r="O48" i="4"/>
  <c r="C48" i="4"/>
  <c r="G48" i="4"/>
  <c r="S48" i="4"/>
  <c r="E38" i="4"/>
  <c r="S38" i="4"/>
  <c r="C38" i="4"/>
  <c r="I38" i="4"/>
  <c r="G34" i="4"/>
  <c r="P33" i="4"/>
  <c r="C30" i="4"/>
  <c r="O30" i="4"/>
  <c r="Y30" i="4"/>
  <c r="K30" i="4"/>
  <c r="J30" i="4"/>
  <c r="R30" i="4" s="1"/>
  <c r="N30" i="4"/>
  <c r="L29" i="4"/>
  <c r="Y29" i="4"/>
  <c r="F29" i="4"/>
  <c r="I29" i="4"/>
  <c r="J29" i="4"/>
  <c r="R29" i="4" s="1"/>
  <c r="D29" i="4"/>
  <c r="Q29" i="4"/>
  <c r="S29" i="4"/>
  <c r="X29" i="4"/>
  <c r="C29" i="4"/>
  <c r="K71" i="3"/>
  <c r="O71" i="3" s="1"/>
  <c r="K29" i="4"/>
  <c r="N29" i="4"/>
  <c r="A29" i="4"/>
  <c r="O29" i="4"/>
  <c r="P29" i="4" s="1"/>
  <c r="G29" i="4"/>
  <c r="K27" i="4"/>
  <c r="I27" i="4"/>
  <c r="S27" i="4"/>
  <c r="Q27" i="4"/>
  <c r="E27" i="4"/>
  <c r="K69" i="3"/>
  <c r="F27" i="4"/>
  <c r="O27" i="4"/>
  <c r="P27" i="4" s="1"/>
  <c r="J27" i="4"/>
  <c r="R27" i="4" s="1"/>
  <c r="L27" i="4"/>
  <c r="C27" i="4"/>
  <c r="X27" i="4"/>
  <c r="N27" i="4"/>
  <c r="A27" i="4"/>
  <c r="D27" i="4"/>
  <c r="Y27" i="4"/>
  <c r="G27" i="4"/>
  <c r="Y31" i="4"/>
  <c r="Q31" i="4"/>
  <c r="L31" i="4"/>
  <c r="S31" i="4"/>
  <c r="A31" i="4"/>
  <c r="F31" i="4"/>
  <c r="C31" i="4"/>
  <c r="K73" i="3"/>
  <c r="N31" i="4"/>
  <c r="O31" i="4"/>
  <c r="P31" i="4" s="1"/>
  <c r="E31" i="4"/>
  <c r="G31" i="4"/>
  <c r="J31" i="4"/>
  <c r="R31" i="4" s="1"/>
  <c r="X31" i="4"/>
  <c r="I31" i="4"/>
  <c r="K31" i="4"/>
  <c r="D31" i="4"/>
  <c r="F30" i="4"/>
  <c r="D30" i="4"/>
  <c r="J32" i="4"/>
  <c r="R32" i="4" s="1"/>
  <c r="K32" i="4"/>
  <c r="A32" i="4"/>
  <c r="O32" i="4"/>
  <c r="P32" i="4" s="1"/>
  <c r="E33" i="4"/>
  <c r="E29" i="4"/>
  <c r="X30" i="4"/>
  <c r="A30" i="4"/>
  <c r="I30" i="4"/>
  <c r="D32" i="4"/>
  <c r="N32" i="4"/>
  <c r="Q32" i="4"/>
  <c r="S32" i="4"/>
  <c r="G32" i="4"/>
  <c r="G30" i="4"/>
  <c r="H32" i="4"/>
  <c r="Q30" i="4"/>
  <c r="L30" i="4"/>
  <c r="K72" i="3"/>
  <c r="N72" i="3" s="1"/>
  <c r="L32" i="4"/>
  <c r="F32" i="4"/>
  <c r="C32" i="4"/>
  <c r="I32" i="4"/>
  <c r="X32" i="4"/>
  <c r="S30" i="4"/>
  <c r="L26" i="4"/>
  <c r="I26" i="4"/>
  <c r="S26" i="4"/>
  <c r="Q26" i="4"/>
  <c r="N26" i="4"/>
  <c r="K68" i="3"/>
  <c r="M68" i="3" s="1"/>
  <c r="O26" i="4"/>
  <c r="P26" i="4" s="1"/>
  <c r="K26" i="4"/>
  <c r="Q48" i="4"/>
  <c r="C44" i="4"/>
  <c r="I44" i="4"/>
  <c r="J44" i="4"/>
  <c r="R44" i="4" s="1"/>
  <c r="D44" i="4"/>
  <c r="I43" i="4"/>
  <c r="M43" i="4"/>
  <c r="G43" i="4"/>
  <c r="N43" i="4"/>
  <c r="Q42" i="4"/>
  <c r="L47" i="4"/>
  <c r="N47" i="4"/>
  <c r="V47" i="4"/>
  <c r="Q47" i="4"/>
  <c r="K93" i="3"/>
  <c r="S47" i="4"/>
  <c r="E47" i="4"/>
  <c r="K47" i="4"/>
  <c r="A47" i="4"/>
  <c r="C47" i="4"/>
  <c r="G47" i="4"/>
  <c r="I47" i="4"/>
  <c r="O47" i="4"/>
  <c r="P47" i="4" s="1"/>
  <c r="D47" i="4"/>
  <c r="J47" i="4"/>
  <c r="R47" i="4" s="1"/>
  <c r="F47" i="4"/>
  <c r="M47" i="4"/>
  <c r="L45" i="4"/>
  <c r="K91" i="3"/>
  <c r="N91" i="3" s="1"/>
  <c r="Q45" i="4"/>
  <c r="A45" i="4"/>
  <c r="J45" i="4"/>
  <c r="R45" i="4" s="1"/>
  <c r="K45" i="4"/>
  <c r="N45" i="4"/>
  <c r="V45" i="4"/>
  <c r="M45" i="4"/>
  <c r="F45" i="4"/>
  <c r="G45" i="4"/>
  <c r="S45" i="4"/>
  <c r="D45" i="4"/>
  <c r="O45" i="4"/>
  <c r="P45" i="4" s="1"/>
  <c r="C45" i="4"/>
  <c r="I45" i="4"/>
  <c r="Q43" i="4"/>
  <c r="O43" i="4"/>
  <c r="P43" i="4" s="1"/>
  <c r="J43" i="4"/>
  <c r="R43" i="4" s="1"/>
  <c r="D43" i="4"/>
  <c r="S46" i="4"/>
  <c r="A46" i="4"/>
  <c r="C46" i="4"/>
  <c r="Q49" i="4"/>
  <c r="M49" i="4"/>
  <c r="N49" i="4"/>
  <c r="I49" i="4"/>
  <c r="V44" i="4"/>
  <c r="O44" i="4"/>
  <c r="P44" i="4" s="1"/>
  <c r="K43" i="4"/>
  <c r="L43" i="4"/>
  <c r="S43" i="4"/>
  <c r="F43" i="4"/>
  <c r="K89" i="3"/>
  <c r="G46" i="4"/>
  <c r="Q46" i="4"/>
  <c r="O46" i="4"/>
  <c r="P46" i="4" s="1"/>
  <c r="D46" i="4"/>
  <c r="S49" i="4"/>
  <c r="O49" i="4"/>
  <c r="P49" i="4" s="1"/>
  <c r="J49" i="4"/>
  <c r="R49" i="4" s="1"/>
  <c r="N44" i="4"/>
  <c r="K90" i="3"/>
  <c r="G44" i="4"/>
  <c r="M44" i="4"/>
  <c r="L44" i="4"/>
  <c r="E49" i="4"/>
  <c r="E43" i="4"/>
  <c r="C43" i="4"/>
  <c r="A43" i="4"/>
  <c r="V43" i="4"/>
  <c r="N46" i="4"/>
  <c r="I46" i="4"/>
  <c r="M46" i="4"/>
  <c r="V46" i="4"/>
  <c r="V49" i="4"/>
  <c r="C49" i="4"/>
  <c r="F44" i="4"/>
  <c r="S44" i="4"/>
  <c r="Q44" i="4"/>
  <c r="A44" i="4"/>
  <c r="K46" i="4"/>
  <c r="K44" i="4"/>
  <c r="P48" i="4"/>
  <c r="L46" i="4"/>
  <c r="E44" i="4"/>
  <c r="K79" i="3"/>
  <c r="O79" i="3" s="1"/>
  <c r="Q39" i="4"/>
  <c r="K83" i="3"/>
  <c r="O83" i="3" s="1"/>
  <c r="K39" i="4"/>
  <c r="AA39" i="4"/>
  <c r="I35" i="4"/>
  <c r="I39" i="4"/>
  <c r="F39" i="4"/>
  <c r="G39" i="4"/>
  <c r="D39" i="4"/>
  <c r="S39" i="4"/>
  <c r="Q36" i="4"/>
  <c r="M34" i="4"/>
  <c r="S35" i="4"/>
  <c r="O39" i="4"/>
  <c r="P39" i="4" s="1"/>
  <c r="L39" i="4"/>
  <c r="Z39" i="4"/>
  <c r="V39" i="4"/>
  <c r="M36" i="4"/>
  <c r="M35" i="4"/>
  <c r="E39" i="4"/>
  <c r="V37" i="4"/>
  <c r="O37" i="4"/>
  <c r="J37" i="4"/>
  <c r="R37" i="4" s="1"/>
  <c r="K81" i="3"/>
  <c r="P81" i="3" s="1"/>
  <c r="H37" i="4" s="1"/>
  <c r="E37" i="4"/>
  <c r="S37" i="4"/>
  <c r="I37" i="4"/>
  <c r="A37" i="4"/>
  <c r="Q37" i="4"/>
  <c r="D37" i="4"/>
  <c r="F37" i="4"/>
  <c r="AA37" i="4"/>
  <c r="G37" i="4"/>
  <c r="C37" i="4"/>
  <c r="L37" i="4"/>
  <c r="N37" i="4"/>
  <c r="S41" i="4"/>
  <c r="A41" i="4"/>
  <c r="F41" i="4"/>
  <c r="K41" i="4"/>
  <c r="G40" i="4"/>
  <c r="K38" i="4"/>
  <c r="K82" i="3"/>
  <c r="M82" i="3" s="1"/>
  <c r="S40" i="4"/>
  <c r="I40" i="4"/>
  <c r="K84" i="3"/>
  <c r="Q40" i="4"/>
  <c r="N35" i="4"/>
  <c r="C35" i="4"/>
  <c r="K35" i="4"/>
  <c r="F35" i="4"/>
  <c r="J38" i="4"/>
  <c r="R38" i="4" s="1"/>
  <c r="V36" i="4"/>
  <c r="A36" i="4"/>
  <c r="O40" i="4"/>
  <c r="P40" i="4" s="1"/>
  <c r="D40" i="4"/>
  <c r="O38" i="4"/>
  <c r="P38" i="4" s="1"/>
  <c r="V38" i="4"/>
  <c r="A38" i="4"/>
  <c r="L38" i="4"/>
  <c r="K40" i="4"/>
  <c r="A40" i="4"/>
  <c r="L40" i="4"/>
  <c r="A35" i="4"/>
  <c r="O35" i="4"/>
  <c r="G35" i="4"/>
  <c r="Z35" i="4"/>
  <c r="Q38" i="4"/>
  <c r="Z40" i="4"/>
  <c r="D36" i="4"/>
  <c r="L36" i="4"/>
  <c r="G38" i="4"/>
  <c r="Z38" i="4"/>
  <c r="N38" i="4"/>
  <c r="D38" i="4"/>
  <c r="AA38" i="4"/>
  <c r="C40" i="4"/>
  <c r="AA40" i="4"/>
  <c r="F40" i="4"/>
  <c r="E40" i="4"/>
  <c r="D35" i="4"/>
  <c r="L35" i="4"/>
  <c r="J35" i="4"/>
  <c r="R35" i="4" s="1"/>
  <c r="Q35" i="4"/>
  <c r="AA35" i="4"/>
  <c r="D34" i="4"/>
  <c r="F34" i="4"/>
  <c r="V34" i="4"/>
  <c r="L34" i="4"/>
  <c r="S34" i="4"/>
  <c r="Q34" i="4"/>
  <c r="J34" i="4"/>
  <c r="R34" i="4" s="1"/>
  <c r="C34" i="4"/>
  <c r="I34" i="4"/>
  <c r="A34" i="4"/>
  <c r="AA34" i="4"/>
  <c r="K34" i="4"/>
  <c r="K78" i="3"/>
  <c r="P78" i="3" s="1"/>
  <c r="H34" i="4" s="1"/>
  <c r="N34" i="4"/>
  <c r="L113" i="3"/>
  <c r="O113" i="3"/>
  <c r="P113" i="3"/>
  <c r="N174" i="3"/>
  <c r="O174" i="3"/>
  <c r="L174" i="3"/>
  <c r="I111" i="4"/>
  <c r="L111" i="4"/>
  <c r="G111" i="4"/>
  <c r="N111" i="4"/>
  <c r="H111" i="4"/>
  <c r="J111" i="4"/>
  <c r="F111" i="4"/>
  <c r="Q111" i="4"/>
  <c r="D111" i="4"/>
  <c r="C111" i="4"/>
  <c r="A111" i="4"/>
  <c r="O111" i="4"/>
  <c r="M111" i="4"/>
  <c r="E111" i="4"/>
  <c r="P111" i="4"/>
  <c r="K108" i="4"/>
  <c r="E108" i="4"/>
  <c r="I108" i="4"/>
  <c r="A108" i="4"/>
  <c r="G108" i="4"/>
  <c r="M108" i="4"/>
  <c r="R108" i="4"/>
  <c r="L108" i="4"/>
  <c r="N108" i="4"/>
  <c r="D108" i="4"/>
  <c r="E55" i="4"/>
  <c r="P55" i="4"/>
  <c r="D55" i="4"/>
  <c r="L55" i="4"/>
  <c r="S55" i="4"/>
  <c r="N55" i="4"/>
  <c r="M55" i="4"/>
  <c r="F55" i="4"/>
  <c r="C55" i="4"/>
  <c r="H55" i="4"/>
  <c r="E73" i="4"/>
  <c r="M73" i="4"/>
  <c r="J73" i="4"/>
  <c r="K73" i="4"/>
  <c r="F73" i="4"/>
  <c r="A73" i="4"/>
  <c r="C73" i="4"/>
  <c r="Q73" i="4"/>
  <c r="S73" i="4"/>
  <c r="N73" i="4"/>
  <c r="L73" i="4"/>
  <c r="D73" i="4"/>
  <c r="R73" i="4"/>
  <c r="I73" i="4"/>
  <c r="Q41" i="4"/>
  <c r="Q55" i="4"/>
  <c r="V55" i="4"/>
  <c r="M112" i="3"/>
  <c r="K115" i="3"/>
  <c r="G55" i="4"/>
  <c r="P174" i="3"/>
  <c r="K173" i="3"/>
  <c r="K120" i="3"/>
  <c r="N72" i="4"/>
  <c r="AD73" i="4"/>
  <c r="G17" i="4"/>
  <c r="I17" i="4"/>
  <c r="E17" i="4"/>
  <c r="T17" i="4"/>
  <c r="V17" i="4"/>
  <c r="K55" i="3"/>
  <c r="C17" i="4"/>
  <c r="L17" i="4"/>
  <c r="A17" i="4"/>
  <c r="M17" i="4"/>
  <c r="N12" i="4"/>
  <c r="V12" i="4"/>
  <c r="K50" i="3"/>
  <c r="A12" i="4"/>
  <c r="I12" i="4"/>
  <c r="J12" i="4"/>
  <c r="M12" i="4"/>
  <c r="C12" i="4"/>
  <c r="P36" i="4"/>
  <c r="E36" i="4"/>
  <c r="I36" i="4"/>
  <c r="K80" i="3"/>
  <c r="S36" i="4"/>
  <c r="F36" i="4"/>
  <c r="Z36" i="4"/>
  <c r="G36" i="4"/>
  <c r="N36" i="4"/>
  <c r="AA36" i="4"/>
  <c r="C36" i="4"/>
  <c r="K36" i="4"/>
  <c r="U98" i="4"/>
  <c r="D98" i="4"/>
  <c r="N98" i="4"/>
  <c r="E98" i="4"/>
  <c r="K98" i="4"/>
  <c r="C98" i="4"/>
  <c r="L98" i="4"/>
  <c r="R98" i="4"/>
  <c r="I98" i="4"/>
  <c r="O125" i="3"/>
  <c r="P125" i="3"/>
  <c r="H73" i="4" s="1"/>
  <c r="N125" i="3"/>
  <c r="L65" i="4"/>
  <c r="E65" i="4"/>
  <c r="G65" i="4"/>
  <c r="S65" i="4"/>
  <c r="T65" i="4"/>
  <c r="C65" i="4"/>
  <c r="M65" i="4"/>
  <c r="AB57" i="4"/>
  <c r="A65" i="4"/>
  <c r="D65" i="4"/>
  <c r="I65" i="4"/>
  <c r="E70" i="4"/>
  <c r="A70" i="4"/>
  <c r="N70" i="4"/>
  <c r="K70" i="4"/>
  <c r="J70" i="4"/>
  <c r="K122" i="3"/>
  <c r="F70" i="4"/>
  <c r="O70" i="4"/>
  <c r="P70" i="4" s="1"/>
  <c r="Q70" i="4"/>
  <c r="G70" i="4"/>
  <c r="R70" i="4"/>
  <c r="AD70" i="4"/>
  <c r="D70" i="4"/>
  <c r="C108" i="4"/>
  <c r="T108" i="4"/>
  <c r="R72" i="4"/>
  <c r="K170" i="3"/>
  <c r="N112" i="3"/>
  <c r="O55" i="4"/>
  <c r="K103" i="3"/>
  <c r="O103" i="3" s="1"/>
  <c r="A55" i="4"/>
  <c r="F65" i="4"/>
  <c r="AC65" i="4"/>
  <c r="K55" i="4"/>
  <c r="M174" i="3"/>
  <c r="S111" i="4"/>
  <c r="L70" i="4"/>
  <c r="S70" i="4"/>
  <c r="G73" i="4"/>
  <c r="E91" i="4"/>
  <c r="N91" i="4"/>
  <c r="K149" i="3"/>
  <c r="M91" i="4"/>
  <c r="A91" i="4"/>
  <c r="K91" i="4"/>
  <c r="G91" i="4"/>
  <c r="D91" i="4"/>
  <c r="C91" i="4"/>
  <c r="F91" i="4"/>
  <c r="J91" i="4"/>
  <c r="R91" i="4"/>
  <c r="S91" i="4"/>
  <c r="E41" i="4"/>
  <c r="AA41" i="4"/>
  <c r="D41" i="4"/>
  <c r="Z41" i="4"/>
  <c r="G41" i="4"/>
  <c r="O41" i="4"/>
  <c r="P41" i="4" s="1"/>
  <c r="I41" i="4"/>
  <c r="L41" i="4"/>
  <c r="V41" i="4"/>
  <c r="K85" i="3"/>
  <c r="N41" i="4"/>
  <c r="C72" i="4"/>
  <c r="Q72" i="4"/>
  <c r="A72" i="4"/>
  <c r="J72" i="4"/>
  <c r="F72" i="4"/>
  <c r="L72" i="4"/>
  <c r="S72" i="4"/>
  <c r="D72" i="4"/>
  <c r="K72" i="4"/>
  <c r="G72" i="4"/>
  <c r="O72" i="4"/>
  <c r="P72" i="4" s="1"/>
  <c r="K124" i="3"/>
  <c r="M72" i="4"/>
  <c r="E68" i="4"/>
  <c r="A68" i="4"/>
  <c r="J68" i="4"/>
  <c r="S68" i="4"/>
  <c r="G68" i="4"/>
  <c r="F68" i="4"/>
  <c r="N68" i="4"/>
  <c r="AD68" i="4"/>
  <c r="D68" i="4"/>
  <c r="K68" i="4"/>
  <c r="L68" i="4"/>
  <c r="C68" i="4"/>
  <c r="N113" i="3"/>
  <c r="E72" i="4"/>
  <c r="R111" i="4"/>
  <c r="S108" i="4"/>
  <c r="Q108" i="4"/>
  <c r="O112" i="3"/>
  <c r="C41" i="4"/>
  <c r="J41" i="4"/>
  <c r="R41" i="4" s="1"/>
  <c r="J55" i="4"/>
  <c r="R55" i="4" s="1"/>
  <c r="O65" i="4"/>
  <c r="P65" i="4" s="1"/>
  <c r="Q65" i="4"/>
  <c r="M125" i="3"/>
  <c r="T111" i="4"/>
  <c r="I68" i="4"/>
  <c r="I70" i="4"/>
  <c r="AD72" i="4"/>
  <c r="O73" i="4"/>
  <c r="P73" i="4" s="1"/>
  <c r="K106" i="4"/>
  <c r="T106" i="4"/>
  <c r="A106" i="4"/>
  <c r="K168" i="3"/>
  <c r="I106" i="4"/>
  <c r="L106" i="4"/>
  <c r="J106" i="4"/>
  <c r="G106" i="4"/>
  <c r="F106" i="4"/>
  <c r="M106" i="4"/>
  <c r="N106" i="4"/>
  <c r="Q106" i="4"/>
  <c r="P113" i="4"/>
  <c r="A113" i="4"/>
  <c r="L113" i="4"/>
  <c r="J113" i="4"/>
  <c r="M113" i="4"/>
  <c r="T113" i="4"/>
  <c r="N113" i="4"/>
  <c r="D113" i="4"/>
  <c r="F113" i="4"/>
  <c r="K113" i="4"/>
  <c r="Q113" i="4"/>
  <c r="R113" i="4"/>
  <c r="H113" i="4"/>
  <c r="G113" i="4"/>
  <c r="E52" i="4"/>
  <c r="K52" i="4"/>
  <c r="E50" i="4"/>
  <c r="P109" i="4"/>
  <c r="E109" i="4"/>
  <c r="S109" i="4"/>
  <c r="K109" i="4"/>
  <c r="K171" i="3"/>
  <c r="D109" i="4"/>
  <c r="A109" i="4"/>
  <c r="F109" i="4"/>
  <c r="H109" i="4"/>
  <c r="G109" i="4"/>
  <c r="L109" i="4"/>
  <c r="C109" i="4"/>
  <c r="M109" i="4"/>
  <c r="C107" i="4"/>
  <c r="J107" i="4"/>
  <c r="A107" i="4"/>
  <c r="N107" i="4"/>
  <c r="O107" i="4"/>
  <c r="P107" i="4" s="1"/>
  <c r="I107" i="4"/>
  <c r="Q107" i="4"/>
  <c r="K169" i="3"/>
  <c r="F107" i="4"/>
  <c r="K107" i="4"/>
  <c r="S107" i="4"/>
  <c r="U13" i="16"/>
  <c r="E26" i="4"/>
  <c r="R109" i="4"/>
  <c r="A26" i="4"/>
  <c r="Y26" i="4"/>
  <c r="C26" i="4"/>
  <c r="G26" i="4"/>
  <c r="N52" i="4"/>
  <c r="G50" i="4"/>
  <c r="A52" i="4"/>
  <c r="V50" i="4"/>
  <c r="S52" i="4"/>
  <c r="M52" i="4"/>
  <c r="N130" i="3"/>
  <c r="Q109" i="4"/>
  <c r="T109" i="4"/>
  <c r="M107" i="4"/>
  <c r="N133" i="3"/>
  <c r="C9" i="4"/>
  <c r="L9" i="4"/>
  <c r="F9" i="4"/>
  <c r="R9" i="4"/>
  <c r="I9" i="4"/>
  <c r="D9" i="4"/>
  <c r="T9" i="4"/>
  <c r="N9" i="4"/>
  <c r="S9" i="4"/>
  <c r="P80" i="4"/>
  <c r="E80" i="4"/>
  <c r="A80" i="4"/>
  <c r="H80" i="4"/>
  <c r="F80" i="4"/>
  <c r="N80" i="4"/>
  <c r="L80" i="4"/>
  <c r="D80" i="4"/>
  <c r="O80" i="4"/>
  <c r="M80" i="4"/>
  <c r="Q79" i="4"/>
  <c r="D79" i="4"/>
  <c r="M79" i="4"/>
  <c r="K79" i="4"/>
  <c r="AE79" i="4"/>
  <c r="S79" i="4"/>
  <c r="L79" i="4"/>
  <c r="H79" i="4"/>
  <c r="G79" i="4"/>
  <c r="E75" i="4"/>
  <c r="A75" i="4"/>
  <c r="L75" i="4"/>
  <c r="D75" i="4"/>
  <c r="M75" i="4"/>
  <c r="AE75" i="4"/>
  <c r="J75" i="4"/>
  <c r="S75" i="4"/>
  <c r="K75" i="4"/>
  <c r="I75" i="4"/>
  <c r="F75" i="4"/>
  <c r="N75" i="4"/>
  <c r="P30" i="4"/>
  <c r="E30" i="4"/>
  <c r="P79" i="4"/>
  <c r="D26" i="4"/>
  <c r="F26" i="4"/>
  <c r="X26" i="4"/>
  <c r="J26" i="4"/>
  <c r="R26" i="4" s="1"/>
  <c r="I50" i="4"/>
  <c r="O52" i="4"/>
  <c r="P52" i="4" s="1"/>
  <c r="N50" i="4"/>
  <c r="V52" i="4"/>
  <c r="C50" i="4"/>
  <c r="K100" i="3"/>
  <c r="O100" i="3" s="1"/>
  <c r="M50" i="4"/>
  <c r="L52" i="4"/>
  <c r="P112" i="4"/>
  <c r="L112" i="4"/>
  <c r="C112" i="4"/>
  <c r="H112" i="4"/>
  <c r="M112" i="4"/>
  <c r="D112" i="4"/>
  <c r="N112" i="4"/>
  <c r="A112" i="4"/>
  <c r="O112" i="4"/>
  <c r="T112" i="4"/>
  <c r="I109" i="4"/>
  <c r="L107" i="4"/>
  <c r="P129" i="3"/>
  <c r="H75" i="4" s="1"/>
  <c r="K16" i="4"/>
  <c r="I16" i="4"/>
  <c r="N10" i="4"/>
  <c r="E66" i="4"/>
  <c r="I66" i="4"/>
  <c r="J66" i="4"/>
  <c r="L66" i="4"/>
  <c r="M66" i="4"/>
  <c r="N66" i="4"/>
  <c r="AD66" i="4"/>
  <c r="C66" i="4"/>
  <c r="P81" i="4"/>
  <c r="E81" i="4"/>
  <c r="O81" i="4"/>
  <c r="C81" i="4"/>
  <c r="D81" i="4"/>
  <c r="S81" i="4"/>
  <c r="J81" i="4"/>
  <c r="I81" i="4"/>
  <c r="N81" i="4"/>
  <c r="AE81" i="4"/>
  <c r="M81" i="4"/>
  <c r="K81" i="4"/>
  <c r="G81" i="4"/>
  <c r="H81" i="4"/>
  <c r="K135" i="3"/>
  <c r="P76" i="4"/>
  <c r="E76" i="4"/>
  <c r="N76" i="4"/>
  <c r="Q76" i="4"/>
  <c r="D76" i="4"/>
  <c r="G76" i="4"/>
  <c r="M76" i="4"/>
  <c r="H76" i="4"/>
  <c r="C76" i="4"/>
  <c r="O76" i="4"/>
  <c r="AE76" i="4"/>
  <c r="E87" i="4"/>
  <c r="G87" i="4"/>
  <c r="K87" i="4"/>
  <c r="A87" i="4"/>
  <c r="K143" i="3"/>
  <c r="AD87" i="4"/>
  <c r="M87" i="4"/>
  <c r="I87" i="4"/>
  <c r="P87" i="4"/>
  <c r="H87" i="4"/>
  <c r="L87" i="4"/>
  <c r="D87" i="4"/>
  <c r="S87" i="4"/>
  <c r="P86" i="4"/>
  <c r="J86" i="4"/>
  <c r="E99" i="4"/>
  <c r="G99" i="4"/>
  <c r="F99" i="4"/>
  <c r="S99" i="4"/>
  <c r="M99" i="4"/>
  <c r="J99" i="4"/>
  <c r="N99" i="4"/>
  <c r="A99" i="4"/>
  <c r="K99" i="4"/>
  <c r="H96" i="4"/>
  <c r="K64" i="3"/>
  <c r="D24" i="4"/>
  <c r="G24" i="4"/>
  <c r="K24" i="4"/>
  <c r="N96" i="4"/>
  <c r="P37" i="4"/>
  <c r="K37" i="4"/>
  <c r="Z37" i="4"/>
  <c r="E8" i="4"/>
  <c r="A7" i="4"/>
  <c r="V7" i="4"/>
  <c r="J7" i="4"/>
  <c r="D7" i="4"/>
  <c r="K43" i="3"/>
  <c r="E6" i="4"/>
  <c r="V14" i="4"/>
  <c r="E32" i="4"/>
  <c r="E45" i="4"/>
  <c r="E53" i="4"/>
  <c r="P53" i="4"/>
  <c r="E83" i="4"/>
  <c r="P83" i="4"/>
  <c r="E94" i="4"/>
  <c r="E92" i="4"/>
  <c r="E3" i="4"/>
  <c r="T3" i="4"/>
  <c r="V3" i="4"/>
  <c r="D3" i="4"/>
  <c r="P96" i="4"/>
  <c r="E96" i="4"/>
  <c r="K154" i="3"/>
  <c r="M96" i="4"/>
  <c r="J96" i="4"/>
  <c r="I96" i="4"/>
  <c r="G96" i="4"/>
  <c r="K96" i="4"/>
  <c r="I4" i="4"/>
  <c r="E25" i="4"/>
  <c r="P57" i="4"/>
  <c r="L57" i="4"/>
  <c r="E54" i="4"/>
  <c r="P54" i="4"/>
  <c r="P59" i="4"/>
  <c r="L59" i="4"/>
  <c r="P69" i="4"/>
  <c r="E69" i="4"/>
  <c r="Q8" i="13"/>
  <c r="R8" i="13"/>
  <c r="U8" i="13"/>
  <c r="V8" i="13"/>
  <c r="P97" i="4"/>
  <c r="E97" i="4"/>
  <c r="J97" i="4"/>
  <c r="F97" i="4"/>
  <c r="P104" i="4"/>
  <c r="E104" i="4"/>
  <c r="P101" i="4"/>
  <c r="E101" i="4"/>
  <c r="C101" i="4"/>
  <c r="L49" i="4"/>
  <c r="L42" i="4"/>
  <c r="E77" i="4"/>
  <c r="T11" i="14"/>
  <c r="S8" i="14"/>
  <c r="E85" i="4"/>
  <c r="V8" i="17"/>
  <c r="X8" i="17" s="1"/>
  <c r="P110" i="4"/>
  <c r="P78" i="4"/>
  <c r="T10" i="14"/>
  <c r="T9" i="14"/>
  <c r="P35" i="4"/>
  <c r="E107" i="4" l="1"/>
  <c r="W15" i="17"/>
  <c r="X15" i="17"/>
  <c r="W12" i="17"/>
  <c r="X12" i="17"/>
  <c r="W14" i="17"/>
  <c r="X14" i="17"/>
  <c r="W10" i="17"/>
  <c r="X10" i="17"/>
  <c r="W13" i="17"/>
  <c r="X13" i="17"/>
  <c r="W10" i="16"/>
  <c r="V10" i="16"/>
  <c r="W12" i="16"/>
  <c r="V12" i="16"/>
  <c r="W14" i="16"/>
  <c r="V14" i="16"/>
  <c r="W15" i="16"/>
  <c r="V15" i="16"/>
  <c r="W8" i="16"/>
  <c r="V8" i="16"/>
  <c r="W9" i="16"/>
  <c r="V9" i="16"/>
  <c r="W13" i="16"/>
  <c r="V13" i="16"/>
  <c r="W11" i="16"/>
  <c r="V11" i="16"/>
  <c r="N151" i="3"/>
  <c r="L152" i="3"/>
  <c r="AF8" i="15"/>
  <c r="L132" i="3"/>
  <c r="P132" i="3"/>
  <c r="N99" i="3"/>
  <c r="P99" i="3"/>
  <c r="H51" i="4" s="1"/>
  <c r="M99" i="3"/>
  <c r="P10" i="6"/>
  <c r="Q10" i="6"/>
  <c r="P11" i="6"/>
  <c r="Q11" i="6"/>
  <c r="Q9" i="6"/>
  <c r="P9" i="6"/>
  <c r="P15" i="6"/>
  <c r="Q15" i="6"/>
  <c r="Q8" i="6"/>
  <c r="P8" i="6"/>
  <c r="Q13" i="6"/>
  <c r="P13" i="6"/>
  <c r="O158" i="3"/>
  <c r="N145" i="3"/>
  <c r="N131" i="3"/>
  <c r="M129" i="3"/>
  <c r="AA15" i="13"/>
  <c r="AB15" i="13"/>
  <c r="Y15" i="13"/>
  <c r="Z15" i="13"/>
  <c r="L131" i="3"/>
  <c r="AA12" i="13"/>
  <c r="Z12" i="13"/>
  <c r="Y12" i="13"/>
  <c r="AB12" i="13"/>
  <c r="AA8" i="13"/>
  <c r="AB8" i="13"/>
  <c r="Y8" i="13"/>
  <c r="Z8" i="13"/>
  <c r="Z10" i="13"/>
  <c r="AA10" i="13"/>
  <c r="AB10" i="13"/>
  <c r="Y10" i="13"/>
  <c r="AB11" i="13"/>
  <c r="Y11" i="13"/>
  <c r="Z11" i="13"/>
  <c r="AA11" i="13"/>
  <c r="M131" i="3"/>
  <c r="L99" i="3"/>
  <c r="AA9" i="13"/>
  <c r="AB9" i="13"/>
  <c r="Y9" i="13"/>
  <c r="Z9" i="13"/>
  <c r="AB14" i="13"/>
  <c r="Y14" i="13"/>
  <c r="Z14" i="13"/>
  <c r="AA14" i="13"/>
  <c r="AB13" i="13"/>
  <c r="Z13" i="13"/>
  <c r="Y13" i="13"/>
  <c r="AA13" i="13"/>
  <c r="N12" i="6" a="1"/>
  <c r="N12" i="6" s="1"/>
  <c r="L160" i="3"/>
  <c r="N152" i="3"/>
  <c r="N129" i="3"/>
  <c r="O129" i="3"/>
  <c r="N128" i="3"/>
  <c r="O131" i="3"/>
  <c r="N123" i="3"/>
  <c r="M123" i="3"/>
  <c r="M108" i="3"/>
  <c r="O108" i="3"/>
  <c r="P111" i="3"/>
  <c r="P109" i="3"/>
  <c r="P110" i="3"/>
  <c r="N108" i="3"/>
  <c r="L108" i="3"/>
  <c r="N111" i="3"/>
  <c r="M101" i="3"/>
  <c r="P104" i="3"/>
  <c r="L101" i="3"/>
  <c r="N101" i="3"/>
  <c r="L104" i="3"/>
  <c r="P101" i="3"/>
  <c r="L102" i="3"/>
  <c r="M102" i="3"/>
  <c r="P102" i="3"/>
  <c r="N102" i="3"/>
  <c r="M141" i="3"/>
  <c r="O128" i="3"/>
  <c r="O111" i="3"/>
  <c r="P141" i="3"/>
  <c r="L141" i="3"/>
  <c r="M79" i="3"/>
  <c r="N141" i="3"/>
  <c r="N175" i="3"/>
  <c r="M175" i="3"/>
  <c r="O175" i="3"/>
  <c r="L175" i="3"/>
  <c r="O121" i="3"/>
  <c r="Q74" i="4"/>
  <c r="M128" i="3"/>
  <c r="O90" i="3"/>
  <c r="N90" i="3"/>
  <c r="O89" i="3"/>
  <c r="N89" i="3"/>
  <c r="P93" i="3"/>
  <c r="H47" i="4" s="1"/>
  <c r="N93" i="3"/>
  <c r="AK11" i="7"/>
  <c r="AK13" i="7"/>
  <c r="O92" i="3"/>
  <c r="N92" i="3"/>
  <c r="O88" i="3"/>
  <c r="N88" i="3"/>
  <c r="M88" i="3"/>
  <c r="L88" i="3"/>
  <c r="P88" i="3"/>
  <c r="H42" i="4" s="1"/>
  <c r="M95" i="3"/>
  <c r="P95" i="3"/>
  <c r="H49" i="4" s="1"/>
  <c r="O95" i="3"/>
  <c r="N95" i="3"/>
  <c r="L92" i="3"/>
  <c r="P92" i="3"/>
  <c r="H46" i="4" s="1"/>
  <c r="M92" i="3"/>
  <c r="P158" i="3"/>
  <c r="H98" i="4" s="1"/>
  <c r="W9" i="17"/>
  <c r="O99" i="4" s="1"/>
  <c r="P99" i="4" s="1"/>
  <c r="Q99" i="4"/>
  <c r="W8" i="17"/>
  <c r="N164" i="3"/>
  <c r="L164" i="3"/>
  <c r="O164" i="3"/>
  <c r="O160" i="3"/>
  <c r="N160" i="3"/>
  <c r="M160" i="3"/>
  <c r="P164" i="3"/>
  <c r="O91" i="4"/>
  <c r="P91" i="4" s="1"/>
  <c r="O90" i="4"/>
  <c r="P90" i="4" s="1"/>
  <c r="N153" i="3"/>
  <c r="L153" i="3"/>
  <c r="N148" i="3"/>
  <c r="P145" i="3"/>
  <c r="P139" i="3"/>
  <c r="AE9" i="15"/>
  <c r="AF9" i="15" s="1"/>
  <c r="S82" i="4"/>
  <c r="AE14" i="15"/>
  <c r="AF14" i="15" s="1"/>
  <c r="AE15" i="15"/>
  <c r="AF15" i="15" s="1"/>
  <c r="AE10" i="15"/>
  <c r="AF10" i="15" s="1"/>
  <c r="AE13" i="15"/>
  <c r="AF13" i="15" s="1"/>
  <c r="M133" i="3"/>
  <c r="O133" i="3"/>
  <c r="M132" i="3"/>
  <c r="N132" i="3"/>
  <c r="P134" i="3"/>
  <c r="O134" i="3"/>
  <c r="N134" i="3"/>
  <c r="M134" i="3"/>
  <c r="N98" i="3"/>
  <c r="P70" i="3"/>
  <c r="H28" i="4" s="1"/>
  <c r="N74" i="3"/>
  <c r="AO8" i="7"/>
  <c r="B18" i="4" s="1"/>
  <c r="L18" i="4" s="1"/>
  <c r="O53" i="3"/>
  <c r="P114" i="3"/>
  <c r="N114" i="3"/>
  <c r="M114" i="3"/>
  <c r="O114" i="3"/>
  <c r="L114" i="3"/>
  <c r="P112" i="3"/>
  <c r="L111" i="3"/>
  <c r="O104" i="3"/>
  <c r="M104" i="3"/>
  <c r="N105" i="3"/>
  <c r="O74" i="3"/>
  <c r="P53" i="3"/>
  <c r="H15" i="4" s="1"/>
  <c r="M105" i="3"/>
  <c r="L105" i="3"/>
  <c r="P105" i="3"/>
  <c r="H57" i="4" s="1"/>
  <c r="L98" i="3"/>
  <c r="M98" i="3"/>
  <c r="P98" i="3"/>
  <c r="H50" i="4" s="1"/>
  <c r="O17" i="4"/>
  <c r="P17" i="4" s="1"/>
  <c r="P150" i="3"/>
  <c r="O153" i="3"/>
  <c r="M153" i="3"/>
  <c r="P123" i="3"/>
  <c r="H71" i="4" s="1"/>
  <c r="O123" i="3"/>
  <c r="P94" i="3"/>
  <c r="H48" i="4" s="1"/>
  <c r="AE12" i="15"/>
  <c r="AF12" i="15" s="1"/>
  <c r="O150" i="3"/>
  <c r="M150" i="3"/>
  <c r="N150" i="3"/>
  <c r="N110" i="3"/>
  <c r="M110" i="3"/>
  <c r="O110" i="3"/>
  <c r="M152" i="3"/>
  <c r="O152" i="3"/>
  <c r="O148" i="3"/>
  <c r="M148" i="3"/>
  <c r="V8" i="5"/>
  <c r="Q13" i="4"/>
  <c r="Q12" i="4"/>
  <c r="Q11" i="4"/>
  <c r="P51" i="3"/>
  <c r="H13" i="4" s="1"/>
  <c r="N45" i="3"/>
  <c r="O7" i="4"/>
  <c r="P7" i="4" s="1"/>
  <c r="AO13" i="7"/>
  <c r="B23" i="4" s="1"/>
  <c r="R23" i="4" s="1"/>
  <c r="AO10" i="7"/>
  <c r="B20" i="4" s="1"/>
  <c r="R20" i="4" s="1"/>
  <c r="AO11" i="7"/>
  <c r="B21" i="4" s="1"/>
  <c r="Q25" i="4"/>
  <c r="Q24" i="4"/>
  <c r="O4" i="4"/>
  <c r="P4" i="4" s="1"/>
  <c r="P54" i="3"/>
  <c r="H16" i="4" s="1"/>
  <c r="O51" i="3"/>
  <c r="N52" i="3"/>
  <c r="N51" i="3"/>
  <c r="O54" i="3"/>
  <c r="L39" i="3"/>
  <c r="P45" i="3"/>
  <c r="H9" i="4" s="1"/>
  <c r="O39" i="3"/>
  <c r="N39" i="3"/>
  <c r="O45" i="3"/>
  <c r="O12" i="4"/>
  <c r="P12" i="4" s="1"/>
  <c r="O11" i="4"/>
  <c r="P11" i="4" s="1"/>
  <c r="O13" i="4"/>
  <c r="P13" i="4" s="1"/>
  <c r="L52" i="3"/>
  <c r="P52" i="3"/>
  <c r="H14" i="4" s="1"/>
  <c r="O49" i="3"/>
  <c r="N49" i="3"/>
  <c r="O38" i="3"/>
  <c r="P42" i="3"/>
  <c r="H6" i="4" s="1"/>
  <c r="N42" i="3"/>
  <c r="N41" i="3"/>
  <c r="P41" i="3"/>
  <c r="H5" i="4" s="1"/>
  <c r="O41" i="3"/>
  <c r="O42" i="3"/>
  <c r="O5" i="4"/>
  <c r="P5" i="4" s="1"/>
  <c r="O44" i="3"/>
  <c r="P44" i="3"/>
  <c r="H8" i="4" s="1"/>
  <c r="N44" i="3"/>
  <c r="N159" i="3"/>
  <c r="M159" i="3"/>
  <c r="O165" i="3"/>
  <c r="M165" i="3"/>
  <c r="P165" i="3"/>
  <c r="L165" i="3"/>
  <c r="O159" i="3"/>
  <c r="L94" i="3"/>
  <c r="N79" i="3"/>
  <c r="R82" i="4"/>
  <c r="M139" i="3"/>
  <c r="L162" i="3"/>
  <c r="M162" i="3"/>
  <c r="N162" i="3"/>
  <c r="O162" i="3"/>
  <c r="P162" i="3"/>
  <c r="N165" i="3"/>
  <c r="P79" i="3"/>
  <c r="H35" i="4" s="1"/>
  <c r="L79" i="3"/>
  <c r="I82" i="4"/>
  <c r="L139" i="3"/>
  <c r="AE8" i="15"/>
  <c r="AE11" i="15"/>
  <c r="AF11" i="15" s="1"/>
  <c r="M65" i="3"/>
  <c r="P65" i="3"/>
  <c r="H25" i="4" s="1"/>
  <c r="N65" i="3"/>
  <c r="N82" i="4"/>
  <c r="O139" i="3"/>
  <c r="P38" i="3"/>
  <c r="H2" i="4" s="1"/>
  <c r="N38" i="3"/>
  <c r="P118" i="3"/>
  <c r="H66" i="4" s="1"/>
  <c r="N118" i="3"/>
  <c r="O118" i="3"/>
  <c r="O48" i="3"/>
  <c r="P48" i="3"/>
  <c r="H10" i="4" s="1"/>
  <c r="N48" i="3"/>
  <c r="L155" i="3"/>
  <c r="M155" i="3"/>
  <c r="P155" i="3"/>
  <c r="O155" i="3"/>
  <c r="N155" i="3"/>
  <c r="P40" i="3"/>
  <c r="H4" i="4" s="1"/>
  <c r="O40" i="3"/>
  <c r="N40" i="3"/>
  <c r="L74" i="3"/>
  <c r="M74" i="3"/>
  <c r="M75" i="3"/>
  <c r="O75" i="3"/>
  <c r="P75" i="3"/>
  <c r="H33" i="4" s="1"/>
  <c r="L70" i="3"/>
  <c r="M70" i="3"/>
  <c r="L75" i="3"/>
  <c r="O70" i="3"/>
  <c r="M82" i="4"/>
  <c r="M145" i="3"/>
  <c r="O145" i="3"/>
  <c r="L82" i="4"/>
  <c r="AD82" i="4"/>
  <c r="O82" i="4"/>
  <c r="P82" i="4" s="1"/>
  <c r="J82" i="4"/>
  <c r="C82" i="4"/>
  <c r="A82" i="4"/>
  <c r="G82" i="4"/>
  <c r="F82" i="4"/>
  <c r="P140" i="3"/>
  <c r="N140" i="3"/>
  <c r="O140" i="3"/>
  <c r="L140" i="3"/>
  <c r="M140" i="3"/>
  <c r="K138" i="3"/>
  <c r="M138" i="3" s="1"/>
  <c r="E82" i="4"/>
  <c r="K82" i="4"/>
  <c r="L142" i="3"/>
  <c r="M142" i="3"/>
  <c r="O142" i="3"/>
  <c r="M144" i="3"/>
  <c r="N144" i="3"/>
  <c r="P144" i="3"/>
  <c r="L144" i="3"/>
  <c r="O144" i="3"/>
  <c r="P142" i="3"/>
  <c r="P121" i="3"/>
  <c r="H69" i="4" s="1"/>
  <c r="L121" i="3"/>
  <c r="M121" i="3"/>
  <c r="O119" i="3"/>
  <c r="N119" i="3"/>
  <c r="P119" i="3"/>
  <c r="H67" i="4" s="1"/>
  <c r="M72" i="3"/>
  <c r="L68" i="3"/>
  <c r="N71" i="3"/>
  <c r="L83" i="3"/>
  <c r="N83" i="3"/>
  <c r="O93" i="3"/>
  <c r="N94" i="3"/>
  <c r="O94" i="3"/>
  <c r="O81" i="3"/>
  <c r="L81" i="3"/>
  <c r="P71" i="3"/>
  <c r="H29" i="4" s="1"/>
  <c r="L71" i="3"/>
  <c r="M71" i="3"/>
  <c r="O72" i="3"/>
  <c r="L72" i="3"/>
  <c r="P72" i="3"/>
  <c r="H30" i="4" s="1"/>
  <c r="M69" i="3"/>
  <c r="P69" i="3"/>
  <c r="H27" i="4" s="1"/>
  <c r="N69" i="3"/>
  <c r="L69" i="3"/>
  <c r="O69" i="3"/>
  <c r="M73" i="3"/>
  <c r="L73" i="3"/>
  <c r="P73" i="3"/>
  <c r="H31" i="4" s="1"/>
  <c r="N73" i="3"/>
  <c r="O73" i="3"/>
  <c r="P68" i="3"/>
  <c r="H26" i="4" s="1"/>
  <c r="N68" i="3"/>
  <c r="O68" i="3"/>
  <c r="L90" i="3"/>
  <c r="M90" i="3"/>
  <c r="P90" i="3"/>
  <c r="H44" i="4" s="1"/>
  <c r="P89" i="3"/>
  <c r="H43" i="4" s="1"/>
  <c r="M89" i="3"/>
  <c r="L89" i="3"/>
  <c r="L91" i="3"/>
  <c r="M91" i="3"/>
  <c r="O91" i="3"/>
  <c r="P91" i="3"/>
  <c r="H45" i="4" s="1"/>
  <c r="M93" i="3"/>
  <c r="L93" i="3"/>
  <c r="M83" i="3"/>
  <c r="P83" i="3"/>
  <c r="H39" i="4" s="1"/>
  <c r="O82" i="3"/>
  <c r="L82" i="3"/>
  <c r="L78" i="3"/>
  <c r="O78" i="3"/>
  <c r="N82" i="3"/>
  <c r="P82" i="3"/>
  <c r="H38" i="4" s="1"/>
  <c r="P84" i="3"/>
  <c r="H40" i="4" s="1"/>
  <c r="L84" i="3"/>
  <c r="O84" i="3"/>
  <c r="M84" i="3"/>
  <c r="N84" i="3"/>
  <c r="M81" i="3"/>
  <c r="N81" i="3"/>
  <c r="M78" i="3"/>
  <c r="N78" i="3"/>
  <c r="M80" i="3"/>
  <c r="P80" i="3"/>
  <c r="H36" i="4" s="1"/>
  <c r="O80" i="3"/>
  <c r="N80" i="3"/>
  <c r="L80" i="3"/>
  <c r="L169" i="3"/>
  <c r="N169" i="3"/>
  <c r="P169" i="3"/>
  <c r="H107" i="4" s="1"/>
  <c r="O169" i="3"/>
  <c r="M169" i="3"/>
  <c r="N173" i="3"/>
  <c r="O173" i="3"/>
  <c r="M173" i="3"/>
  <c r="P173" i="3"/>
  <c r="L173" i="3"/>
  <c r="M115" i="3"/>
  <c r="O115" i="3"/>
  <c r="L115" i="3"/>
  <c r="P115" i="3"/>
  <c r="H65" i="4" s="1"/>
  <c r="N115" i="3"/>
  <c r="O154" i="3"/>
  <c r="P154" i="3"/>
  <c r="L154" i="3"/>
  <c r="M154" i="3"/>
  <c r="N154" i="3"/>
  <c r="M171" i="3"/>
  <c r="O171" i="3"/>
  <c r="N171" i="3"/>
  <c r="P171" i="3"/>
  <c r="L171" i="3"/>
  <c r="P85" i="3"/>
  <c r="H41" i="4" s="1"/>
  <c r="O85" i="3"/>
  <c r="L85" i="3"/>
  <c r="M85" i="3"/>
  <c r="N85" i="3"/>
  <c r="O6" i="4"/>
  <c r="P6" i="4" s="1"/>
  <c r="N50" i="3"/>
  <c r="O50" i="3"/>
  <c r="P50" i="3"/>
  <c r="H12" i="4" s="1"/>
  <c r="O55" i="3"/>
  <c r="L55" i="3"/>
  <c r="N55" i="3"/>
  <c r="M55" i="3"/>
  <c r="P55" i="3"/>
  <c r="H17" i="4" s="1"/>
  <c r="O120" i="3"/>
  <c r="N120" i="3"/>
  <c r="P120" i="3"/>
  <c r="H68" i="4" s="1"/>
  <c r="P103" i="3"/>
  <c r="N103" i="3"/>
  <c r="M103" i="3"/>
  <c r="L103" i="3"/>
  <c r="P43" i="3"/>
  <c r="H7" i="4" s="1"/>
  <c r="N43" i="3"/>
  <c r="O43" i="3"/>
  <c r="N64" i="3"/>
  <c r="M64" i="3"/>
  <c r="P64" i="3"/>
  <c r="H24" i="4" s="1"/>
  <c r="O64" i="3"/>
  <c r="L64" i="3"/>
  <c r="L143" i="3"/>
  <c r="O143" i="3"/>
  <c r="N143" i="3"/>
  <c r="M143" i="3"/>
  <c r="P143" i="3"/>
  <c r="M135" i="3"/>
  <c r="P135" i="3"/>
  <c r="O135" i="3"/>
  <c r="N135" i="3"/>
  <c r="L135" i="3"/>
  <c r="N100" i="3"/>
  <c r="M100" i="3"/>
  <c r="L100" i="3"/>
  <c r="P100" i="3"/>
  <c r="H52" i="4" s="1"/>
  <c r="O168" i="3"/>
  <c r="N168" i="3"/>
  <c r="P168" i="3"/>
  <c r="H106" i="4" s="1"/>
  <c r="L168" i="3"/>
  <c r="M168" i="3"/>
  <c r="O124" i="3"/>
  <c r="L124" i="3"/>
  <c r="N124" i="3"/>
  <c r="P124" i="3"/>
  <c r="H72" i="4" s="1"/>
  <c r="M124" i="3"/>
  <c r="O149" i="3"/>
  <c r="L149" i="3"/>
  <c r="N149" i="3"/>
  <c r="P149" i="3"/>
  <c r="H91" i="4" s="1"/>
  <c r="O170" i="3"/>
  <c r="N170" i="3"/>
  <c r="M170" i="3"/>
  <c r="L170" i="3"/>
  <c r="P170" i="3"/>
  <c r="H108" i="4" s="1"/>
  <c r="O122" i="3"/>
  <c r="P122" i="3"/>
  <c r="H70" i="4" s="1"/>
  <c r="N122" i="3"/>
  <c r="M122" i="3"/>
  <c r="L122" i="3"/>
  <c r="Q90" i="4" l="1"/>
  <c r="AB8" i="16"/>
  <c r="Q91" i="4"/>
  <c r="AB9" i="16"/>
  <c r="Q14" i="4"/>
  <c r="P12" i="6"/>
  <c r="Q12" i="6"/>
  <c r="Q7" i="4"/>
  <c r="V13" i="5"/>
  <c r="Q3" i="4"/>
  <c r="V9" i="5"/>
  <c r="Q6" i="4"/>
  <c r="V12" i="5"/>
  <c r="Q4" i="4"/>
  <c r="V10" i="5"/>
  <c r="Q5" i="4"/>
  <c r="V11" i="5"/>
  <c r="AH10" i="13"/>
  <c r="AH8" i="13"/>
  <c r="Q66" i="4"/>
  <c r="M118" i="3"/>
  <c r="Q68" i="4"/>
  <c r="M120" i="3"/>
  <c r="AH9" i="13"/>
  <c r="Q75" i="4"/>
  <c r="O14" i="4"/>
  <c r="P14" i="4" s="1"/>
  <c r="N14" i="6" a="1"/>
  <c r="N14" i="6" s="1"/>
  <c r="O10" i="4"/>
  <c r="P10" i="4" s="1"/>
  <c r="Q10" i="4"/>
  <c r="Q2" i="4"/>
  <c r="N15" i="5" a="1"/>
  <c r="N15" i="5" s="1"/>
  <c r="O2" i="4"/>
  <c r="P2" i="4" s="1"/>
  <c r="N14" i="5" a="1"/>
  <c r="N14" i="5" s="1"/>
  <c r="O136" i="3"/>
  <c r="F28" i="3" s="1"/>
  <c r="L159" i="3"/>
  <c r="L128" i="3"/>
  <c r="O74" i="4"/>
  <c r="P74" i="4" s="1"/>
  <c r="M38" i="3"/>
  <c r="M158" i="3"/>
  <c r="M166" i="3" s="1"/>
  <c r="E31" i="3" s="1"/>
  <c r="Q98" i="4"/>
  <c r="L158" i="3"/>
  <c r="O98" i="4"/>
  <c r="P98" i="4" s="1"/>
  <c r="O166" i="3"/>
  <c r="F31" i="3" s="1"/>
  <c r="L148" i="3"/>
  <c r="L156" i="3" s="1"/>
  <c r="D30" i="3" s="1"/>
  <c r="M149" i="3"/>
  <c r="M156" i="3" s="1"/>
  <c r="E30" i="3" s="1"/>
  <c r="N136" i="3"/>
  <c r="C28" i="3" s="1"/>
  <c r="M136" i="3"/>
  <c r="E28" i="3" s="1"/>
  <c r="M106" i="3"/>
  <c r="E25" i="3" s="1"/>
  <c r="L116" i="3"/>
  <c r="D26" i="3" s="1"/>
  <c r="O116" i="3"/>
  <c r="F26" i="3" s="1"/>
  <c r="N116" i="3"/>
  <c r="C26" i="3" s="1"/>
  <c r="M116" i="3"/>
  <c r="E26" i="3" s="1"/>
  <c r="O138" i="3"/>
  <c r="O146" i="3" s="1"/>
  <c r="F29" i="3" s="1"/>
  <c r="N106" i="3"/>
  <c r="C25" i="3" s="1"/>
  <c r="L106" i="3"/>
  <c r="D25" i="3" s="1"/>
  <c r="L138" i="3"/>
  <c r="L146" i="3" s="1"/>
  <c r="D29" i="3" s="1"/>
  <c r="C23" i="4"/>
  <c r="E23" i="4"/>
  <c r="V23" i="4"/>
  <c r="I23" i="4"/>
  <c r="Q23" i="4"/>
  <c r="F23" i="4"/>
  <c r="M23" i="4"/>
  <c r="K23" i="4"/>
  <c r="L23" i="4"/>
  <c r="O23" i="4"/>
  <c r="P23" i="4" s="1"/>
  <c r="G23" i="4"/>
  <c r="S23" i="4"/>
  <c r="W23" i="4"/>
  <c r="AO12" i="7"/>
  <c r="B22" i="4" s="1"/>
  <c r="L22" i="4" s="1"/>
  <c r="J20" i="4"/>
  <c r="N23" i="4"/>
  <c r="K63" i="3"/>
  <c r="N63" i="3" s="1"/>
  <c r="D23" i="4"/>
  <c r="M50" i="3"/>
  <c r="M52" i="3"/>
  <c r="M54" i="3"/>
  <c r="Q15" i="4"/>
  <c r="M53" i="3"/>
  <c r="M51" i="3"/>
  <c r="M49" i="3"/>
  <c r="L51" i="3"/>
  <c r="L54" i="3"/>
  <c r="O15" i="4"/>
  <c r="P15" i="4" s="1"/>
  <c r="L53" i="3"/>
  <c r="L50" i="3"/>
  <c r="L49" i="3"/>
  <c r="L43" i="3"/>
  <c r="M41" i="3"/>
  <c r="L41" i="3"/>
  <c r="M43" i="3"/>
  <c r="M42" i="3"/>
  <c r="L42" i="3"/>
  <c r="L40" i="3"/>
  <c r="O18" i="4"/>
  <c r="P18" i="4" s="1"/>
  <c r="A23" i="4"/>
  <c r="J23" i="4"/>
  <c r="S20" i="4"/>
  <c r="L20" i="4"/>
  <c r="W20" i="4"/>
  <c r="M20" i="4"/>
  <c r="E20" i="4"/>
  <c r="D20" i="4"/>
  <c r="I20" i="4"/>
  <c r="K20" i="4"/>
  <c r="V20" i="4"/>
  <c r="O20" i="4"/>
  <c r="P20" i="4" s="1"/>
  <c r="K60" i="3"/>
  <c r="M60" i="3" s="1"/>
  <c r="F20" i="4"/>
  <c r="N20" i="4"/>
  <c r="G20" i="4"/>
  <c r="A20" i="4"/>
  <c r="C20" i="4"/>
  <c r="A21" i="4"/>
  <c r="F21" i="4"/>
  <c r="L21" i="4"/>
  <c r="I21" i="4"/>
  <c r="G21" i="4"/>
  <c r="C21" i="4"/>
  <c r="K21" i="4"/>
  <c r="R21" i="4"/>
  <c r="V21" i="4"/>
  <c r="J21" i="4"/>
  <c r="E21" i="4"/>
  <c r="S21" i="4"/>
  <c r="N21" i="4"/>
  <c r="D21" i="4"/>
  <c r="M21" i="4"/>
  <c r="K61" i="3"/>
  <c r="W21" i="4"/>
  <c r="AO9" i="7"/>
  <c r="B19" i="4" s="1"/>
  <c r="O19" i="4" s="1"/>
  <c r="P19" i="4" s="1"/>
  <c r="W18" i="4"/>
  <c r="N18" i="4"/>
  <c r="Q18" i="4"/>
  <c r="C18" i="4"/>
  <c r="I18" i="4"/>
  <c r="K58" i="3"/>
  <c r="N58" i="3" s="1"/>
  <c r="S18" i="4"/>
  <c r="M18" i="4"/>
  <c r="E18" i="4"/>
  <c r="V18" i="4"/>
  <c r="K18" i="4"/>
  <c r="A18" i="4"/>
  <c r="D18" i="4"/>
  <c r="J18" i="4"/>
  <c r="F18" i="4"/>
  <c r="G18" i="4"/>
  <c r="R18" i="4"/>
  <c r="Q20" i="4"/>
  <c r="Q21" i="4"/>
  <c r="O21" i="4"/>
  <c r="P21" i="4" s="1"/>
  <c r="L65" i="3"/>
  <c r="O25" i="4"/>
  <c r="P25" i="4" s="1"/>
  <c r="O3" i="4"/>
  <c r="P3" i="4" s="1"/>
  <c r="M40" i="3"/>
  <c r="M48" i="3"/>
  <c r="L48" i="3"/>
  <c r="M39" i="3"/>
  <c r="L38" i="3"/>
  <c r="O46" i="3"/>
  <c r="F19" i="3" s="1"/>
  <c r="N46" i="3"/>
  <c r="C19" i="3" s="1"/>
  <c r="N166" i="3"/>
  <c r="C31" i="3" s="1"/>
  <c r="Q82" i="4"/>
  <c r="N138" i="3"/>
  <c r="N146" i="3" s="1"/>
  <c r="C29" i="3" s="1"/>
  <c r="P138" i="3"/>
  <c r="H82" i="4" s="1"/>
  <c r="M146" i="3"/>
  <c r="E29" i="3" s="1"/>
  <c r="L118" i="3"/>
  <c r="O66" i="4"/>
  <c r="P66" i="4" s="1"/>
  <c r="O156" i="3"/>
  <c r="F30" i="3" s="1"/>
  <c r="N56" i="3"/>
  <c r="C20" i="3" s="1"/>
  <c r="N156" i="3"/>
  <c r="C30" i="3" s="1"/>
  <c r="O96" i="3"/>
  <c r="F24" i="3" s="1"/>
  <c r="L76" i="3"/>
  <c r="D22" i="3" s="1"/>
  <c r="N76" i="3"/>
  <c r="C22" i="3" s="1"/>
  <c r="M76" i="3"/>
  <c r="E22" i="3" s="1"/>
  <c r="O76" i="3"/>
  <c r="F22" i="3" s="1"/>
  <c r="L96" i="3"/>
  <c r="D24" i="3" s="1"/>
  <c r="N96" i="3"/>
  <c r="C24" i="3" s="1"/>
  <c r="O106" i="3"/>
  <c r="F25" i="3" s="1"/>
  <c r="M96" i="3"/>
  <c r="E24" i="3" s="1"/>
  <c r="L86" i="3"/>
  <c r="D23" i="3" s="1"/>
  <c r="N86" i="3"/>
  <c r="C23" i="3" s="1"/>
  <c r="M86" i="3"/>
  <c r="E23" i="3" s="1"/>
  <c r="O86" i="3"/>
  <c r="F23" i="3" s="1"/>
  <c r="L176" i="3"/>
  <c r="D33" i="3" s="1"/>
  <c r="N176" i="3"/>
  <c r="C33" i="3" s="1"/>
  <c r="N126" i="3"/>
  <c r="C27" i="3" s="1"/>
  <c r="M176" i="3"/>
  <c r="E33" i="3" s="1"/>
  <c r="O176" i="3"/>
  <c r="F33" i="3" s="1"/>
  <c r="O126" i="3"/>
  <c r="F27" i="3" s="1"/>
  <c r="O56" i="3"/>
  <c r="F20" i="3" s="1"/>
  <c r="AH14" i="13" l="1"/>
  <c r="AH12" i="13"/>
  <c r="AH11" i="13"/>
  <c r="AH13" i="13"/>
  <c r="AH15" i="13"/>
  <c r="P14" i="6"/>
  <c r="Q14" i="6"/>
  <c r="O75" i="4"/>
  <c r="P75" i="4" s="1"/>
  <c r="L129" i="3"/>
  <c r="L136" i="3" s="1"/>
  <c r="D28" i="3" s="1"/>
  <c r="Q67" i="4"/>
  <c r="M119" i="3"/>
  <c r="M126" i="3" s="1"/>
  <c r="E27" i="3" s="1"/>
  <c r="O68" i="4"/>
  <c r="P68" i="4" s="1"/>
  <c r="L120" i="3"/>
  <c r="O16" i="4"/>
  <c r="P16" i="4" s="1"/>
  <c r="Q16" i="4"/>
  <c r="V14" i="5"/>
  <c r="V15" i="5"/>
  <c r="L166" i="3"/>
  <c r="D31" i="3" s="1"/>
  <c r="K62" i="3"/>
  <c r="L62" i="3" s="1"/>
  <c r="L60" i="3"/>
  <c r="O63" i="3"/>
  <c r="G22" i="4"/>
  <c r="S22" i="4"/>
  <c r="Q22" i="4"/>
  <c r="N22" i="4"/>
  <c r="V22" i="4"/>
  <c r="P63" i="3"/>
  <c r="H23" i="4" s="1"/>
  <c r="M63" i="3"/>
  <c r="M22" i="4"/>
  <c r="O22" i="4"/>
  <c r="P22" i="4" s="1"/>
  <c r="W22" i="4"/>
  <c r="R22" i="4"/>
  <c r="A22" i="4"/>
  <c r="K22" i="4"/>
  <c r="E22" i="4"/>
  <c r="F22" i="4"/>
  <c r="O60" i="3"/>
  <c r="L63" i="3"/>
  <c r="D22" i="4"/>
  <c r="C22" i="4"/>
  <c r="I22" i="4"/>
  <c r="J22" i="4"/>
  <c r="M56" i="3"/>
  <c r="E20" i="3" s="1"/>
  <c r="L56" i="3"/>
  <c r="D20" i="3" s="1"/>
  <c r="N60" i="3"/>
  <c r="P60" i="3"/>
  <c r="H20" i="4" s="1"/>
  <c r="N61" i="3"/>
  <c r="O61" i="3"/>
  <c r="P61" i="3"/>
  <c r="H21" i="4" s="1"/>
  <c r="M61" i="3"/>
  <c r="M58" i="3"/>
  <c r="M19" i="4"/>
  <c r="R19" i="4"/>
  <c r="I19" i="4"/>
  <c r="A19" i="4"/>
  <c r="W19" i="4"/>
  <c r="D19" i="4"/>
  <c r="F19" i="4"/>
  <c r="L19" i="4"/>
  <c r="Q19" i="4"/>
  <c r="J19" i="4"/>
  <c r="K59" i="3"/>
  <c r="N59" i="3" s="1"/>
  <c r="C19" i="4"/>
  <c r="S19" i="4"/>
  <c r="N19" i="4"/>
  <c r="E19" i="4"/>
  <c r="G19" i="4"/>
  <c r="K19" i="4"/>
  <c r="V19" i="4"/>
  <c r="L58" i="3"/>
  <c r="O58" i="3"/>
  <c r="P58" i="3"/>
  <c r="H18" i="4" s="1"/>
  <c r="L61" i="3"/>
  <c r="O67" i="4" l="1"/>
  <c r="P67" i="4" s="1"/>
  <c r="L119" i="3"/>
  <c r="L126" i="3" s="1"/>
  <c r="D27" i="3" s="1"/>
  <c r="Q9" i="4"/>
  <c r="M45" i="3"/>
  <c r="O9" i="4"/>
  <c r="P9" i="4" s="1"/>
  <c r="L45" i="3"/>
  <c r="L44" i="3"/>
  <c r="O8" i="4"/>
  <c r="P8" i="4" s="1"/>
  <c r="Q8" i="4"/>
  <c r="M44" i="3"/>
  <c r="P62" i="3"/>
  <c r="H22" i="4" s="1"/>
  <c r="O62" i="3"/>
  <c r="N62" i="3"/>
  <c r="N66" i="3" s="1"/>
  <c r="C21" i="3" s="1"/>
  <c r="M62" i="3"/>
  <c r="P59" i="3"/>
  <c r="H19" i="4" s="1"/>
  <c r="O59" i="3"/>
  <c r="M59" i="3"/>
  <c r="L59" i="3"/>
  <c r="L66" i="3" s="1"/>
  <c r="D21" i="3" s="1"/>
  <c r="M46" i="3" l="1"/>
  <c r="E19" i="3" s="1"/>
  <c r="L46" i="3"/>
  <c r="D19" i="3" s="1"/>
  <c r="C15" i="3" s="1"/>
  <c r="O66" i="3"/>
  <c r="F21" i="3" s="1"/>
  <c r="C16" i="3" s="1"/>
  <c r="M66" i="3"/>
  <c r="E21" i="3" s="1"/>
  <c r="C14"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C. Hall</author>
  </authors>
  <commentList>
    <comment ref="B12" authorId="0" shapeId="0" xr:uid="{00000000-0006-0000-0100-000001000000}">
      <text>
        <r>
          <rPr>
            <sz val="9"/>
            <color indexed="81"/>
            <rFont val="Tahoma"/>
            <family val="2"/>
          </rPr>
          <t xml:space="preserve">Leave blank if submitting this project for pre-approval.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James C. Hall</author>
  </authors>
  <commentList>
    <comment ref="K6" authorId="0" shapeId="0" xr:uid="{00000000-0006-0000-0400-000001000000}">
      <text>
        <r>
          <rPr>
            <sz val="9"/>
            <color indexed="81"/>
            <rFont val="Tahoma"/>
            <family val="2"/>
          </rPr>
          <t xml:space="preserve">For self contained ice machines the minimum ice production rate must be greater than or equal to 50lbs/day to qualify. For all other machine types, the minimum production rate is 200lbs/day.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James C. Hall</author>
  </authors>
  <commentList>
    <comment ref="G6" authorId="0" shapeId="0" xr:uid="{00000000-0006-0000-0900-000001000000}">
      <text>
        <r>
          <rPr>
            <b/>
            <sz val="9"/>
            <color indexed="81"/>
            <rFont val="Tahoma"/>
            <family val="2"/>
          </rPr>
          <t>Class A</t>
        </r>
        <r>
          <rPr>
            <sz val="9"/>
            <color indexed="81"/>
            <rFont val="Tahoma"/>
            <family val="2"/>
          </rPr>
          <t xml:space="preserve"> - refrigerated bottled or canned beverage vending machine that is fully cooled, and is not a combination vending machine.
</t>
        </r>
        <r>
          <rPr>
            <b/>
            <sz val="9"/>
            <color indexed="81"/>
            <rFont val="Tahoma"/>
            <family val="2"/>
          </rPr>
          <t>Class B</t>
        </r>
        <r>
          <rPr>
            <sz val="9"/>
            <color indexed="81"/>
            <rFont val="Tahoma"/>
            <family val="2"/>
          </rPr>
          <t xml:space="preserve"> - refrigerated bottled or canned beverage vending machine not considered to be Class A, and is not a combination vending machine.</t>
        </r>
      </text>
    </comment>
  </commentList>
</comments>
</file>

<file path=xl/sharedStrings.xml><?xml version="1.0" encoding="utf-8"?>
<sst xmlns="http://schemas.openxmlformats.org/spreadsheetml/2006/main" count="2181" uniqueCount="678">
  <si>
    <t>Engineering Log</t>
  </si>
  <si>
    <t>Version</t>
  </si>
  <si>
    <t>Date</t>
  </si>
  <si>
    <t>Engineer</t>
  </si>
  <si>
    <t>QC Engineer</t>
  </si>
  <si>
    <t>Notes</t>
  </si>
  <si>
    <t>3.3.1</t>
  </si>
  <si>
    <t>-</t>
  </si>
  <si>
    <t>Original Sodexo Version</t>
  </si>
  <si>
    <t>Andrew Gilmore</t>
  </si>
  <si>
    <t>Ryan Novosedliak</t>
  </si>
  <si>
    <t>Ice Machines - switched sizes on energy efficient batch types for p10-12 remote condensind ice machines (did not affect calcs, just to make table accurate)</t>
  </si>
  <si>
    <t>Fryers - Updated Energy efficient model Indle kw and EFF to match with 2019 mid atlantic TRM. Changed CF to 1, since no CF noted in 2019 midatlantic trm</t>
  </si>
  <si>
    <t>Griddles - Changed CF to 1, since no CF noted in 2019 midatlantic trm</t>
  </si>
  <si>
    <t>Hot Food Holding Cabinets - Changed CF to 1, since no CF noted in 2019 midatlantic trm</t>
  </si>
  <si>
    <t>Commercial refrigerator - changed values for efficient cases for PY9-PY12 to match those of PY8, since no updated values for efficient cases given in 2016 TRM</t>
  </si>
  <si>
    <t>Commercial freezer- changed values for efficient cases for PY9-PY12 to match those of PY8, since no updated values for efficient cases given in 2016 TRM</t>
  </si>
  <si>
    <t>Updated Data Export to function correctly</t>
  </si>
  <si>
    <t>Updated Eficient calculations for PY9-PY12 for refrigerators and freezers to match Energy Star Standards as noted by ADM.</t>
  </si>
  <si>
    <t>4.0</t>
  </si>
  <si>
    <t>Sarah Speck</t>
  </si>
  <si>
    <t>Added Pre-Rinse Sprayers to calculator</t>
  </si>
  <si>
    <t>Updated all existing measure to Phase IV TRM</t>
  </si>
  <si>
    <t>Updated ES Vending Machines to match ES current qualifications; not in Phase IV TRM</t>
  </si>
  <si>
    <t>Ashley Faircloth</t>
  </si>
  <si>
    <t>Updated all kW, kWh, and incentive to round appropriately. Loader mappings</t>
  </si>
  <si>
    <t>INSTRUCTIONS</t>
  </si>
  <si>
    <t xml:space="preserve">Worksheet Version  </t>
  </si>
  <si>
    <t>Energy Solutions for Business Program</t>
  </si>
  <si>
    <t xml:space="preserve">Food Service Incentive Program applicants must submit a completed, electronic copy of the Food Service Equipment Worksheet along with an online application.  The most up-to-date version of this calculator tool can be found on the Program website: www.energysavePA-business.com.
Use the calculator index to find the type of equipment being installed.  Click on the equipment type label to bring up the appropriate calculator worksheet.  The Project Summary tab displays the calculated incentive as well as the estimated annual energy and demand savings. Only new, ENERGY STAR®-certified equipment is eligible for incentives through the Food Services incentive program. 
For more information regarding the Food Service incentive program, we encourage you to please visit energysavePA-business.com.  If you have questions regarding this calculator, please call 
844-323-6399 or send us an email to energysavePA@franklinenergy.com. </t>
  </si>
  <si>
    <t>Calculator Key</t>
  </si>
  <si>
    <t>Yellow Cells</t>
  </si>
  <si>
    <t>This is a read only or calculated field</t>
  </si>
  <si>
    <t>White Cells</t>
  </si>
  <si>
    <t>Equipment input fields</t>
  </si>
  <si>
    <t>Gray Cells</t>
  </si>
  <si>
    <t>Cell not applicable to the particular piece of proposed equipment</t>
  </si>
  <si>
    <t>Red Cells</t>
  </si>
  <si>
    <t>Indicates a required field was left blank or the proposed equipment does not qualify for incentives</t>
  </si>
  <si>
    <t>Calculator Tabs</t>
  </si>
  <si>
    <r>
      <rPr>
        <b/>
        <sz val="10"/>
        <color indexed="8"/>
        <rFont val="Calibri"/>
        <family val="2"/>
      </rPr>
      <t>Project Summary:</t>
    </r>
    <r>
      <rPr>
        <sz val="10"/>
        <color indexed="8"/>
        <rFont val="Calibri"/>
        <family val="2"/>
      </rPr>
      <t xml:space="preserve"> The Project Summary tab shows the estimated incentive, demand and energy savings.  Information such as the customer name, building name and the facility address should be entered on the Project Summary worksheet.  
Clicking on the title of each equipment type on the Project Summary tab will bring up the appropriate calculator worksheet.
Each type of Appliances and Electronics measure has its own calculation worksheet.  Complete one row for every unique project, and complete all white cells in each row to estimate the annual energy savings and incentive. 
The Project Summary tab shows the estimated incentive, demand and energy savings. </t>
    </r>
  </si>
  <si>
    <t>Project Estimated Summary</t>
  </si>
  <si>
    <t>Food Service Equipment Incentive Program</t>
  </si>
  <si>
    <t xml:space="preserve"> Customer Name   </t>
  </si>
  <si>
    <t xml:space="preserve"> Building Name   </t>
  </si>
  <si>
    <t xml:space="preserve"> Building Address   </t>
  </si>
  <si>
    <t xml:space="preserve"> Project ID</t>
  </si>
  <si>
    <t xml:space="preserve"> External ID</t>
  </si>
  <si>
    <t xml:space="preserve"> Invoice Date</t>
  </si>
  <si>
    <t xml:space="preserve"> Total Estimated Annual Energy Savings (kWh)   </t>
  </si>
  <si>
    <t xml:space="preserve"> Total Demand Reduction (kW)</t>
  </si>
  <si>
    <t xml:space="preserve"> Total Calculated Project Incentive</t>
  </si>
  <si>
    <r>
      <t xml:space="preserve">Equipment Type 
</t>
    </r>
    <r>
      <rPr>
        <b/>
        <sz val="7"/>
        <color indexed="9"/>
        <rFont val="Calibri"/>
        <family val="2"/>
      </rPr>
      <t>(click on titles below to jump to the associated calculator)</t>
    </r>
  </si>
  <si>
    <t>Quantity</t>
  </si>
  <si>
    <t>Demand Savings (kW)</t>
  </si>
  <si>
    <t>Energy Savings (kWh)</t>
  </si>
  <si>
    <t>Incentive</t>
  </si>
  <si>
    <t>Commercial Reach-in Refrigerators</t>
  </si>
  <si>
    <t>Commercial Reach-in Freezers</t>
  </si>
  <si>
    <t>Ice Machines</t>
  </si>
  <si>
    <t>Refrigerated Case Night Covers</t>
  </si>
  <si>
    <t>Strip Curtains for Walk-in Freezers &amp; Coolers</t>
  </si>
  <si>
    <t>Anti-Sweat Heater Controls</t>
  </si>
  <si>
    <t>Vending Machine Controls</t>
  </si>
  <si>
    <t>Vending Machines</t>
  </si>
  <si>
    <t>Combination Ovens</t>
  </si>
  <si>
    <t>Convection Ovens</t>
  </si>
  <si>
    <t>Steam Cookers</t>
  </si>
  <si>
    <t>Fryers</t>
  </si>
  <si>
    <t>Griddles</t>
  </si>
  <si>
    <t>Pre-Rinse Sprayers</t>
  </si>
  <si>
    <t>Hot Food Holding Cabinet</t>
  </si>
  <si>
    <t>Franklin Energy 844-323-6399 - energysavePA@franklinenergy.com</t>
  </si>
  <si>
    <t>Measure #</t>
  </si>
  <si>
    <t>Reporting Measure Name</t>
  </si>
  <si>
    <t>Total Incentive</t>
  </si>
  <si>
    <t>Retrofit ID</t>
  </si>
  <si>
    <t>Totals</t>
  </si>
  <si>
    <t>Measure ID</t>
  </si>
  <si>
    <t>Anti Sweat Heater Controls</t>
  </si>
  <si>
    <t>FEPA-58</t>
  </si>
  <si>
    <t>FEPA-61</t>
  </si>
  <si>
    <t>Commercial Reach In Freezers</t>
  </si>
  <si>
    <t>FEPA-52</t>
  </si>
  <si>
    <t>Commercial Reach In Refrigerators</t>
  </si>
  <si>
    <t>FEPA-51</t>
  </si>
  <si>
    <t>Convection Oven</t>
  </si>
  <si>
    <t>FEPA-62</t>
  </si>
  <si>
    <t>FEPA-67</t>
  </si>
  <si>
    <t>FEPA-68</t>
  </si>
  <si>
    <t>Hot Food Holding Cabinet - Full Size</t>
  </si>
  <si>
    <t>FEPA-71</t>
  </si>
  <si>
    <t>Hot Food Holding Cabinet - Half Size</t>
  </si>
  <si>
    <t>FEPA-69</t>
  </si>
  <si>
    <t>Hot Food Holding Cabinet - Three-Quarter Size</t>
  </si>
  <si>
    <t>FEPA-70</t>
  </si>
  <si>
    <t>Ice Machine &lt; 500lbs/day</t>
  </si>
  <si>
    <t>FEPA-53</t>
  </si>
  <si>
    <t>Ice Machines &gt; 1000 lbs/day</t>
  </si>
  <si>
    <t>FEPA-55</t>
  </si>
  <si>
    <t>Ice Machines 501 to 1000 lbs/day</t>
  </si>
  <si>
    <t>FEPA-54</t>
  </si>
  <si>
    <t>Refrigerated Case Covers</t>
  </si>
  <si>
    <t>FEPA-56</t>
  </si>
  <si>
    <t>Steam Cookers - 3 Pan</t>
  </si>
  <si>
    <t>FEPA-63</t>
  </si>
  <si>
    <t>Steam Cookers - 4 Pan</t>
  </si>
  <si>
    <t>FEPA-64</t>
  </si>
  <si>
    <t>Steam Cookers - 5 Pan</t>
  </si>
  <si>
    <t>FEPA-65</t>
  </si>
  <si>
    <t>Steam Cookers - 6 Pan</t>
  </si>
  <si>
    <t>FEPA-66</t>
  </si>
  <si>
    <t>Strip Curtains</t>
  </si>
  <si>
    <t>FEPA-57</t>
  </si>
  <si>
    <t>FEPA-59</t>
  </si>
  <si>
    <t>FEPA-60</t>
  </si>
  <si>
    <t>PA TRM 2021</t>
  </si>
  <si>
    <t>p 146</t>
  </si>
  <si>
    <t xml:space="preserve">   ENERGY STAR® Commercial Reach-In Refrigerators</t>
  </si>
  <si>
    <t>Return to Project Summary</t>
  </si>
  <si>
    <t>ENERGY STAR® refrigerators must be self-contained with vertical-closed transparent or solid doors.  Residential style refrigerators are not eligible for incentives under this measure, but may be eligible under the Appliances and Electronics program.  New installations and replacement projects are eligible under this measure.</t>
  </si>
  <si>
    <t xml:space="preserve">Line </t>
  </si>
  <si>
    <t>Measure</t>
  </si>
  <si>
    <t>Installation Type</t>
  </si>
  <si>
    <t>Replacement Type</t>
  </si>
  <si>
    <t>New Equipment Cost (excluding labor)</t>
  </si>
  <si>
    <t>New Equipment Manufacturer</t>
  </si>
  <si>
    <t>New Equipment Model Number</t>
  </si>
  <si>
    <t>Door Type</t>
  </si>
  <si>
    <r>
      <t>Refrigerator Volume Cubic Feet (ft</t>
    </r>
    <r>
      <rPr>
        <b/>
        <vertAlign val="superscript"/>
        <sz val="11"/>
        <color indexed="9"/>
        <rFont val="Calibri"/>
        <family val="2"/>
      </rPr>
      <t>3</t>
    </r>
    <r>
      <rPr>
        <b/>
        <sz val="11"/>
        <color indexed="9"/>
        <rFont val="Calibri"/>
        <family val="2"/>
      </rPr>
      <t>)</t>
    </r>
  </si>
  <si>
    <t>Volume Category</t>
  </si>
  <si>
    <r>
      <t>kWh</t>
    </r>
    <r>
      <rPr>
        <b/>
        <vertAlign val="subscript"/>
        <sz val="11"/>
        <color indexed="9"/>
        <rFont val="Calibri"/>
        <family val="2"/>
      </rPr>
      <t>base</t>
    </r>
    <r>
      <rPr>
        <b/>
        <sz val="11"/>
        <color indexed="9"/>
        <rFont val="Calibri"/>
        <family val="2"/>
      </rPr>
      <t>/day</t>
    </r>
  </si>
  <si>
    <r>
      <t>kWh</t>
    </r>
    <r>
      <rPr>
        <b/>
        <vertAlign val="subscript"/>
        <sz val="11"/>
        <color indexed="9"/>
        <rFont val="Calibri"/>
        <family val="2"/>
      </rPr>
      <t>ee</t>
    </r>
    <r>
      <rPr>
        <b/>
        <sz val="11"/>
        <color indexed="9"/>
        <rFont val="Calibri"/>
        <family val="2"/>
      </rPr>
      <t>/day</t>
    </r>
  </si>
  <si>
    <t>CF</t>
  </si>
  <si>
    <t>Total kW (non coincident)</t>
  </si>
  <si>
    <r>
      <t>Total Demand Reductions (kW</t>
    </r>
    <r>
      <rPr>
        <b/>
        <sz val="11"/>
        <color indexed="9"/>
        <rFont val="Calibri"/>
        <family val="2"/>
      </rPr>
      <t>)</t>
    </r>
  </si>
  <si>
    <t>Total Energy Savings (kWh)</t>
  </si>
  <si>
    <t>Uncapped Incentive</t>
  </si>
  <si>
    <t>Navigator Measure</t>
  </si>
  <si>
    <t>Does this measure qualify for a rebate?</t>
  </si>
  <si>
    <t>Key</t>
  </si>
  <si>
    <t>Install</t>
  </si>
  <si>
    <t>ReplType</t>
  </si>
  <si>
    <t>MeasureCost</t>
  </si>
  <si>
    <t>Manufacturer</t>
  </si>
  <si>
    <t>Model</t>
  </si>
  <si>
    <t>Door</t>
  </si>
  <si>
    <t>Vol</t>
  </si>
  <si>
    <t>NcpkW</t>
  </si>
  <si>
    <t>CoinckW</t>
  </si>
  <si>
    <t>kWh</t>
  </si>
  <si>
    <t>CapIncentive</t>
  </si>
  <si>
    <t>UncapIncentive</t>
  </si>
  <si>
    <t>ExternalID</t>
  </si>
  <si>
    <t>MeasureQualifies</t>
  </si>
  <si>
    <t>Commercial Refrigerator</t>
  </si>
  <si>
    <t>CI-CO-PR-IT-RE-000001-01-FEPA-CI</t>
  </si>
  <si>
    <t xml:space="preserve">Lookup Tables </t>
  </si>
  <si>
    <t>Base (PY8)</t>
  </si>
  <si>
    <t>Efficient</t>
  </si>
  <si>
    <t>Cabinet Type</t>
  </si>
  <si>
    <t>Volume 
Category</t>
  </si>
  <si>
    <r>
      <t>kWh</t>
    </r>
    <r>
      <rPr>
        <b/>
        <vertAlign val="subscript"/>
        <sz val="11"/>
        <color indexed="8"/>
        <rFont val="Calibri"/>
        <family val="2"/>
      </rPr>
      <t>base</t>
    </r>
    <r>
      <rPr>
        <b/>
        <sz val="11"/>
        <color indexed="8"/>
        <rFont val="Calibri"/>
        <family val="2"/>
      </rPr>
      <t>/day</t>
    </r>
  </si>
  <si>
    <r>
      <t>kWh</t>
    </r>
    <r>
      <rPr>
        <b/>
        <vertAlign val="subscript"/>
        <sz val="11"/>
        <color indexed="8"/>
        <rFont val="Calibri"/>
        <family val="2"/>
      </rPr>
      <t>ee</t>
    </r>
    <r>
      <rPr>
        <b/>
        <sz val="11"/>
        <color indexed="8"/>
        <rFont val="Calibri"/>
        <family val="2"/>
      </rPr>
      <t>/day</t>
    </r>
  </si>
  <si>
    <t>Early Replacement</t>
  </si>
  <si>
    <t>Solid Door</t>
  </si>
  <si>
    <t>0 &lt; V &lt; 15</t>
  </si>
  <si>
    <t>0.10*V + 2.04</t>
  </si>
  <si>
    <t>0.089*V + 1.411</t>
  </si>
  <si>
    <t>New Installation</t>
  </si>
  <si>
    <t>New Equipment</t>
  </si>
  <si>
    <r>
      <t xml:space="preserve">15 </t>
    </r>
    <r>
      <rPr>
        <sz val="11"/>
        <color indexed="8"/>
        <rFont val="Calibri"/>
        <family val="2"/>
      </rPr>
      <t>≤ V &lt; 30</t>
    </r>
  </si>
  <si>
    <t>0.037*V + 2.200</t>
  </si>
  <si>
    <r>
      <t xml:space="preserve">30 </t>
    </r>
    <r>
      <rPr>
        <sz val="11"/>
        <color indexed="8"/>
        <rFont val="Calibri"/>
        <family val="2"/>
      </rPr>
      <t>≤ V &lt; 50</t>
    </r>
  </si>
  <si>
    <t>0.056*V + 1.635</t>
  </si>
  <si>
    <t>Days per year</t>
  </si>
  <si>
    <t>50 ≤ V</t>
  </si>
  <si>
    <t>0.060*V + 1.416</t>
  </si>
  <si>
    <t>Glass Door</t>
  </si>
  <si>
    <t>0.12*V + 3.34</t>
  </si>
  <si>
    <t>0.118*V + 1.382</t>
  </si>
  <si>
    <t>0.140*V + 1.050</t>
  </si>
  <si>
    <t>Refrigerator Incentive</t>
  </si>
  <si>
    <t>0.088*V + 2.625</t>
  </si>
  <si>
    <t>Per Refrigerator</t>
  </si>
  <si>
    <t>0.110*V + 1.500</t>
  </si>
  <si>
    <t>Measure Life (years)</t>
  </si>
  <si>
    <t>Base (PY9-PY12)</t>
  </si>
  <si>
    <t>0.05*V + 1.36</t>
  </si>
  <si>
    <t>0.022*V + 0.97</t>
  </si>
  <si>
    <t>PY for Calculations</t>
  </si>
  <si>
    <t>0.066*V + 0.31</t>
  </si>
  <si>
    <t>0.04*V + 1.09</t>
  </si>
  <si>
    <t>0.024*V + 1.89</t>
  </si>
  <si>
    <t>0.1*V + 0.86</t>
  </si>
  <si>
    <t>0.095*V + 0.445</t>
  </si>
  <si>
    <t>0.05*V + 1.12</t>
  </si>
  <si>
    <t>0.076*V + 0.34</t>
  </si>
  <si>
    <t>0.105*V - 1.111</t>
  </si>
  <si>
    <t>Base (PY13-PY16)</t>
  </si>
  <si>
    <t xml:space="preserve">   ENERGY STAR® Commercial Reach-In Freezers</t>
  </si>
  <si>
    <t>ENERGY STAR® freezers must be self-contained with vertical-closed transparent or solid doors.  Residential style freezers are not eligible for incentives under this measure, but may be eligible under the Appliances and Electronics program.  New construction and replacement projects are eligible under this measure.</t>
  </si>
  <si>
    <t>Total Equipment Cost (not including Labor)</t>
  </si>
  <si>
    <r>
      <t>Freezer Volume Cubic Feet (ft</t>
    </r>
    <r>
      <rPr>
        <b/>
        <vertAlign val="superscript"/>
        <sz val="11"/>
        <color indexed="9"/>
        <rFont val="Calibri"/>
        <family val="2"/>
      </rPr>
      <t>3</t>
    </r>
    <r>
      <rPr>
        <b/>
        <sz val="11"/>
        <color indexed="9"/>
        <rFont val="Calibri"/>
        <family val="2"/>
      </rPr>
      <t>)</t>
    </r>
  </si>
  <si>
    <t>Commercial Freezer</t>
  </si>
  <si>
    <t>CI-CO-PR-IT-RE-000002-01-FEPA-CI</t>
  </si>
  <si>
    <t>0.4*V + 1.38</t>
  </si>
  <si>
    <t>0.250*V + 1.25</t>
  </si>
  <si>
    <t>0.40*V - 1.00</t>
  </si>
  <si>
    <t>0.163*V + 6.125</t>
  </si>
  <si>
    <t>0.158*V + 6.333</t>
  </si>
  <si>
    <t>0.75*V + 4.10</t>
  </si>
  <si>
    <t>0.607*V + 0.893</t>
  </si>
  <si>
    <t>0.733*V -1.00</t>
  </si>
  <si>
    <t>Freezer Incentive</t>
  </si>
  <si>
    <t>0.250*V + 13.50</t>
  </si>
  <si>
    <t>Per Freezer</t>
  </si>
  <si>
    <t>0.450*V + 3.50</t>
  </si>
  <si>
    <t>0.22*V + 1.38</t>
  </si>
  <si>
    <t>0.21*V + 0.9</t>
  </si>
  <si>
    <t>0.12*V + 2.248</t>
  </si>
  <si>
    <t>0.285*V - 2.703</t>
  </si>
  <si>
    <t>0.142*V + 4.445</t>
  </si>
  <si>
    <t>0.29*V + 2.95</t>
  </si>
  <si>
    <t>0.232*V + 2.36</t>
  </si>
  <si>
    <t>PA TRM 2016</t>
  </si>
  <si>
    <t>p 431</t>
  </si>
  <si>
    <t xml:space="preserve">  ENERGY STAR® Commercial Ice Machines</t>
  </si>
  <si>
    <t>Eligible equipment includes ENERGY STAR® ice machines that are air-cooled and produce ice continuously or in batches.  New installation and replacement projects are eligible.</t>
  </si>
  <si>
    <t>PY8 - PY9 Calcs</t>
  </si>
  <si>
    <t>PY10-PY12 Base</t>
  </si>
  <si>
    <t>PY10-PY12 Efficient</t>
  </si>
  <si>
    <t>PY13-PY16 Base</t>
  </si>
  <si>
    <t>PY13-PY16 Efficient</t>
  </si>
  <si>
    <t>Line</t>
  </si>
  <si>
    <t>ENERGY STAR ID</t>
  </si>
  <si>
    <t>Equipment Cost (Excluding Labor)</t>
  </si>
  <si>
    <t>Equipment Type</t>
  </si>
  <si>
    <t>Ice Making Style</t>
  </si>
  <si>
    <t>Ice production capacity (lbs/day)</t>
  </si>
  <si>
    <t>Energy Use
(kWh/100 lbs of ice)</t>
  </si>
  <si>
    <r>
      <t>kWh</t>
    </r>
    <r>
      <rPr>
        <b/>
        <vertAlign val="subscript"/>
        <sz val="11"/>
        <color indexed="9"/>
        <rFont val="Calibri"/>
        <family val="2"/>
      </rPr>
      <t>base</t>
    </r>
    <r>
      <rPr>
        <b/>
        <sz val="11"/>
        <color indexed="9"/>
        <rFont val="Calibri"/>
        <family val="2"/>
      </rPr>
      <t xml:space="preserve"> capacity lookup 1</t>
    </r>
  </si>
  <si>
    <r>
      <t>kWh</t>
    </r>
    <r>
      <rPr>
        <b/>
        <vertAlign val="subscript"/>
        <sz val="11"/>
        <color indexed="9"/>
        <rFont val="Calibri"/>
        <family val="2"/>
      </rPr>
      <t>base</t>
    </r>
    <r>
      <rPr>
        <b/>
        <sz val="11"/>
        <color indexed="9"/>
        <rFont val="Calibri"/>
        <family val="2"/>
      </rPr>
      <t xml:space="preserve"> capacity lookup 2</t>
    </r>
  </si>
  <si>
    <r>
      <t>kWh</t>
    </r>
    <r>
      <rPr>
        <b/>
        <vertAlign val="subscript"/>
        <sz val="11"/>
        <color indexed="9"/>
        <rFont val="Calibri"/>
        <family val="2"/>
      </rPr>
      <t>ee</t>
    </r>
    <r>
      <rPr>
        <b/>
        <sz val="11"/>
        <color indexed="9"/>
        <rFont val="Calibri"/>
        <family val="2"/>
      </rPr>
      <t xml:space="preserve"> capacity lookup 1</t>
    </r>
  </si>
  <si>
    <r>
      <t>kWh</t>
    </r>
    <r>
      <rPr>
        <b/>
        <vertAlign val="subscript"/>
        <sz val="11"/>
        <color indexed="9"/>
        <rFont val="Calibri"/>
        <family val="2"/>
      </rPr>
      <t>base</t>
    </r>
  </si>
  <si>
    <r>
      <t>kWh</t>
    </r>
    <r>
      <rPr>
        <b/>
        <vertAlign val="subscript"/>
        <sz val="11"/>
        <color indexed="9"/>
        <rFont val="Calibri"/>
        <family val="2"/>
      </rPr>
      <t>ee</t>
    </r>
  </si>
  <si>
    <t>SDX Measure Name</t>
  </si>
  <si>
    <r>
      <t>Batch Type kWh</t>
    </r>
    <r>
      <rPr>
        <b/>
        <vertAlign val="subscript"/>
        <sz val="11"/>
        <color indexed="9"/>
        <rFont val="Calibri"/>
        <family val="2"/>
      </rPr>
      <t>base</t>
    </r>
    <r>
      <rPr>
        <b/>
        <sz val="11"/>
        <color indexed="9"/>
        <rFont val="Calibri"/>
        <family val="2"/>
      </rPr>
      <t xml:space="preserve"> capacity lookup</t>
    </r>
  </si>
  <si>
    <r>
      <t>Batch Type kWh</t>
    </r>
    <r>
      <rPr>
        <b/>
        <vertAlign val="subscript"/>
        <sz val="11"/>
        <color theme="0"/>
        <rFont val="Calibri"/>
        <family val="2"/>
        <scheme val="minor"/>
      </rPr>
      <t>base</t>
    </r>
  </si>
  <si>
    <r>
      <t>Continuous Type kWh</t>
    </r>
    <r>
      <rPr>
        <b/>
        <vertAlign val="subscript"/>
        <sz val="11"/>
        <color indexed="9"/>
        <rFont val="Calibri"/>
        <family val="2"/>
      </rPr>
      <t>base</t>
    </r>
    <r>
      <rPr>
        <b/>
        <sz val="11"/>
        <color indexed="9"/>
        <rFont val="Calibri"/>
        <family val="2"/>
      </rPr>
      <t xml:space="preserve"> capacity lookup</t>
    </r>
  </si>
  <si>
    <r>
      <t>Continuous Type kWh</t>
    </r>
    <r>
      <rPr>
        <b/>
        <vertAlign val="subscript"/>
        <sz val="11"/>
        <color theme="0"/>
        <rFont val="Calibri"/>
        <family val="2"/>
        <scheme val="minor"/>
      </rPr>
      <t>base</t>
    </r>
  </si>
  <si>
    <r>
      <t>Batch Type kWh</t>
    </r>
    <r>
      <rPr>
        <b/>
        <vertAlign val="subscript"/>
        <sz val="11"/>
        <color indexed="9"/>
        <rFont val="Calibri"/>
        <family val="2"/>
      </rPr>
      <t xml:space="preserve">ee </t>
    </r>
    <r>
      <rPr>
        <b/>
        <sz val="11"/>
        <color indexed="9"/>
        <rFont val="Calibri"/>
        <family val="2"/>
      </rPr>
      <t>capacity lookup</t>
    </r>
  </si>
  <si>
    <r>
      <t>Batch Type kWh</t>
    </r>
    <r>
      <rPr>
        <b/>
        <vertAlign val="subscript"/>
        <sz val="11"/>
        <color theme="0"/>
        <rFont val="Calibri"/>
        <family val="2"/>
        <scheme val="minor"/>
      </rPr>
      <t>ee</t>
    </r>
  </si>
  <si>
    <r>
      <t>Continuous Type kWh</t>
    </r>
    <r>
      <rPr>
        <b/>
        <vertAlign val="subscript"/>
        <sz val="11"/>
        <color theme="0"/>
        <rFont val="Calibri"/>
        <family val="2"/>
        <scheme val="minor"/>
      </rPr>
      <t>ee</t>
    </r>
  </si>
  <si>
    <r>
      <t>Continuous Type kWh</t>
    </r>
    <r>
      <rPr>
        <b/>
        <vertAlign val="subscript"/>
        <sz val="11"/>
        <color indexed="9"/>
        <rFont val="Calibri"/>
        <family val="2"/>
      </rPr>
      <t xml:space="preserve">ee </t>
    </r>
    <r>
      <rPr>
        <b/>
        <sz val="11"/>
        <color indexed="9"/>
        <rFont val="Calibri"/>
        <family val="2"/>
      </rPr>
      <t>capacity lookup</t>
    </r>
  </si>
  <si>
    <t>Total kW</t>
  </si>
  <si>
    <t xml:space="preserve">Energy Savings (kWh) </t>
  </si>
  <si>
    <t>Measure Qualifies?</t>
  </si>
  <si>
    <t>energystar</t>
  </si>
  <si>
    <t>EquipType</t>
  </si>
  <si>
    <t>IceStyle</t>
  </si>
  <si>
    <t>Prod</t>
  </si>
  <si>
    <t>Commercial Ice Machines</t>
  </si>
  <si>
    <t>CI-CO-PR-IT-RE-000006-01-FEPA-CI</t>
  </si>
  <si>
    <t xml:space="preserve">PY8 - PY9 </t>
  </si>
  <si>
    <t>Baseline Machine - Batch Type</t>
  </si>
  <si>
    <t>Ice Machine Type</t>
  </si>
  <si>
    <t>Ice Harvest Rate (H) (lbs/day)</t>
  </si>
  <si>
    <t>Baseline energy use per 100 lbs of ice</t>
  </si>
  <si>
    <t>Row 1</t>
  </si>
  <si>
    <t>Row 2</t>
  </si>
  <si>
    <t>Row 3</t>
  </si>
  <si>
    <t>Row 4</t>
  </si>
  <si>
    <t>Row 5</t>
  </si>
  <si>
    <t>Row 6</t>
  </si>
  <si>
    <t>Row 7</t>
  </si>
  <si>
    <t>Row 8</t>
  </si>
  <si>
    <t>Ice Making Head</t>
  </si>
  <si>
    <t>&lt; 450</t>
  </si>
  <si>
    <t>10.26 - 0.0086*H</t>
  </si>
  <si>
    <r>
      <rPr>
        <sz val="11"/>
        <color indexed="8"/>
        <rFont val="Calibri"/>
        <family val="2"/>
      </rPr>
      <t xml:space="preserve">≥ </t>
    </r>
    <r>
      <rPr>
        <sz val="11"/>
        <color theme="1"/>
        <rFont val="Calibri"/>
        <family val="2"/>
        <scheme val="minor"/>
      </rPr>
      <t>450</t>
    </r>
  </si>
  <si>
    <t>6.89 - 0.0011*H</t>
  </si>
  <si>
    <t>Remote-Condensing without Remote Compressor</t>
  </si>
  <si>
    <t>&lt; 1000</t>
  </si>
  <si>
    <t>8.85 - 0.0038*H</t>
  </si>
  <si>
    <r>
      <rPr>
        <sz val="11"/>
        <color indexed="8"/>
        <rFont val="Calibri"/>
        <family val="2"/>
      </rPr>
      <t>≥</t>
    </r>
    <r>
      <rPr>
        <sz val="11"/>
        <color theme="1"/>
        <rFont val="Calibri"/>
        <family val="2"/>
        <scheme val="minor"/>
      </rPr>
      <t xml:space="preserve"> 1000</t>
    </r>
  </si>
  <si>
    <t>Remote-Condensing with Remote Compressor</t>
  </si>
  <si>
    <t>&lt; 934</t>
  </si>
  <si>
    <t>Self Contained</t>
  </si>
  <si>
    <r>
      <rPr>
        <sz val="11"/>
        <color indexed="8"/>
        <rFont val="Calibri"/>
        <family val="2"/>
      </rPr>
      <t>≥</t>
    </r>
    <r>
      <rPr>
        <sz val="11"/>
        <color theme="1"/>
        <rFont val="Calibri"/>
        <family val="2"/>
        <scheme val="minor"/>
      </rPr>
      <t xml:space="preserve"> 934</t>
    </r>
  </si>
  <si>
    <t>&lt; 175</t>
  </si>
  <si>
    <t>18 - 0.0469*H</t>
  </si>
  <si>
    <t>Ice Machine Capacity (lbs/day)</t>
  </si>
  <si>
    <t xml:space="preserve">Incentive </t>
  </si>
  <si>
    <t>FE Reporting Name</t>
  </si>
  <si>
    <r>
      <rPr>
        <sz val="11"/>
        <color indexed="8"/>
        <rFont val="Calibri"/>
        <family val="2"/>
      </rPr>
      <t>≥</t>
    </r>
    <r>
      <rPr>
        <sz val="11"/>
        <color theme="1"/>
        <rFont val="Calibri"/>
        <family val="2"/>
        <scheme val="minor"/>
      </rPr>
      <t xml:space="preserve"> 175</t>
    </r>
  </si>
  <si>
    <t>500 or less</t>
  </si>
  <si>
    <t>501 to 1000</t>
  </si>
  <si>
    <t>PY8 - PY9</t>
  </si>
  <si>
    <t>1001 or greater</t>
  </si>
  <si>
    <t>Efficient Machine - Batch Type</t>
  </si>
  <si>
    <t>Efficient energy use per 100 lbs of ice</t>
  </si>
  <si>
    <r>
      <t xml:space="preserve">200 </t>
    </r>
    <r>
      <rPr>
        <sz val="11"/>
        <color indexed="8"/>
        <rFont val="Calibri"/>
        <family val="2"/>
      </rPr>
      <t>≤ H ≤ 1600</t>
    </r>
  </si>
  <si>
    <r>
      <t>≤ 37.72*H</t>
    </r>
    <r>
      <rPr>
        <vertAlign val="superscript"/>
        <sz val="11"/>
        <color indexed="8"/>
        <rFont val="Calibri"/>
        <family val="2"/>
      </rPr>
      <t xml:space="preserve"> -0.298</t>
    </r>
  </si>
  <si>
    <r>
      <t xml:space="preserve">400 </t>
    </r>
    <r>
      <rPr>
        <sz val="11"/>
        <color indexed="8"/>
        <rFont val="Calibri"/>
        <family val="2"/>
      </rPr>
      <t>≤ H ≤ 1600</t>
    </r>
  </si>
  <si>
    <r>
      <t xml:space="preserve">≤ 22.95*H </t>
    </r>
    <r>
      <rPr>
        <vertAlign val="superscript"/>
        <sz val="11"/>
        <color indexed="8"/>
        <rFont val="Calibri"/>
        <family val="2"/>
      </rPr>
      <t>-0.258</t>
    </r>
    <r>
      <rPr>
        <sz val="11"/>
        <color theme="1"/>
        <rFont val="Calibri"/>
        <family val="2"/>
        <scheme val="minor"/>
      </rPr>
      <t xml:space="preserve"> + 1.00</t>
    </r>
  </si>
  <si>
    <r>
      <t xml:space="preserve">1600 </t>
    </r>
    <r>
      <rPr>
        <sz val="11"/>
        <color indexed="8"/>
        <rFont val="Calibri"/>
        <family val="2"/>
      </rPr>
      <t>≤ H ≤ 4000</t>
    </r>
  </si>
  <si>
    <t>≤ -0.00011*H + 4.60</t>
  </si>
  <si>
    <t>Measure Life</t>
  </si>
  <si>
    <r>
      <t xml:space="preserve">50 </t>
    </r>
    <r>
      <rPr>
        <sz val="11"/>
        <color indexed="8"/>
        <rFont val="Calibri"/>
        <family val="2"/>
      </rPr>
      <t>≤ H ≤ 450</t>
    </r>
  </si>
  <si>
    <r>
      <t>≤ 48.66*H</t>
    </r>
    <r>
      <rPr>
        <vertAlign val="superscript"/>
        <sz val="11"/>
        <color indexed="8"/>
        <rFont val="Calibri"/>
        <family val="2"/>
      </rPr>
      <t>-0.326</t>
    </r>
    <r>
      <rPr>
        <sz val="11"/>
        <color theme="1"/>
        <rFont val="Calibri"/>
        <family val="2"/>
        <scheme val="minor"/>
      </rPr>
      <t xml:space="preserve"> + 0.08</t>
    </r>
  </si>
  <si>
    <t>Machine Type</t>
  </si>
  <si>
    <t>PY10 - PY12</t>
  </si>
  <si>
    <t>Batch Type</t>
  </si>
  <si>
    <t>Continuous Type</t>
  </si>
  <si>
    <t>H &lt; 300</t>
  </si>
  <si>
    <t>10 - 0.01233*H</t>
  </si>
  <si>
    <t>Duty Cycle</t>
  </si>
  <si>
    <t>300 ≤ H &lt; 800</t>
  </si>
  <si>
    <t>7.05 - 0.0025*H</t>
  </si>
  <si>
    <t>800 ≤ H &lt; 1,500</t>
  </si>
  <si>
    <t>5.55 - 0.00063*H</t>
  </si>
  <si>
    <t>1,500 ≤ H &lt; 4,000</t>
  </si>
  <si>
    <t>50 ≤ H &lt; 1,000</t>
  </si>
  <si>
    <t>7.97 - 0.00342*H</t>
  </si>
  <si>
    <t>1,000 ≤ H &lt; 4,000</t>
  </si>
  <si>
    <t>H &lt; 942</t>
  </si>
  <si>
    <t>942 ≤ H &lt; 4,000</t>
  </si>
  <si>
    <t>H &lt; 110</t>
  </si>
  <si>
    <t>14.79 - 0.0469*H</t>
  </si>
  <si>
    <t>110 ≤ H &lt; 200</t>
  </si>
  <si>
    <t>12.42 - 0.02533*H</t>
  </si>
  <si>
    <t>200 ≤ H &lt; 4,000</t>
  </si>
  <si>
    <t>Baseline Machine - Continuous Type</t>
  </si>
  <si>
    <t>H &lt; 310</t>
  </si>
  <si>
    <t>9.19 - 0.00629*H</t>
  </si>
  <si>
    <t>310 ≤ H &lt; 820</t>
  </si>
  <si>
    <t>8.23 - 0.0032*H</t>
  </si>
  <si>
    <t>820 ≤ H &lt; 4,000</t>
  </si>
  <si>
    <t>H &lt; 800</t>
  </si>
  <si>
    <t>9.7 - 0.0058*H</t>
  </si>
  <si>
    <t>800 ≤ H &lt; 4,000</t>
  </si>
  <si>
    <t>9.9 - 0.0058*H</t>
  </si>
  <si>
    <t>H &lt; 200</t>
  </si>
  <si>
    <t>14.22 - 0.03*H</t>
  </si>
  <si>
    <t>200 ≤ H &lt; 700</t>
  </si>
  <si>
    <t>9.47 - 0.00624*H</t>
  </si>
  <si>
    <t>700 ≤ H &lt; 4,000</t>
  </si>
  <si>
    <t>200 ≤ H ≤ 1,600</t>
  </si>
  <si>
    <r>
      <t>37.72*H</t>
    </r>
    <r>
      <rPr>
        <vertAlign val="superscript"/>
        <sz val="11"/>
        <color theme="1"/>
        <rFont val="Calibri"/>
        <family val="2"/>
      </rPr>
      <t>-0.298</t>
    </r>
  </si>
  <si>
    <t>400 ≤ H ≤ 1,600</t>
  </si>
  <si>
    <r>
      <t>22.95*H</t>
    </r>
    <r>
      <rPr>
        <vertAlign val="superscript"/>
        <sz val="11"/>
        <color theme="1"/>
        <rFont val="Calibri"/>
        <family val="2"/>
        <scheme val="minor"/>
      </rPr>
      <t>-0.258</t>
    </r>
    <r>
      <rPr>
        <sz val="11"/>
        <color theme="1"/>
        <rFont val="Calibri"/>
        <family val="2"/>
        <scheme val="minor"/>
      </rPr>
      <t xml:space="preserve"> + 1.00</t>
    </r>
  </si>
  <si>
    <t>-0.00011*H + 4.6</t>
  </si>
  <si>
    <t>1,600 ≤ H ≤ 4,000</t>
  </si>
  <si>
    <t>50 ≤ H ≤ 450</t>
  </si>
  <si>
    <r>
      <t>48.66*H</t>
    </r>
    <r>
      <rPr>
        <vertAlign val="superscript"/>
        <sz val="11"/>
        <color theme="1"/>
        <rFont val="Calibri"/>
        <family val="2"/>
        <scheme val="minor"/>
      </rPr>
      <t xml:space="preserve"> - 0.326</t>
    </r>
    <r>
      <rPr>
        <sz val="11"/>
        <color theme="1"/>
        <rFont val="Calibri"/>
        <family val="2"/>
        <scheme val="minor"/>
      </rPr>
      <t xml:space="preserve"> + 0.08</t>
    </r>
  </si>
  <si>
    <t>Efficient Machine - Continuous Type</t>
  </si>
  <si>
    <t>Any</t>
  </si>
  <si>
    <r>
      <t>9.18*H</t>
    </r>
    <r>
      <rPr>
        <vertAlign val="superscript"/>
        <sz val="11"/>
        <color theme="1"/>
        <rFont val="Calibri"/>
        <family val="2"/>
      </rPr>
      <t>-0.057</t>
    </r>
  </si>
  <si>
    <r>
      <t>6.00*H</t>
    </r>
    <r>
      <rPr>
        <vertAlign val="superscript"/>
        <sz val="11"/>
        <color theme="1"/>
        <rFont val="Calibri"/>
        <family val="2"/>
      </rPr>
      <t>-0.162</t>
    </r>
    <r>
      <rPr>
        <sz val="11"/>
        <color theme="1"/>
        <rFont val="Calibri"/>
        <family val="2"/>
      </rPr>
      <t xml:space="preserve"> + 3.50</t>
    </r>
  </si>
  <si>
    <r>
      <t>59.45*H</t>
    </r>
    <r>
      <rPr>
        <vertAlign val="superscript"/>
        <sz val="11"/>
        <color theme="1"/>
        <rFont val="Calibri"/>
        <family val="2"/>
      </rPr>
      <t>-0.349</t>
    </r>
    <r>
      <rPr>
        <sz val="11"/>
        <color theme="1"/>
        <rFont val="Calibri"/>
        <family val="2"/>
      </rPr>
      <t xml:space="preserve"> + 0.08</t>
    </r>
  </si>
  <si>
    <t>PY13 - PY16</t>
  </si>
  <si>
    <t>9.20-0.01134*H</t>
  </si>
  <si>
    <t>6.49-0.0023*H</t>
  </si>
  <si>
    <t>5.11-0.00058*H</t>
  </si>
  <si>
    <t>50 ≤ H &lt; 988</t>
  </si>
  <si>
    <t>7.17-0.00308*H</t>
  </si>
  <si>
    <t>988 ≤ H &lt; 4,000</t>
  </si>
  <si>
    <t>12.57-0.0399*H</t>
  </si>
  <si>
    <t>10.56-0.0215*H</t>
  </si>
  <si>
    <t>7.90-0.005409*H</t>
  </si>
  <si>
    <t>7.08-0.002752*H</t>
  </si>
  <si>
    <t>7.76-0.00464*H</t>
  </si>
  <si>
    <t>12.37-0.0261*H</t>
  </si>
  <si>
    <t>8.24-0.005492*H</t>
  </si>
  <si>
    <t>PA TRM 20201</t>
  </si>
  <si>
    <t>p 169</t>
  </si>
  <si>
    <t xml:space="preserve">  Night Covers for Refrigerated Display Cases</t>
  </si>
  <si>
    <t>Eligible projects include the installation of night covers on open reach-in refrigerated cases during unoccupied hours.  Covers must be in use for at least 3 hours daily to be eligible for incentives.</t>
  </si>
  <si>
    <t>Refrigerated Case Temperature</t>
  </si>
  <si>
    <t>Width of Case Opening (ft)</t>
  </si>
  <si>
    <t>Daily hours of operation covers are in use</t>
  </si>
  <si>
    <t>Savings Factor</t>
  </si>
  <si>
    <t>Total Demand Savings (no coincidence factor)</t>
  </si>
  <si>
    <t>Measure Qualifies</t>
  </si>
  <si>
    <t>Temp</t>
  </si>
  <si>
    <t>EquipmentSizeUnitQuantity</t>
  </si>
  <si>
    <t>Hours</t>
  </si>
  <si>
    <t>Night Covers</t>
  </si>
  <si>
    <t>Yes</t>
  </si>
  <si>
    <t>CI-CO-PR-IT-RE-000003-01-FEPA-CI</t>
  </si>
  <si>
    <t>Case Temperature</t>
  </si>
  <si>
    <t>Savings Factor (kW/ft)</t>
  </si>
  <si>
    <r>
      <t>Low Temp [-35</t>
    </r>
    <r>
      <rPr>
        <sz val="11"/>
        <color indexed="8"/>
        <rFont val="Calibri"/>
        <family val="2"/>
      </rPr>
      <t>°</t>
    </r>
    <r>
      <rPr>
        <sz val="11"/>
        <color theme="1"/>
        <rFont val="Calibri"/>
        <family val="2"/>
        <scheme val="minor"/>
      </rPr>
      <t>F to -5°F]</t>
    </r>
  </si>
  <si>
    <r>
      <t>Medium Temp [0</t>
    </r>
    <r>
      <rPr>
        <sz val="11"/>
        <color indexed="8"/>
        <rFont val="Calibri"/>
        <family val="2"/>
      </rPr>
      <t>°</t>
    </r>
    <r>
      <rPr>
        <sz val="11"/>
        <color theme="1"/>
        <rFont val="Calibri"/>
        <family val="2"/>
        <scheme val="minor"/>
      </rPr>
      <t>F to 30°F]</t>
    </r>
  </si>
  <si>
    <r>
      <t>High Temp [35</t>
    </r>
    <r>
      <rPr>
        <sz val="11"/>
        <color indexed="8"/>
        <rFont val="Calibri"/>
        <family val="2"/>
      </rPr>
      <t>°</t>
    </r>
    <r>
      <rPr>
        <sz val="11"/>
        <color theme="1"/>
        <rFont val="Calibri"/>
        <family val="2"/>
        <scheme val="minor"/>
      </rPr>
      <t>F to 55°F]</t>
    </r>
  </si>
  <si>
    <t>Unknown</t>
  </si>
  <si>
    <t>linear foot</t>
  </si>
  <si>
    <t>Coincidence Factor</t>
  </si>
  <si>
    <t>p 166</t>
  </si>
  <si>
    <t xml:space="preserve">  Strip Curtains for Walk-in Coolers and Freezers</t>
  </si>
  <si>
    <t>Eligible strip curtains must be installed on walk-in coolers and freezers that have ineffective or no existing strip curtains in place.   Strip curtains must be new, made of polyethylene, and be at least 0.06" thick.  Low temperature curtains must be used for freezer applications. Eligible units must be in use at least 2.5 hours per day.</t>
  </si>
  <si>
    <t>Walk-in Type</t>
  </si>
  <si>
    <t>Pre-existing Curtains</t>
  </si>
  <si>
    <r>
      <t>Walk-in Opening Area (ft</t>
    </r>
    <r>
      <rPr>
        <b/>
        <vertAlign val="superscript"/>
        <sz val="11"/>
        <color indexed="9"/>
        <rFont val="Calibri"/>
        <family val="2"/>
      </rPr>
      <t>2</t>
    </r>
    <r>
      <rPr>
        <b/>
        <sz val="11"/>
        <color indexed="9"/>
        <rFont val="Calibri"/>
        <family val="2"/>
      </rPr>
      <t>)</t>
    </r>
  </si>
  <si>
    <t>Manfuacturer</t>
  </si>
  <si>
    <t>WalkType</t>
  </si>
  <si>
    <t>CI-CO-PR-IT-RE-000005-01-FEPA-CI</t>
  </si>
  <si>
    <r>
      <t>Energy Savings (kWh/ft</t>
    </r>
    <r>
      <rPr>
        <b/>
        <vertAlign val="superscript"/>
        <sz val="11"/>
        <color indexed="8"/>
        <rFont val="Calibri"/>
        <family val="2"/>
      </rPr>
      <t>2</t>
    </r>
    <r>
      <rPr>
        <b/>
        <sz val="11"/>
        <color indexed="8"/>
        <rFont val="Calibri"/>
        <family val="2"/>
      </rPr>
      <t>)</t>
    </r>
  </si>
  <si>
    <t>Demand Savings (kWh/ft2)</t>
  </si>
  <si>
    <t>Grocery - Cooler</t>
  </si>
  <si>
    <t>Grocery - Freezer</t>
  </si>
  <si>
    <t>Convenience Store - Cooler</t>
  </si>
  <si>
    <t>Convenience Store - Freezer</t>
  </si>
  <si>
    <t>Restaurant - Cooler</t>
  </si>
  <si>
    <t>Restaurant - Freezer</t>
  </si>
  <si>
    <t>Refrigerated Warehouse</t>
  </si>
  <si>
    <r>
      <t>per ft</t>
    </r>
    <r>
      <rPr>
        <b/>
        <vertAlign val="superscript"/>
        <sz val="11"/>
        <color indexed="8"/>
        <rFont val="Calibri"/>
        <family val="2"/>
      </rPr>
      <t>2</t>
    </r>
  </si>
  <si>
    <t>p 158</t>
  </si>
  <si>
    <t xml:space="preserve">  Anti-Sweat Heater Controls on Cooler and Freezer Case Doors</t>
  </si>
  <si>
    <t>Anti-sweat heater controls sense the humidity in the store outside reach-in, glass door cases and turn off anti-sweat heaters during periods of low humidity. Only the installation of new anti-sweat heater controls in cases with no existing controls are eligible for incentives.</t>
  </si>
  <si>
    <t>Case Type</t>
  </si>
  <si>
    <t>Number of 
Doors</t>
  </si>
  <si>
    <t>Control Type</t>
  </si>
  <si>
    <t>Total Demand Reductions (kW)</t>
  </si>
  <si>
    <t>Case</t>
  </si>
  <si>
    <t>Cont</t>
  </si>
  <si>
    <t>CI-CO-PR-IT-RE-000004-01-FEPA-CI</t>
  </si>
  <si>
    <t>Variable</t>
  </si>
  <si>
    <t>Value</t>
  </si>
  <si>
    <t>Deemed Values</t>
  </si>
  <si>
    <t>Cooler</t>
  </si>
  <si>
    <r>
      <t>kW</t>
    </r>
    <r>
      <rPr>
        <vertAlign val="subscript"/>
        <sz val="11"/>
        <color rgb="FF005CB8"/>
        <rFont val="Calibri"/>
        <family val="2"/>
      </rPr>
      <t>Door</t>
    </r>
  </si>
  <si>
    <t>Energy Impact kWh</t>
  </si>
  <si>
    <t>Peak Demand Impact kW</t>
  </si>
  <si>
    <t>%On</t>
  </si>
  <si>
    <t>Freezer</t>
  </si>
  <si>
    <t>Unknown Control</t>
  </si>
  <si>
    <t>% Control Unk</t>
  </si>
  <si>
    <t>On/Off Control</t>
  </si>
  <si>
    <t>% Control OnOff</t>
  </si>
  <si>
    <t>Micropulse Control</t>
  </si>
  <si>
    <t>% Control Micro</t>
  </si>
  <si>
    <t>WHF</t>
  </si>
  <si>
    <t>Incentive/Door</t>
  </si>
  <si>
    <t>PA TRM 20121</t>
  </si>
  <si>
    <t>p 206</t>
  </si>
  <si>
    <t xml:space="preserve">  Beverage and Snack Vending Machine Controls</t>
  </si>
  <si>
    <t xml:space="preserve">Eligible sensors must be installed on non-ENERGY STAR® qualified vending machines.  Each control must be able to automatically turn off lighting when there is no occupancy, and must modulate the refrigeration system for peak performance. </t>
  </si>
  <si>
    <t>Machine Wattage</t>
  </si>
  <si>
    <t>MachType</t>
  </si>
  <si>
    <t>MachWatt</t>
  </si>
  <si>
    <t>CI-CO-PR-IT-RE-000007-01-FEPA-CI</t>
  </si>
  <si>
    <t>ESF</t>
  </si>
  <si>
    <t>Default Beverage Energy Savings (kWh)</t>
  </si>
  <si>
    <t>Refrigerated Beverage Vending Machine</t>
  </si>
  <si>
    <t>Glass Front Refrigerated Cooler</t>
  </si>
  <si>
    <t>Snack Case</t>
  </si>
  <si>
    <t>Years</t>
  </si>
  <si>
    <t>ENERGY STAR 4/29/20 spec</t>
  </si>
  <si>
    <t>DOE 2017</t>
  </si>
  <si>
    <t xml:space="preserve">  ENERGY STAR® Refrigerated Beverage Vending Machines</t>
  </si>
  <si>
    <r>
      <t>ENERGY STAR® vending machines have high efficiency refrigeration and lighting systems.  In addition, these machines have built-in controls that reduce lighting and refrigeration loads during unoccupied periods.  Only new Energy Star</t>
    </r>
    <r>
      <rPr>
        <sz val="11"/>
        <color indexed="8"/>
        <rFont val="Calibri"/>
        <family val="2"/>
      </rPr>
      <t>®</t>
    </r>
    <r>
      <rPr>
        <sz val="11"/>
        <color theme="1"/>
        <rFont val="Calibri"/>
        <family val="2"/>
        <scheme val="minor"/>
      </rPr>
      <t xml:space="preserve"> vending machines are eligible for incentives.</t>
    </r>
  </si>
  <si>
    <t>Vending Machine 
Class</t>
  </si>
  <si>
    <r>
      <t>Refrigerated Volume of Vending Machine (ft</t>
    </r>
    <r>
      <rPr>
        <b/>
        <vertAlign val="superscript"/>
        <sz val="11"/>
        <color indexed="9"/>
        <rFont val="Calibri"/>
        <family val="2"/>
      </rPr>
      <t>3</t>
    </r>
    <r>
      <rPr>
        <b/>
        <sz val="11"/>
        <color indexed="9"/>
        <rFont val="Calibri"/>
        <family val="2"/>
      </rPr>
      <t>)</t>
    </r>
  </si>
  <si>
    <t>ENERGY STAR® Vending Machine</t>
  </si>
  <si>
    <t>Vending Machine Class</t>
  </si>
  <si>
    <r>
      <t>kWh</t>
    </r>
    <r>
      <rPr>
        <b/>
        <vertAlign val="subscript"/>
        <sz val="11"/>
        <color indexed="8"/>
        <rFont val="Calibri"/>
        <family val="2"/>
      </rPr>
      <t>base</t>
    </r>
  </si>
  <si>
    <r>
      <t>kWh</t>
    </r>
    <r>
      <rPr>
        <b/>
        <vertAlign val="subscript"/>
        <sz val="11"/>
        <color indexed="8"/>
        <rFont val="Calibri"/>
        <family val="2"/>
      </rPr>
      <t>ee</t>
    </r>
  </si>
  <si>
    <t>Class A</t>
  </si>
  <si>
    <t>(0.052V + 2.43) x 365</t>
  </si>
  <si>
    <t>(0.0523V + 2.432) x 365</t>
  </si>
  <si>
    <t>Class B</t>
  </si>
  <si>
    <t>(0.052V + 2.20) x 365</t>
  </si>
  <si>
    <t>(0.0657V + 2.844) x 365</t>
  </si>
  <si>
    <t>Per machine</t>
  </si>
  <si>
    <t>p 214</t>
  </si>
  <si>
    <t xml:space="preserve">  ENERGY STAR® Commercial Electric Combination Ovens</t>
  </si>
  <si>
    <t>New electric combination ovens must be ENERGY STAR®-certified to be eligible for incentives.  New construction and replacement projects are eligible under this measure.</t>
  </si>
  <si>
    <t>Equipment Cost (Excluding labor)</t>
  </si>
  <si>
    <t>Number of Pans</t>
  </si>
  <si>
    <t>LB</t>
  </si>
  <si>
    <r>
      <t>Idle</t>
    </r>
    <r>
      <rPr>
        <b/>
        <vertAlign val="subscript"/>
        <sz val="11"/>
        <color indexed="9"/>
        <rFont val="Calibri"/>
        <family val="2"/>
      </rPr>
      <t>base, conv</t>
    </r>
    <r>
      <rPr>
        <b/>
        <sz val="11"/>
        <color indexed="9"/>
        <rFont val="Calibri"/>
        <family val="2"/>
      </rPr>
      <t xml:space="preserve"> (kW)</t>
    </r>
  </si>
  <si>
    <r>
      <t>Idle</t>
    </r>
    <r>
      <rPr>
        <b/>
        <vertAlign val="subscript"/>
        <sz val="11"/>
        <color indexed="9"/>
        <rFont val="Calibri"/>
        <family val="2"/>
      </rPr>
      <t>base, steam</t>
    </r>
    <r>
      <rPr>
        <b/>
        <sz val="11"/>
        <color indexed="9"/>
        <rFont val="Calibri"/>
        <family val="2"/>
      </rPr>
      <t xml:space="preserve"> (kW)</t>
    </r>
  </si>
  <si>
    <r>
      <t>EFF</t>
    </r>
    <r>
      <rPr>
        <b/>
        <vertAlign val="subscript"/>
        <sz val="11"/>
        <color indexed="9"/>
        <rFont val="Calibri"/>
        <family val="2"/>
      </rPr>
      <t>base, conv</t>
    </r>
  </si>
  <si>
    <r>
      <t>EFF</t>
    </r>
    <r>
      <rPr>
        <b/>
        <vertAlign val="subscript"/>
        <sz val="11"/>
        <color indexed="9"/>
        <rFont val="Calibri"/>
        <family val="2"/>
      </rPr>
      <t>base, steam</t>
    </r>
  </si>
  <si>
    <r>
      <t>PC</t>
    </r>
    <r>
      <rPr>
        <b/>
        <vertAlign val="subscript"/>
        <sz val="11"/>
        <color indexed="9"/>
        <rFont val="Calibri"/>
        <family val="2"/>
      </rPr>
      <t>base,conv</t>
    </r>
  </si>
  <si>
    <r>
      <t>PC</t>
    </r>
    <r>
      <rPr>
        <b/>
        <vertAlign val="subscript"/>
        <sz val="11"/>
        <color indexed="9"/>
        <rFont val="Calibri"/>
        <family val="2"/>
      </rPr>
      <t>base, steam</t>
    </r>
  </si>
  <si>
    <r>
      <t>Idle</t>
    </r>
    <r>
      <rPr>
        <b/>
        <vertAlign val="subscript"/>
        <sz val="11"/>
        <color indexed="9"/>
        <rFont val="Calibri"/>
        <family val="2"/>
      </rPr>
      <t>ee, conv</t>
    </r>
    <r>
      <rPr>
        <b/>
        <sz val="11"/>
        <color indexed="9"/>
        <rFont val="Calibri"/>
        <family val="2"/>
      </rPr>
      <t xml:space="preserve"> (kW)</t>
    </r>
  </si>
  <si>
    <r>
      <t>Idle</t>
    </r>
    <r>
      <rPr>
        <b/>
        <vertAlign val="subscript"/>
        <sz val="11"/>
        <color indexed="9"/>
        <rFont val="Calibri"/>
        <family val="2"/>
      </rPr>
      <t>ee, steam</t>
    </r>
    <r>
      <rPr>
        <b/>
        <sz val="11"/>
        <color indexed="9"/>
        <rFont val="Calibri"/>
        <family val="2"/>
      </rPr>
      <t xml:space="preserve"> (kW)</t>
    </r>
  </si>
  <si>
    <r>
      <t>EFF</t>
    </r>
    <r>
      <rPr>
        <b/>
        <vertAlign val="subscript"/>
        <sz val="11"/>
        <color indexed="9"/>
        <rFont val="Calibri"/>
        <family val="2"/>
      </rPr>
      <t>ee, conv</t>
    </r>
  </si>
  <si>
    <r>
      <t>EFF</t>
    </r>
    <r>
      <rPr>
        <b/>
        <vertAlign val="subscript"/>
        <sz val="11"/>
        <color indexed="9"/>
        <rFont val="Calibri"/>
        <family val="2"/>
      </rPr>
      <t>ee, steam</t>
    </r>
  </si>
  <si>
    <r>
      <t>PC</t>
    </r>
    <r>
      <rPr>
        <b/>
        <vertAlign val="subscript"/>
        <sz val="11"/>
        <color indexed="9"/>
        <rFont val="Calibri"/>
        <family val="2"/>
      </rPr>
      <t>ee,conv</t>
    </r>
  </si>
  <si>
    <r>
      <t>PC</t>
    </r>
    <r>
      <rPr>
        <b/>
        <vertAlign val="subscript"/>
        <sz val="11"/>
        <color indexed="9"/>
        <rFont val="Calibri"/>
        <family val="2"/>
      </rPr>
      <t>ee, steam</t>
    </r>
  </si>
  <si>
    <r>
      <t>kWh</t>
    </r>
    <r>
      <rPr>
        <b/>
        <vertAlign val="subscript"/>
        <sz val="11"/>
        <color indexed="9"/>
        <rFont val="Calibri"/>
        <family val="2"/>
      </rPr>
      <t>base,conv</t>
    </r>
  </si>
  <si>
    <r>
      <t>kWh</t>
    </r>
    <r>
      <rPr>
        <b/>
        <vertAlign val="subscript"/>
        <sz val="11"/>
        <color indexed="9"/>
        <rFont val="Calibri"/>
        <family val="2"/>
      </rPr>
      <t>base,steam</t>
    </r>
  </si>
  <si>
    <r>
      <t>kWh</t>
    </r>
    <r>
      <rPr>
        <b/>
        <vertAlign val="subscript"/>
        <sz val="11"/>
        <color indexed="9"/>
        <rFont val="Calibri"/>
        <family val="2"/>
      </rPr>
      <t>ee,conv</t>
    </r>
  </si>
  <si>
    <r>
      <t>kWh</t>
    </r>
    <r>
      <rPr>
        <b/>
        <vertAlign val="subscript"/>
        <sz val="11"/>
        <color indexed="9"/>
        <rFont val="Calibri"/>
        <family val="2"/>
      </rPr>
      <t>ee,steam</t>
    </r>
  </si>
  <si>
    <t>NumPan</t>
  </si>
  <si>
    <t>CI-CO-PR-IT-CA-000006-01-FEPA-CI</t>
  </si>
  <si>
    <t>Parameter</t>
  </si>
  <si>
    <t>Baseline Model</t>
  </si>
  <si>
    <t>Energy Efficient Model</t>
  </si>
  <si>
    <t>Convection Mode</t>
  </si>
  <si>
    <t>Steam Mode</t>
  </si>
  <si>
    <r>
      <t>Hours</t>
    </r>
    <r>
      <rPr>
        <b/>
        <vertAlign val="subscript"/>
        <sz val="11"/>
        <color indexed="8"/>
        <rFont val="Calibri"/>
        <family val="2"/>
      </rPr>
      <t>DAY</t>
    </r>
  </si>
  <si>
    <t>Days</t>
  </si>
  <si>
    <r>
      <t>E</t>
    </r>
    <r>
      <rPr>
        <b/>
        <vertAlign val="subscript"/>
        <sz val="11"/>
        <color indexed="8"/>
        <rFont val="Calibri"/>
        <family val="2"/>
      </rPr>
      <t>FOOD, conv</t>
    </r>
  </si>
  <si>
    <r>
      <t>E</t>
    </r>
    <r>
      <rPr>
        <b/>
        <vertAlign val="subscript"/>
        <sz val="11"/>
        <color indexed="8"/>
        <rFont val="Calibri"/>
        <family val="2"/>
      </rPr>
      <t>FOOD,steam</t>
    </r>
  </si>
  <si>
    <t>PCT</t>
  </si>
  <si>
    <t>Idle (kW)</t>
  </si>
  <si>
    <t>less than 15</t>
  </si>
  <si>
    <t>0.08 x PANS + 0.4989</t>
  </si>
  <si>
    <t>0.133 x PANS + 0.64</t>
  </si>
  <si>
    <t>15 or greater</t>
  </si>
  <si>
    <t>EFF</t>
  </si>
  <si>
    <t>PC</t>
  </si>
  <si>
    <t>Per oven</t>
  </si>
  <si>
    <t>p 218</t>
  </si>
  <si>
    <t xml:space="preserve">  ENERGY STAR® Commercial Electric Convection Ovens</t>
  </si>
  <si>
    <t>ENERGY STAR®-certified convection ovens must be new. Used equipment is not eligible for incentives. New construction and replacement projects are eligible under this measure.</t>
  </si>
  <si>
    <t>Equipment Cost (excluding labor)</t>
  </si>
  <si>
    <t>Oven Size</t>
  </si>
  <si>
    <t>Idle Base (kW)</t>
  </si>
  <si>
    <t>Idle Eff. (kW)</t>
  </si>
  <si>
    <t>EFF Base</t>
  </si>
  <si>
    <t>EFF Eff.</t>
  </si>
  <si>
    <t>PC Base</t>
  </si>
  <si>
    <t>PC Eff.</t>
  </si>
  <si>
    <t>Size</t>
  </si>
  <si>
    <t>CI-CO-PR-IT-CA-000007-01-FEPA-CI</t>
  </si>
  <si>
    <t>Half Size</t>
  </si>
  <si>
    <t>Full Size</t>
  </si>
  <si>
    <r>
      <t>E</t>
    </r>
    <r>
      <rPr>
        <b/>
        <vertAlign val="subscript"/>
        <sz val="11"/>
        <color indexed="8"/>
        <rFont val="Calibri"/>
        <family val="2"/>
      </rPr>
      <t>FOOD</t>
    </r>
  </si>
  <si>
    <t>p 210</t>
  </si>
  <si>
    <t xml:space="preserve">  ENERGY STAR® Commercial Electric Steam Cookers</t>
  </si>
  <si>
    <t>Eligible steam cookers must be ENERGY STAR®-certified and have a cooking efficiency of at least 50%.  Only new, electric steam cookers are eligible for incentives.</t>
  </si>
  <si>
    <t>Equipment Cost (excluding Labor)</t>
  </si>
  <si>
    <r>
      <t>Lbs</t>
    </r>
    <r>
      <rPr>
        <b/>
        <vertAlign val="subscript"/>
        <sz val="11"/>
        <color indexed="9"/>
        <rFont val="Calibri"/>
        <family val="2"/>
      </rPr>
      <t>food</t>
    </r>
  </si>
  <si>
    <t>EnergytoFood</t>
  </si>
  <si>
    <r>
      <t>Eff</t>
    </r>
    <r>
      <rPr>
        <b/>
        <vertAlign val="subscript"/>
        <sz val="11"/>
        <color indexed="9"/>
        <rFont val="Calibri"/>
        <family val="2"/>
      </rPr>
      <t>ee</t>
    </r>
  </si>
  <si>
    <r>
      <t>Eff</t>
    </r>
    <r>
      <rPr>
        <b/>
        <vertAlign val="subscript"/>
        <sz val="11"/>
        <color indexed="9"/>
        <rFont val="Calibri"/>
        <family val="2"/>
      </rPr>
      <t>b</t>
    </r>
  </si>
  <si>
    <r>
      <t>Power</t>
    </r>
    <r>
      <rPr>
        <b/>
        <vertAlign val="subscript"/>
        <sz val="11"/>
        <color indexed="9"/>
        <rFont val="Calibri"/>
        <family val="2"/>
      </rPr>
      <t>idle-b</t>
    </r>
  </si>
  <si>
    <r>
      <t>Power</t>
    </r>
    <r>
      <rPr>
        <b/>
        <vertAlign val="subscript"/>
        <sz val="11"/>
        <color indexed="9"/>
        <rFont val="Calibri"/>
        <family val="2"/>
      </rPr>
      <t>idle-ee</t>
    </r>
  </si>
  <si>
    <r>
      <t>%Hours</t>
    </r>
    <r>
      <rPr>
        <b/>
        <vertAlign val="subscript"/>
        <sz val="11"/>
        <color indexed="9"/>
        <rFont val="Calibri"/>
        <family val="2"/>
      </rPr>
      <t>consteam</t>
    </r>
  </si>
  <si>
    <r>
      <t>Hours</t>
    </r>
    <r>
      <rPr>
        <b/>
        <vertAlign val="subscript"/>
        <sz val="11"/>
        <color indexed="9"/>
        <rFont val="Calibri"/>
        <family val="2"/>
      </rPr>
      <t>op</t>
    </r>
  </si>
  <si>
    <r>
      <t>Hours</t>
    </r>
    <r>
      <rPr>
        <b/>
        <vertAlign val="subscript"/>
        <sz val="11"/>
        <color indexed="9"/>
        <rFont val="Calibri"/>
        <family val="2"/>
      </rPr>
      <t>pre</t>
    </r>
  </si>
  <si>
    <r>
      <t>CAPY</t>
    </r>
    <r>
      <rPr>
        <b/>
        <vertAlign val="subscript"/>
        <sz val="11"/>
        <color indexed="9"/>
        <rFont val="Calibri"/>
        <family val="2"/>
      </rPr>
      <t>b</t>
    </r>
  </si>
  <si>
    <r>
      <t>CAPY</t>
    </r>
    <r>
      <rPr>
        <b/>
        <vertAlign val="subscript"/>
        <sz val="11"/>
        <color indexed="9"/>
        <rFont val="Calibri"/>
        <family val="2"/>
      </rPr>
      <t>ee</t>
    </r>
  </si>
  <si>
    <t>Demand Reductions kW</t>
  </si>
  <si>
    <r>
      <rPr>
        <b/>
        <sz val="11"/>
        <color theme="0"/>
        <rFont val="Calibri"/>
        <family val="2"/>
      </rPr>
      <t>Δ</t>
    </r>
    <r>
      <rPr>
        <b/>
        <sz val="11"/>
        <color theme="0"/>
        <rFont val="Calibri"/>
        <family val="2"/>
        <scheme val="minor"/>
      </rPr>
      <t>kWh Cooking</t>
    </r>
  </si>
  <si>
    <t>Daily kWh base</t>
  </si>
  <si>
    <t>Daily kWh EE</t>
  </si>
  <si>
    <r>
      <rPr>
        <b/>
        <sz val="11"/>
        <color theme="0"/>
        <rFont val="Calibri"/>
        <family val="2"/>
      </rPr>
      <t>Δ</t>
    </r>
    <r>
      <rPr>
        <b/>
        <sz val="11"/>
        <color theme="0"/>
        <rFont val="Calibri"/>
        <family val="2"/>
        <scheme val="minor"/>
      </rPr>
      <t>kWh idle</t>
    </r>
  </si>
  <si>
    <t>Energy Savings kWh</t>
  </si>
  <si>
    <t>Electric Steam Cooker</t>
  </si>
  <si>
    <t>Efficient Model</t>
  </si>
  <si>
    <t>Savings</t>
  </si>
  <si>
    <r>
      <t>Power</t>
    </r>
    <r>
      <rPr>
        <b/>
        <vertAlign val="subscript"/>
        <sz val="11"/>
        <color indexed="8"/>
        <rFont val="Calibri"/>
        <family val="2"/>
      </rPr>
      <t>idle</t>
    </r>
    <r>
      <rPr>
        <b/>
        <sz val="11"/>
        <color indexed="8"/>
        <rFont val="Calibri"/>
        <family val="2"/>
      </rPr>
      <t xml:space="preserve"> (kW)</t>
    </r>
  </si>
  <si>
    <t>CAPY (lb/h)</t>
  </si>
  <si>
    <r>
      <t>Lbs</t>
    </r>
    <r>
      <rPr>
        <b/>
        <vertAlign val="subscript"/>
        <sz val="11"/>
        <color indexed="8"/>
        <rFont val="Calibri"/>
        <family val="2"/>
      </rPr>
      <t>food</t>
    </r>
  </si>
  <si>
    <r>
      <t>Eff</t>
    </r>
    <r>
      <rPr>
        <b/>
        <vertAlign val="subscript"/>
        <sz val="11"/>
        <color indexed="8"/>
        <rFont val="Calibri"/>
        <family val="2"/>
      </rPr>
      <t>b</t>
    </r>
  </si>
  <si>
    <r>
      <t>Eff</t>
    </r>
    <r>
      <rPr>
        <b/>
        <vertAlign val="subscript"/>
        <sz val="11"/>
        <color indexed="8"/>
        <rFont val="Calibri"/>
        <family val="2"/>
      </rPr>
      <t>ee</t>
    </r>
  </si>
  <si>
    <r>
      <rPr>
        <b/>
        <sz val="11"/>
        <color indexed="8"/>
        <rFont val="Calibri"/>
        <family val="2"/>
      </rPr>
      <t>∆</t>
    </r>
    <r>
      <rPr>
        <b/>
        <sz val="11"/>
        <color indexed="8"/>
        <rFont val="Calibri"/>
        <family val="2"/>
      </rPr>
      <t>kW</t>
    </r>
  </si>
  <si>
    <r>
      <rPr>
        <b/>
        <sz val="11"/>
        <color indexed="8"/>
        <rFont val="Calibri"/>
        <family val="2"/>
      </rPr>
      <t>∆</t>
    </r>
    <r>
      <rPr>
        <b/>
        <sz val="11"/>
        <color indexed="8"/>
        <rFont val="Calibri"/>
        <family val="2"/>
      </rPr>
      <t>kWh</t>
    </r>
  </si>
  <si>
    <t>SDX Reporting Name</t>
  </si>
  <si>
    <t>CI-CO-PR-IT-CA-000001-01-FEPA-CI</t>
  </si>
  <si>
    <t>p 221</t>
  </si>
  <si>
    <t xml:space="preserve">  ENERGY STAR® Commercial Electric Fat Fryers</t>
  </si>
  <si>
    <t>F</t>
  </si>
  <si>
    <t>ENERGY STAR® fryers have advanced heat exchanger design and fry pot insulation to shorten cook times and reduce standby heat losses.  Only new (unused), electric, ENERGY STAR-certified fryers are eligible for incentives.</t>
  </si>
  <si>
    <t>Vat Type</t>
  </si>
  <si>
    <t>HOURS_DAY</t>
  </si>
  <si>
    <t>PRE_TIME (minutes/day)</t>
  </si>
  <si>
    <r>
      <t>E</t>
    </r>
    <r>
      <rPr>
        <b/>
        <vertAlign val="subscript"/>
        <sz val="11"/>
        <color indexed="9"/>
        <rFont val="Calibri"/>
        <family val="2"/>
      </rPr>
      <t>FOOD</t>
    </r>
    <r>
      <rPr>
        <b/>
        <sz val="11"/>
        <color indexed="9"/>
        <rFont val="Calibri"/>
        <family val="2"/>
      </rPr>
      <t xml:space="preserve"> (kWh/lb)</t>
    </r>
  </si>
  <si>
    <t>LB (lb/day)</t>
  </si>
  <si>
    <t>DAYS</t>
  </si>
  <si>
    <r>
      <t>kWH</t>
    </r>
    <r>
      <rPr>
        <b/>
        <vertAlign val="subscript"/>
        <sz val="11"/>
        <color indexed="9"/>
        <rFont val="Calibri"/>
        <family val="2"/>
      </rPr>
      <t>base</t>
    </r>
  </si>
  <si>
    <r>
      <t>kWH</t>
    </r>
    <r>
      <rPr>
        <b/>
        <vertAlign val="subscript"/>
        <sz val="11"/>
        <color indexed="9"/>
        <rFont val="Calibri"/>
        <family val="2"/>
      </rPr>
      <t>eff</t>
    </r>
  </si>
  <si>
    <t>Vat</t>
  </si>
  <si>
    <t>Electric Fryer</t>
  </si>
  <si>
    <t>CI-CO-PR-IT-CA-000002-01-FEPA-CI</t>
  </si>
  <si>
    <t>Standard Vat</t>
  </si>
  <si>
    <t>Large Vat</t>
  </si>
  <si>
    <t>Metric</t>
  </si>
  <si>
    <t>Hours per Day</t>
  </si>
  <si>
    <t>IDLE (kW)</t>
  </si>
  <si>
    <t>PC (lb/hr)</t>
  </si>
  <si>
    <t>Per fryer</t>
  </si>
  <si>
    <t>p 231</t>
  </si>
  <si>
    <t xml:space="preserve">  ENERGY STAR® Commercial Electric Griddles</t>
  </si>
  <si>
    <t>Eligible equipment must be ENERGY STAR®-certified. Only new (unused) equipment is eligible for incentives.</t>
  </si>
  <si>
    <r>
      <t>Cooking Surface Size (ft</t>
    </r>
    <r>
      <rPr>
        <b/>
        <vertAlign val="superscript"/>
        <sz val="11"/>
        <color indexed="9"/>
        <rFont val="Calibri"/>
        <family val="2"/>
      </rPr>
      <t>2</t>
    </r>
    <r>
      <rPr>
        <b/>
        <sz val="11"/>
        <color indexed="9"/>
        <rFont val="Calibri"/>
        <family val="2"/>
      </rPr>
      <t>)</t>
    </r>
  </si>
  <si>
    <t>PRE_NUMBER (preheats/day)</t>
  </si>
  <si>
    <t>Energy Savings (ΔkWh)</t>
  </si>
  <si>
    <t>Demand Reductions (kW)</t>
  </si>
  <si>
    <t>Cook</t>
  </si>
  <si>
    <t>Griddle</t>
  </si>
  <si>
    <t>CI-CO-PR-IT-CA-000004-01-FEPA-CI</t>
  </si>
  <si>
    <t>Per Griddle</t>
  </si>
  <si>
    <r>
      <t>IDLE (kW/ft</t>
    </r>
    <r>
      <rPr>
        <vertAlign val="superscript"/>
        <sz val="11"/>
        <color indexed="8"/>
        <rFont val="Calibri"/>
        <family val="2"/>
      </rPr>
      <t>2</t>
    </r>
    <r>
      <rPr>
        <sz val="11"/>
        <color theme="1"/>
        <rFont val="Calibri"/>
        <family val="2"/>
        <scheme val="minor"/>
      </rPr>
      <t>)</t>
    </r>
  </si>
  <si>
    <t>PHR (kW/ft2)</t>
  </si>
  <si>
    <t>p 224</t>
  </si>
  <si>
    <t xml:space="preserve">  ENERGY STAR® Commercial Hot Food Holding Cabinets</t>
  </si>
  <si>
    <t>ENERGY STAR® hot food holding cabinets have better designs with better insulation to reduce heat loss and maintain more uniform food temperature.  Only new (unused) equipment is eligible for incentives.</t>
  </si>
  <si>
    <r>
      <t>Cabinet Volume (ft</t>
    </r>
    <r>
      <rPr>
        <b/>
        <vertAlign val="superscript"/>
        <sz val="11"/>
        <color indexed="9"/>
        <rFont val="Calibri"/>
        <family val="2"/>
      </rPr>
      <t>3</t>
    </r>
    <r>
      <rPr>
        <b/>
        <sz val="11"/>
        <color indexed="9"/>
        <rFont val="Calibri"/>
        <family val="2"/>
      </rPr>
      <t>)</t>
    </r>
  </si>
  <si>
    <t>Cabinet Size Lookup</t>
  </si>
  <si>
    <r>
      <t>IDLE</t>
    </r>
    <r>
      <rPr>
        <b/>
        <vertAlign val="subscript"/>
        <sz val="11"/>
        <color indexed="9"/>
        <rFont val="Calibri"/>
        <family val="2"/>
      </rPr>
      <t>base</t>
    </r>
  </si>
  <si>
    <r>
      <t>IDLE</t>
    </r>
    <r>
      <rPr>
        <b/>
        <vertAlign val="subscript"/>
        <sz val="11"/>
        <color indexed="9"/>
        <rFont val="Calibri"/>
        <family val="2"/>
      </rPr>
      <t>eff</t>
    </r>
  </si>
  <si>
    <t>CabVol</t>
  </si>
  <si>
    <t>Qauntity</t>
  </si>
  <si>
    <t>Cabinet Size</t>
  </si>
  <si>
    <r>
      <t>IDLE</t>
    </r>
    <r>
      <rPr>
        <b/>
        <vertAlign val="subscript"/>
        <sz val="11"/>
        <color indexed="8"/>
        <rFont val="Calibri"/>
        <family val="2"/>
      </rPr>
      <t>base</t>
    </r>
  </si>
  <si>
    <r>
      <t>IDLE</t>
    </r>
    <r>
      <rPr>
        <b/>
        <vertAlign val="subscript"/>
        <sz val="11"/>
        <color indexed="8"/>
        <rFont val="Calibri"/>
        <family val="2"/>
      </rPr>
      <t>eff</t>
    </r>
  </si>
  <si>
    <t>40X Volume</t>
  </si>
  <si>
    <t>3.8 x Volume + 203.5</t>
  </si>
  <si>
    <t>CI-CO-PR-IT-CA-000005-01-FEPA-CI</t>
  </si>
  <si>
    <t>Three-Quarter Size</t>
  </si>
  <si>
    <t>2.0 x Volume + 254.0</t>
  </si>
  <si>
    <t>21.5 x Volume</t>
  </si>
  <si>
    <t>Per unit</t>
  </si>
  <si>
    <t>p 138</t>
  </si>
  <si>
    <t xml:space="preserve">   Pre-Rinse Spray Nozzels</t>
  </si>
  <si>
    <t>New pre-rinse spray nozzles must have an on/off squeeze lever, use less than 1.6 gallons per minute, and have a cleaning performance of at least 26 seconds to qualify. Only spray nozzles associated with electric water heating qualify for this measure.</t>
  </si>
  <si>
    <t xml:space="preserve">Application </t>
  </si>
  <si>
    <t>Fbase</t>
  </si>
  <si>
    <t>Fee</t>
  </si>
  <si>
    <t>Ubase</t>
  </si>
  <si>
    <t>Uee</t>
  </si>
  <si>
    <t>ETDF</t>
  </si>
  <si>
    <t>App</t>
  </si>
  <si>
    <t>Pre Rinse Spray Nozzles</t>
  </si>
  <si>
    <t>CI-CO-PR-IT-CA-000011-01-FEPA-CI</t>
  </si>
  <si>
    <t>Incentive (per spray nozzle)</t>
  </si>
  <si>
    <t>Pre Rinse Sprayer</t>
  </si>
  <si>
    <t>Table 3-87</t>
  </si>
  <si>
    <t>Commercial Prototype Building</t>
  </si>
  <si>
    <t>Quick-service Restaurant</t>
  </si>
  <si>
    <t>Full-service Restaurant</t>
  </si>
  <si>
    <t>Standalone Retail (Grocery)</t>
  </si>
  <si>
    <t>Default - Unknown</t>
  </si>
  <si>
    <t>Table 3-89</t>
  </si>
  <si>
    <t>Program: Application</t>
  </si>
  <si>
    <t>Flow Rate (GPM)</t>
  </si>
  <si>
    <t>Usage Duration (min/day)</t>
  </si>
  <si>
    <t>UEF</t>
  </si>
  <si>
    <t>Th</t>
  </si>
  <si>
    <t>TC</t>
  </si>
  <si>
    <t>Validation Options</t>
  </si>
  <si>
    <t>Nice Name</t>
  </si>
  <si>
    <t>Grocery</t>
  </si>
  <si>
    <t>Medium Sized Casual 
Dining Restaurants</t>
  </si>
  <si>
    <t>Full Service Restaurant</t>
  </si>
  <si>
    <t>Small Quick Service 
Restaurants</t>
  </si>
  <si>
    <t>Grocery or Unknown</t>
  </si>
  <si>
    <t>Limited Service (Fast Food) Restaurant</t>
  </si>
  <si>
    <t>Large Institutional Establishments 
with Cafeteria</t>
  </si>
  <si>
    <t>Other or Unknown</t>
  </si>
  <si>
    <t>Line Item</t>
  </si>
  <si>
    <t>Project Measure Name</t>
  </si>
  <si>
    <t>Project ID</t>
  </si>
  <si>
    <t>Program ID</t>
  </si>
  <si>
    <t>Project Name</t>
  </si>
  <si>
    <t>Account ID</t>
  </si>
  <si>
    <t>Calculator Version</t>
  </si>
  <si>
    <t>Install Type</t>
  </si>
  <si>
    <t>Make</t>
  </si>
  <si>
    <t>Measure Quantity</t>
  </si>
  <si>
    <t>Demand Savings 
(kW)</t>
  </si>
  <si>
    <t>Demand Savings 
PJM (kW)</t>
  </si>
  <si>
    <t>Volume (ft3)</t>
  </si>
  <si>
    <t>Cooking Surface Size</t>
  </si>
  <si>
    <t>Ice Production Capacity (lbs/day)</t>
  </si>
  <si>
    <t>Case Opening Width (ft)</t>
  </si>
  <si>
    <t>Operating Hours Per Day</t>
  </si>
  <si>
    <t>Pre Existing Curtains</t>
  </si>
  <si>
    <t>Case Opening Area (ft2)</t>
  </si>
  <si>
    <t>Machine Can Capacity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</si>
</sst>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4" formatCode="_(&quot;$&quot;* #,##0.00_);_(&quot;$&quot;* \(#,##0.00\);_(&quot;$&quot;* &quot;-&quot;??_);_(@_)"/>
    <numFmt numFmtId="43" formatCode="_(* #,##0.00_);_(* \(#,##0.00\);_(* &quot;-&quot;??_);_(@_)"/>
    <numFmt numFmtId="164" formatCode="&quot;$&quot;#,##0.00"/>
    <numFmt numFmtId="165" formatCode="#,##0.000"/>
    <numFmt numFmtId="166" formatCode="#,##0.0"/>
    <numFmt numFmtId="167" formatCode="_(* #,##0_);_(* \(#,##0\);_(* &quot;-&quot;??_);_(@_)"/>
    <numFmt numFmtId="168" formatCode="0.000"/>
    <numFmt numFmtId="169" formatCode="0.0"/>
    <numFmt numFmtId="170" formatCode="0.0000000"/>
    <numFmt numFmtId="171" formatCode="_([$$-409]* #,##0.00_);_([$$-409]* \(#,##0.00\);_([$$-409]* &quot;-&quot;??_);_(@_)"/>
  </numFmts>
  <fonts count="51">
    <font>
      <sz val="11"/>
      <color theme="1"/>
      <name val="Calibri"/>
      <family val="2"/>
      <scheme val="minor"/>
    </font>
    <font>
      <b/>
      <sz val="11"/>
      <color indexed="9"/>
      <name val="Calibri"/>
      <family val="2"/>
    </font>
    <font>
      <b/>
      <sz val="11"/>
      <color indexed="8"/>
      <name val="Calibri"/>
      <family val="2"/>
    </font>
    <font>
      <sz val="11"/>
      <color indexed="8"/>
      <name val="Calibri"/>
      <family val="2"/>
    </font>
    <font>
      <b/>
      <vertAlign val="superscript"/>
      <sz val="11"/>
      <color indexed="9"/>
      <name val="Calibri"/>
      <family val="2"/>
    </font>
    <font>
      <b/>
      <vertAlign val="subscript"/>
      <sz val="11"/>
      <color indexed="9"/>
      <name val="Calibri"/>
      <family val="2"/>
    </font>
    <font>
      <b/>
      <sz val="9"/>
      <color indexed="81"/>
      <name val="Tahoma"/>
      <family val="2"/>
    </font>
    <font>
      <sz val="9"/>
      <color indexed="81"/>
      <name val="Tahoma"/>
      <family val="2"/>
    </font>
    <font>
      <b/>
      <vertAlign val="subscript"/>
      <sz val="11"/>
      <color indexed="8"/>
      <name val="Calibri"/>
      <family val="2"/>
    </font>
    <font>
      <vertAlign val="superscript"/>
      <sz val="11"/>
      <color indexed="8"/>
      <name val="Calibri"/>
      <family val="2"/>
    </font>
    <font>
      <b/>
      <vertAlign val="superscript"/>
      <sz val="11"/>
      <color indexed="8"/>
      <name val="Calibri"/>
      <family val="2"/>
    </font>
    <font>
      <sz val="10"/>
      <color indexed="8"/>
      <name val="Calibri"/>
      <family val="2"/>
    </font>
    <font>
      <b/>
      <sz val="10"/>
      <color indexed="8"/>
      <name val="Calibri"/>
      <family val="2"/>
    </font>
    <font>
      <b/>
      <sz val="7"/>
      <color indexed="9"/>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scheme val="minor"/>
    </font>
    <font>
      <b/>
      <sz val="11"/>
      <color theme="1"/>
      <name val="Calibri"/>
      <family val="2"/>
      <scheme val="minor"/>
    </font>
    <font>
      <b/>
      <sz val="11"/>
      <name val="Calibri"/>
      <family val="2"/>
      <scheme val="minor"/>
    </font>
    <font>
      <sz val="11"/>
      <color theme="1"/>
      <name val="Calibri"/>
      <family val="2"/>
    </font>
    <font>
      <sz val="11"/>
      <name val="Calibri"/>
      <family val="2"/>
      <scheme val="minor"/>
    </font>
    <font>
      <sz val="8"/>
      <color theme="0"/>
      <name val="Calibri"/>
      <family val="2"/>
      <scheme val="minor"/>
    </font>
    <font>
      <b/>
      <sz val="10"/>
      <color theme="1"/>
      <name val="Calibri"/>
      <family val="2"/>
      <scheme val="minor"/>
    </font>
    <font>
      <b/>
      <sz val="18"/>
      <color theme="0"/>
      <name val="Calibri"/>
      <family val="2"/>
      <scheme val="minor"/>
    </font>
    <font>
      <b/>
      <sz val="16"/>
      <color theme="1"/>
      <name val="Calibri"/>
      <family val="2"/>
      <scheme val="minor"/>
    </font>
    <font>
      <b/>
      <sz val="10"/>
      <color theme="0"/>
      <name val="Calibri"/>
      <family val="2"/>
      <scheme val="minor"/>
    </font>
    <font>
      <b/>
      <sz val="16"/>
      <color theme="0"/>
      <name val="Calibri"/>
      <family val="2"/>
      <scheme val="minor"/>
    </font>
    <font>
      <sz val="10"/>
      <color theme="1"/>
      <name val="Calibri"/>
      <family val="2"/>
      <scheme val="minor"/>
    </font>
    <font>
      <sz val="9"/>
      <color rgb="FF000000"/>
      <name val="Arial"/>
      <family val="2"/>
    </font>
    <font>
      <sz val="10"/>
      <name val="Calibri"/>
      <family val="2"/>
      <scheme val="minor"/>
    </font>
    <font>
      <sz val="14"/>
      <color theme="1"/>
      <name val="Calibri"/>
      <family val="2"/>
      <scheme val="minor"/>
    </font>
    <font>
      <sz val="24"/>
      <color theme="0"/>
      <name val="Calibri"/>
      <family val="2"/>
      <scheme val="minor"/>
    </font>
    <font>
      <sz val="14"/>
      <color theme="0"/>
      <name val="Calibri"/>
      <family val="2"/>
      <scheme val="minor"/>
    </font>
    <font>
      <b/>
      <sz val="11"/>
      <color theme="0"/>
      <name val="Calibri"/>
      <family val="2"/>
    </font>
    <font>
      <vertAlign val="superscript"/>
      <sz val="11"/>
      <color theme="1"/>
      <name val="Calibri"/>
      <family val="2"/>
    </font>
    <font>
      <vertAlign val="superscript"/>
      <sz val="11"/>
      <color theme="1"/>
      <name val="Calibri"/>
      <family val="2"/>
      <scheme val="minor"/>
    </font>
    <font>
      <b/>
      <vertAlign val="subscript"/>
      <sz val="11"/>
      <color theme="0"/>
      <name val="Calibri"/>
      <family val="2"/>
      <scheme val="minor"/>
    </font>
    <font>
      <b/>
      <sz val="14"/>
      <color theme="1"/>
      <name val="Calibri"/>
      <family val="2"/>
      <scheme val="minor"/>
    </font>
    <font>
      <sz val="8"/>
      <name val="Calibri"/>
      <family val="2"/>
      <scheme val="minor"/>
    </font>
    <font>
      <sz val="11"/>
      <color rgb="FF0070C0"/>
      <name val="Calibri"/>
      <family val="2"/>
      <scheme val="minor"/>
    </font>
    <font>
      <b/>
      <sz val="11"/>
      <color rgb="FF0070C0"/>
      <name val="Calibri"/>
      <family val="2"/>
      <scheme val="minor"/>
    </font>
    <font>
      <sz val="10"/>
      <color rgb="FF0070C0"/>
      <name val="Calibri"/>
      <family val="2"/>
      <scheme val="minor"/>
    </font>
    <font>
      <sz val="11"/>
      <color rgb="FF005CB8"/>
      <name val="Calibri"/>
      <family val="2"/>
      <scheme val="minor"/>
    </font>
    <font>
      <vertAlign val="subscript"/>
      <sz val="11"/>
      <color rgb="FF005CB8"/>
      <name val="Calibri"/>
      <family val="2"/>
    </font>
    <font>
      <sz val="11"/>
      <color rgb="FF9C6500"/>
      <name val="Calibri"/>
      <family val="2"/>
      <scheme val="minor"/>
    </font>
    <font>
      <sz val="11"/>
      <color rgb="FFFF0000"/>
      <name val="Calibri"/>
      <family val="2"/>
      <scheme val="minor"/>
    </font>
    <font>
      <b/>
      <sz val="11"/>
      <color rgb="FF005CB8"/>
      <name val="Calibri"/>
      <family val="2"/>
      <scheme val="minor"/>
    </font>
    <font>
      <b/>
      <i/>
      <sz val="11"/>
      <color theme="0"/>
      <name val="Calibri"/>
      <family val="2"/>
      <scheme val="minor"/>
    </font>
    <font>
      <b/>
      <i/>
      <sz val="11"/>
      <color theme="1"/>
      <name val="Calibri"/>
      <family val="2"/>
      <scheme val="minor"/>
    </font>
    <font>
      <b/>
      <i/>
      <sz val="11"/>
      <color rgb="FF0070C0"/>
      <name val="Calibri"/>
      <family val="2"/>
      <scheme val="minor"/>
    </font>
  </fonts>
  <fills count="19">
    <fill>
      <patternFill patternType="none"/>
    </fill>
    <fill>
      <patternFill patternType="gray125"/>
    </fill>
    <fill>
      <patternFill patternType="solid">
        <fgColor theme="2" tint="-0.249977111117893"/>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C00000"/>
        <bgColor indexed="64"/>
      </patternFill>
    </fill>
    <fill>
      <patternFill patternType="solid">
        <fgColor theme="1" tint="0.249977111117893"/>
        <bgColor indexed="64"/>
      </patternFill>
    </fill>
    <fill>
      <patternFill patternType="solid">
        <fgColor rgb="FFFF0000"/>
        <bgColor indexed="64"/>
      </patternFill>
    </fill>
    <fill>
      <patternFill patternType="solid">
        <fgColor rgb="FF005CB8"/>
        <bgColor indexed="64"/>
      </patternFill>
    </fill>
    <fill>
      <patternFill patternType="solid">
        <fgColor rgb="FFFFEB9C"/>
      </patternFill>
    </fill>
    <fill>
      <patternFill patternType="solid">
        <fgColor rgb="FF00B05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6">
    <xf numFmtId="0" fontId="0" fillId="0" borderId="0"/>
    <xf numFmtId="43" fontId="14" fillId="0" borderId="0" applyFont="0" applyFill="0" applyBorder="0" applyAlignment="0" applyProtection="0"/>
    <xf numFmtId="44" fontId="14" fillId="0" borderId="0" applyFont="0" applyFill="0" applyBorder="0" applyAlignment="0" applyProtection="0"/>
    <xf numFmtId="0" fontId="17" fillId="0" borderId="0" applyNumberFormat="0" applyFill="0" applyBorder="0" applyAlignment="0" applyProtection="0"/>
    <xf numFmtId="9" fontId="14" fillId="0" borderId="0" applyFont="0" applyFill="0" applyBorder="0" applyAlignment="0" applyProtection="0"/>
    <xf numFmtId="0" fontId="45" fillId="17" borderId="0" applyNumberFormat="0" applyBorder="0" applyAlignment="0" applyProtection="0"/>
  </cellStyleXfs>
  <cellXfs count="442">
    <xf numFmtId="0" fontId="0" fillId="0" borderId="0" xfId="0"/>
    <xf numFmtId="0" fontId="18" fillId="0" borderId="0" xfId="0" applyFont="1" applyAlignment="1">
      <alignment horizontal="right"/>
    </xf>
    <xf numFmtId="0" fontId="18" fillId="3" borderId="1" xfId="0" applyFont="1" applyFill="1" applyBorder="1" applyAlignment="1">
      <alignment horizontal="center" vertical="center" wrapText="1"/>
    </xf>
    <xf numFmtId="0" fontId="18" fillId="3" borderId="1" xfId="0" applyFont="1" applyFill="1" applyBorder="1" applyAlignment="1">
      <alignment horizontal="center" vertical="center"/>
    </xf>
    <xf numFmtId="0" fontId="0" fillId="0" borderId="1" xfId="0" applyBorder="1"/>
    <xf numFmtId="0" fontId="0" fillId="0" borderId="1" xfId="0" applyBorder="1" applyAlignment="1">
      <alignment horizontal="center"/>
    </xf>
    <xf numFmtId="0" fontId="0" fillId="0" borderId="1" xfId="0" applyBorder="1" applyAlignment="1">
      <alignment horizontal="center" vertical="center"/>
    </xf>
    <xf numFmtId="0" fontId="0" fillId="3" borderId="1" xfId="0" applyFill="1" applyBorder="1" applyAlignment="1">
      <alignment horizontal="left"/>
    </xf>
    <xf numFmtId="0" fontId="0" fillId="0" borderId="1" xfId="0" applyBorder="1" applyAlignment="1">
      <alignment horizontal="left"/>
    </xf>
    <xf numFmtId="0" fontId="0" fillId="4" borderId="1" xfId="0" applyFill="1" applyBorder="1" applyAlignment="1">
      <alignment horizontal="center" vertical="center" wrapText="1"/>
    </xf>
    <xf numFmtId="2" fontId="0" fillId="6" borderId="1" xfId="0" applyNumberForma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0" fillId="7" borderId="1" xfId="0" applyFill="1" applyBorder="1" applyAlignment="1" applyProtection="1">
      <alignment horizontal="center" vertical="center" wrapText="1"/>
      <protection locked="0"/>
    </xf>
    <xf numFmtId="0" fontId="0" fillId="6" borderId="1" xfId="0" applyFill="1" applyBorder="1"/>
    <xf numFmtId="0" fontId="19" fillId="3" borderId="1" xfId="0" applyFont="1" applyFill="1" applyBorder="1" applyAlignment="1">
      <alignment horizontal="center" vertical="center" wrapText="1"/>
    </xf>
    <xf numFmtId="0" fontId="0" fillId="3" borderId="1" xfId="0" applyFill="1" applyBorder="1" applyAlignment="1">
      <alignment horizontal="center" vertical="center"/>
    </xf>
    <xf numFmtId="2" fontId="0" fillId="4" borderId="1" xfId="0" applyNumberFormat="1" applyFill="1" applyBorder="1" applyAlignment="1">
      <alignment horizontal="center" vertical="center" wrapText="1"/>
    </xf>
    <xf numFmtId="2" fontId="14" fillId="4" borderId="1" xfId="1" applyNumberFormat="1" applyFont="1" applyFill="1" applyBorder="1" applyAlignment="1" applyProtection="1">
      <alignment horizontal="center" vertical="center" wrapText="1"/>
    </xf>
    <xf numFmtId="0" fontId="0" fillId="6" borderId="1" xfId="0" applyFill="1" applyBorder="1" applyAlignment="1">
      <alignment horizontal="center" vertical="center"/>
    </xf>
    <xf numFmtId="0" fontId="0" fillId="0" borderId="1" xfId="0" applyBorder="1" applyAlignment="1">
      <alignment horizontal="left" vertical="center"/>
    </xf>
    <xf numFmtId="0" fontId="0" fillId="9" borderId="1" xfId="0" applyFill="1" applyBorder="1"/>
    <xf numFmtId="168" fontId="0" fillId="6" borderId="1" xfId="0" applyNumberFormat="1" applyFill="1" applyBorder="1" applyAlignment="1">
      <alignment horizontal="center" vertical="center" wrapText="1"/>
    </xf>
    <xf numFmtId="2" fontId="0" fillId="0" borderId="1" xfId="0" applyNumberFormat="1" applyBorder="1" applyAlignment="1">
      <alignment horizontal="center" vertical="center"/>
    </xf>
    <xf numFmtId="168" fontId="0" fillId="0" borderId="1" xfId="0" applyNumberFormat="1" applyBorder="1" applyAlignment="1">
      <alignment horizontal="center" vertical="center"/>
    </xf>
    <xf numFmtId="0" fontId="19" fillId="6" borderId="1" xfId="0" applyFont="1" applyFill="1" applyBorder="1" applyAlignment="1">
      <alignment vertical="center" wrapText="1"/>
    </xf>
    <xf numFmtId="0" fontId="0" fillId="5" borderId="0" xfId="0" applyFill="1"/>
    <xf numFmtId="0" fontId="0" fillId="0" borderId="0" xfId="0" applyAlignment="1">
      <alignment vertical="top"/>
    </xf>
    <xf numFmtId="0" fontId="0" fillId="8" borderId="0" xfId="0" applyFill="1" applyAlignment="1">
      <alignment horizontal="left" vertical="center"/>
    </xf>
    <xf numFmtId="0" fontId="0" fillId="8" borderId="0" xfId="0" applyFill="1"/>
    <xf numFmtId="0" fontId="0" fillId="0" borderId="0" xfId="0" applyAlignment="1">
      <alignment horizontal="left" vertical="center"/>
    </xf>
    <xf numFmtId="43" fontId="0" fillId="0" borderId="1" xfId="0" applyNumberFormat="1" applyBorder="1" applyAlignment="1">
      <alignment horizontal="center" vertical="center"/>
    </xf>
    <xf numFmtId="1" fontId="0" fillId="0" borderId="1" xfId="0" applyNumberFormat="1" applyBorder="1" applyAlignment="1">
      <alignment horizontal="center" vertical="center"/>
    </xf>
    <xf numFmtId="2" fontId="0" fillId="0" borderId="4" xfId="0" applyNumberFormat="1" applyBorder="1" applyAlignment="1">
      <alignment horizontal="center" vertical="center"/>
    </xf>
    <xf numFmtId="43" fontId="0" fillId="0" borderId="4" xfId="0" applyNumberFormat="1" applyBorder="1" applyAlignment="1">
      <alignment horizontal="center" vertical="center"/>
    </xf>
    <xf numFmtId="0" fontId="0" fillId="0" borderId="0" xfId="0" applyAlignment="1">
      <alignment horizontal="center" vertical="center"/>
    </xf>
    <xf numFmtId="164" fontId="0" fillId="0" borderId="0" xfId="0" applyNumberFormat="1" applyAlignment="1">
      <alignment horizontal="center" vertical="center"/>
    </xf>
    <xf numFmtId="2" fontId="0" fillId="0" borderId="0" xfId="0" applyNumberFormat="1" applyAlignment="1">
      <alignment horizontal="center" vertical="center"/>
    </xf>
    <xf numFmtId="170" fontId="0" fillId="0" borderId="0" xfId="0" applyNumberFormat="1" applyAlignment="1">
      <alignment horizontal="center" vertical="center"/>
    </xf>
    <xf numFmtId="1" fontId="0" fillId="0" borderId="0" xfId="0" applyNumberFormat="1" applyAlignment="1">
      <alignment horizontal="center" vertical="center"/>
    </xf>
    <xf numFmtId="164" fontId="14" fillId="0" borderId="5" xfId="1" applyNumberFormat="1" applyFont="1" applyBorder="1" applyAlignment="1" applyProtection="1">
      <alignment horizontal="right" vertical="center"/>
    </xf>
    <xf numFmtId="164" fontId="14" fillId="0" borderId="6" xfId="1" applyNumberFormat="1" applyFont="1" applyBorder="1" applyAlignment="1" applyProtection="1">
      <alignment horizontal="right" vertical="center"/>
    </xf>
    <xf numFmtId="0" fontId="0" fillId="2" borderId="0" xfId="0" applyFill="1"/>
    <xf numFmtId="164" fontId="0" fillId="4" borderId="1" xfId="0" applyNumberFormat="1" applyFill="1" applyBorder="1" applyAlignment="1">
      <alignment horizontal="center" vertical="center"/>
    </xf>
    <xf numFmtId="0" fontId="21" fillId="7" borderId="1" xfId="0" applyFont="1"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11" borderId="1" xfId="0" applyFill="1" applyBorder="1" applyAlignment="1">
      <alignment horizontal="center" vertical="center"/>
    </xf>
    <xf numFmtId="2" fontId="0" fillId="4" borderId="1" xfId="0" applyNumberFormat="1" applyFill="1" applyBorder="1" applyAlignment="1">
      <alignment horizontal="center" vertical="center"/>
    </xf>
    <xf numFmtId="0" fontId="18" fillId="6" borderId="1" xfId="0" applyFont="1" applyFill="1" applyBorder="1" applyAlignment="1">
      <alignment vertical="center"/>
    </xf>
    <xf numFmtId="0" fontId="18" fillId="6" borderId="1" xfId="0" applyFont="1" applyFill="1" applyBorder="1"/>
    <xf numFmtId="0" fontId="18" fillId="0" borderId="1" xfId="0" applyFont="1" applyBorder="1" applyAlignment="1">
      <alignment horizontal="center"/>
    </xf>
    <xf numFmtId="169" fontId="0" fillId="0" borderId="1" xfId="0" applyNumberFormat="1" applyBorder="1" applyAlignment="1">
      <alignment horizontal="center" vertical="center"/>
    </xf>
    <xf numFmtId="169" fontId="0" fillId="0" borderId="1" xfId="0" applyNumberFormat="1" applyBorder="1" applyAlignment="1" applyProtection="1">
      <alignment horizontal="center" vertical="center"/>
      <protection locked="0"/>
    </xf>
    <xf numFmtId="1" fontId="0" fillId="7" borderId="1" xfId="0" applyNumberFormat="1" applyFill="1" applyBorder="1" applyAlignment="1" applyProtection="1">
      <alignment horizontal="center" vertical="center"/>
      <protection locked="0"/>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2" fontId="0" fillId="0" borderId="0" xfId="0" applyNumberFormat="1" applyAlignment="1">
      <alignment horizontal="center"/>
    </xf>
    <xf numFmtId="2" fontId="0" fillId="0" borderId="1" xfId="0" applyNumberFormat="1" applyBorder="1" applyAlignment="1">
      <alignment horizontal="center"/>
    </xf>
    <xf numFmtId="0" fontId="23" fillId="3" borderId="1" xfId="0" applyFont="1" applyFill="1" applyBorder="1"/>
    <xf numFmtId="0" fontId="0" fillId="0" borderId="1" xfId="0" applyBorder="1" applyAlignment="1" applyProtection="1">
      <alignment horizontal="center" vertical="center" wrapText="1"/>
      <protection locked="0"/>
    </xf>
    <xf numFmtId="164" fontId="0" fillId="0" borderId="0" xfId="0" applyNumberFormat="1"/>
    <xf numFmtId="0" fontId="18" fillId="4" borderId="7" xfId="0" applyFont="1" applyFill="1" applyBorder="1" applyAlignment="1">
      <alignment vertical="center"/>
    </xf>
    <xf numFmtId="0" fontId="18" fillId="4" borderId="8" xfId="0" applyFont="1" applyFill="1" applyBorder="1" applyAlignment="1">
      <alignment vertical="center"/>
    </xf>
    <xf numFmtId="0" fontId="18" fillId="4" borderId="9" xfId="0" applyFont="1" applyFill="1" applyBorder="1" applyAlignment="1">
      <alignment vertical="center"/>
    </xf>
    <xf numFmtId="2" fontId="0" fillId="0" borderId="13" xfId="0" applyNumberFormat="1" applyBorder="1" applyAlignment="1">
      <alignment horizontal="center" vertical="center"/>
    </xf>
    <xf numFmtId="43" fontId="0" fillId="0" borderId="13" xfId="0" applyNumberFormat="1" applyBorder="1" applyAlignment="1">
      <alignment horizontal="center" vertical="center"/>
    </xf>
    <xf numFmtId="164" fontId="14" fillId="0" borderId="3" xfId="1" applyNumberFormat="1" applyFont="1" applyBorder="1" applyAlignment="1" applyProtection="1">
      <alignment horizontal="right" vertical="center"/>
    </xf>
    <xf numFmtId="0" fontId="0" fillId="0" borderId="14" xfId="0" applyBorder="1" applyAlignment="1">
      <alignment horizontal="center" vertical="center"/>
    </xf>
    <xf numFmtId="0" fontId="0" fillId="0" borderId="15" xfId="0" applyBorder="1" applyAlignment="1">
      <alignment horizontal="center" vertical="center"/>
    </xf>
    <xf numFmtId="1" fontId="0" fillId="0" borderId="15" xfId="0" applyNumberFormat="1" applyBorder="1" applyAlignment="1">
      <alignment horizontal="center" vertical="center"/>
    </xf>
    <xf numFmtId="0" fontId="0" fillId="0" borderId="16" xfId="0" applyBorder="1" applyAlignment="1">
      <alignment horizontal="center" vertical="center"/>
    </xf>
    <xf numFmtId="0" fontId="0" fillId="10" borderId="17" xfId="0" applyFill="1" applyBorder="1"/>
    <xf numFmtId="0" fontId="0" fillId="10" borderId="18" xfId="0" applyFill="1" applyBorder="1"/>
    <xf numFmtId="0" fontId="0" fillId="10" borderId="19" xfId="0" applyFill="1" applyBorder="1"/>
    <xf numFmtId="0" fontId="24" fillId="10" borderId="20" xfId="0" applyFont="1" applyFill="1" applyBorder="1" applyAlignment="1">
      <alignment vertical="center"/>
    </xf>
    <xf numFmtId="0" fontId="0" fillId="10" borderId="21" xfId="0" applyFill="1" applyBorder="1"/>
    <xf numFmtId="0" fontId="25" fillId="10" borderId="0" xfId="0" applyFont="1" applyFill="1" applyAlignment="1">
      <alignment horizontal="center" vertical="center" wrapText="1"/>
    </xf>
    <xf numFmtId="0" fontId="25" fillId="10" borderId="0" xfId="0" applyFont="1" applyFill="1" applyAlignment="1">
      <alignment horizontal="center" vertical="center"/>
    </xf>
    <xf numFmtId="0" fontId="26" fillId="10" borderId="20" xfId="0" applyFont="1" applyFill="1" applyBorder="1" applyAlignment="1">
      <alignment horizontal="right"/>
    </xf>
    <xf numFmtId="0" fontId="0" fillId="10" borderId="0" xfId="0" applyFill="1"/>
    <xf numFmtId="0" fontId="26" fillId="10" borderId="22" xfId="0" applyFont="1" applyFill="1" applyBorder="1" applyAlignment="1">
      <alignment horizontal="right"/>
    </xf>
    <xf numFmtId="0" fontId="0" fillId="10" borderId="23" xfId="0" applyFill="1" applyBorder="1"/>
    <xf numFmtId="0" fontId="0" fillId="10" borderId="24" xfId="0" applyFill="1" applyBorder="1"/>
    <xf numFmtId="0" fontId="18" fillId="0" borderId="1" xfId="0" applyFont="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lignment horizontal="right" vertical="center"/>
    </xf>
    <xf numFmtId="0" fontId="18" fillId="0" borderId="1" xfId="0" applyFont="1" applyBorder="1"/>
    <xf numFmtId="0" fontId="18" fillId="0" borderId="25" xfId="0" applyFont="1" applyBorder="1"/>
    <xf numFmtId="0" fontId="0" fillId="0" borderId="26" xfId="0" applyBorder="1" applyAlignment="1">
      <alignment horizontal="center" vertical="center"/>
    </xf>
    <xf numFmtId="170" fontId="0" fillId="0" borderId="1" xfId="0" applyNumberFormat="1" applyBorder="1" applyAlignment="1">
      <alignment horizontal="center" vertical="center"/>
    </xf>
    <xf numFmtId="39" fontId="14" fillId="0" borderId="1" xfId="1" applyNumberFormat="1" applyFont="1" applyBorder="1" applyAlignment="1" applyProtection="1">
      <alignment horizontal="center" vertical="center"/>
    </xf>
    <xf numFmtId="4" fontId="14" fillId="0" borderId="1" xfId="1" applyNumberFormat="1" applyFont="1" applyBorder="1" applyAlignment="1" applyProtection="1">
      <alignment horizontal="center" vertical="center"/>
    </xf>
    <xf numFmtId="0" fontId="18" fillId="0" borderId="1" xfId="0" applyFont="1" applyBorder="1" applyAlignment="1">
      <alignment horizontal="left" vertical="center"/>
    </xf>
    <xf numFmtId="164" fontId="0" fillId="0" borderId="1" xfId="0" applyNumberFormat="1" applyBorder="1" applyAlignment="1">
      <alignment horizontal="center"/>
    </xf>
    <xf numFmtId="0" fontId="0" fillId="7" borderId="1" xfId="0" applyFill="1" applyBorder="1" applyAlignment="1">
      <alignment horizontal="center"/>
    </xf>
    <xf numFmtId="0" fontId="19" fillId="4" borderId="7" xfId="3" applyFont="1" applyFill="1" applyBorder="1" applyAlignment="1" applyProtection="1">
      <alignment horizontal="left" vertical="center"/>
      <protection locked="0"/>
    </xf>
    <xf numFmtId="0" fontId="19" fillId="4" borderId="8" xfId="3" applyFont="1" applyFill="1" applyBorder="1" applyAlignment="1" applyProtection="1">
      <alignment horizontal="left" vertical="center"/>
      <protection locked="0"/>
    </xf>
    <xf numFmtId="0" fontId="19" fillId="4" borderId="9" xfId="3" applyFont="1" applyFill="1" applyBorder="1" applyAlignment="1" applyProtection="1">
      <alignment horizontal="left" vertical="center"/>
      <protection locked="0"/>
    </xf>
    <xf numFmtId="0" fontId="0" fillId="7" borderId="0" xfId="0" applyFill="1"/>
    <xf numFmtId="0" fontId="0" fillId="12" borderId="0" xfId="0" applyFill="1"/>
    <xf numFmtId="0" fontId="0" fillId="0" borderId="1" xfId="0" applyBorder="1" applyAlignment="1" applyProtection="1">
      <alignment horizontal="center"/>
      <protection locked="0"/>
    </xf>
    <xf numFmtId="0" fontId="0" fillId="3" borderId="1" xfId="0" applyFill="1" applyBorder="1" applyAlignment="1">
      <alignment horizontal="center"/>
    </xf>
    <xf numFmtId="0" fontId="0" fillId="6" borderId="1" xfId="0" applyFill="1" applyBorder="1" applyAlignment="1">
      <alignment horizontal="center" vertical="center" wrapText="1"/>
    </xf>
    <xf numFmtId="0" fontId="0" fillId="6" borderId="1" xfId="0" applyFill="1" applyBorder="1" applyAlignment="1">
      <alignment horizontal="center"/>
    </xf>
    <xf numFmtId="0" fontId="0" fillId="0" borderId="1" xfId="0" applyBorder="1" applyAlignment="1">
      <alignment vertical="center" wrapText="1"/>
    </xf>
    <xf numFmtId="0" fontId="28" fillId="6" borderId="1" xfId="0" applyFont="1" applyFill="1" applyBorder="1" applyAlignment="1">
      <alignment vertical="center"/>
    </xf>
    <xf numFmtId="0" fontId="28" fillId="6" borderId="26" xfId="0" applyFont="1" applyFill="1" applyBorder="1"/>
    <xf numFmtId="0" fontId="28" fillId="0" borderId="1" xfId="0" applyFont="1" applyBorder="1" applyAlignment="1">
      <alignment vertical="center"/>
    </xf>
    <xf numFmtId="4" fontId="0" fillId="6" borderId="1" xfId="0" applyNumberFormat="1" applyFill="1" applyBorder="1" applyAlignment="1">
      <alignment horizontal="center" vertical="center"/>
    </xf>
    <xf numFmtId="4" fontId="0" fillId="4" borderId="1" xfId="0" applyNumberFormat="1" applyFill="1" applyBorder="1" applyAlignment="1">
      <alignment horizontal="center" vertical="center"/>
    </xf>
    <xf numFmtId="3" fontId="0" fillId="0" borderId="0" xfId="0" applyNumberFormat="1" applyAlignment="1">
      <alignment horizontal="center"/>
    </xf>
    <xf numFmtId="0" fontId="29" fillId="0" borderId="0" xfId="0" applyFont="1"/>
    <xf numFmtId="0" fontId="0" fillId="0" borderId="1" xfId="0" applyBorder="1" applyAlignment="1">
      <alignment horizontal="center" wrapText="1"/>
    </xf>
    <xf numFmtId="164" fontId="21" fillId="0" borderId="1" xfId="0" applyNumberFormat="1" applyFont="1" applyBorder="1" applyAlignment="1">
      <alignment horizontal="center" wrapText="1"/>
    </xf>
    <xf numFmtId="9" fontId="0" fillId="6" borderId="1" xfId="0" applyNumberFormat="1" applyFill="1" applyBorder="1" applyAlignment="1">
      <alignment horizontal="center" vertical="center"/>
    </xf>
    <xf numFmtId="3" fontId="0" fillId="6" borderId="1" xfId="0" applyNumberFormat="1" applyFill="1" applyBorder="1" applyAlignment="1">
      <alignment horizontal="center" vertical="center"/>
    </xf>
    <xf numFmtId="2" fontId="0" fillId="6" borderId="1" xfId="0" applyNumberFormat="1" applyFill="1" applyBorder="1" applyAlignment="1">
      <alignment horizontal="center" vertical="center"/>
    </xf>
    <xf numFmtId="168" fontId="0" fillId="0" borderId="1" xfId="0" applyNumberFormat="1" applyBorder="1" applyAlignment="1">
      <alignment horizontal="center" vertical="top"/>
    </xf>
    <xf numFmtId="9" fontId="0" fillId="0" borderId="1" xfId="0" applyNumberFormat="1" applyBorder="1" applyAlignment="1">
      <alignment horizontal="center" vertical="center"/>
    </xf>
    <xf numFmtId="9" fontId="0" fillId="0" borderId="1" xfId="0" applyNumberFormat="1" applyBorder="1" applyAlignment="1">
      <alignment horizontal="center" vertical="top"/>
    </xf>
    <xf numFmtId="0" fontId="0" fillId="0" borderId="1" xfId="0" applyBorder="1" applyAlignment="1">
      <alignment horizontal="center" vertical="top"/>
    </xf>
    <xf numFmtId="0" fontId="0" fillId="0" borderId="1" xfId="0" applyBorder="1" applyAlignment="1">
      <alignment horizontal="center" vertical="center" wrapText="1"/>
    </xf>
    <xf numFmtId="164" fontId="0" fillId="0" borderId="1" xfId="0" applyNumberFormat="1" applyBorder="1" applyAlignment="1">
      <alignment horizontal="center" wrapText="1"/>
    </xf>
    <xf numFmtId="9" fontId="14" fillId="3" borderId="1" xfId="4" applyFont="1" applyFill="1" applyBorder="1" applyAlignment="1" applyProtection="1">
      <alignment horizontal="center" vertical="center"/>
    </xf>
    <xf numFmtId="168" fontId="0" fillId="3" borderId="1" xfId="0" applyNumberFormat="1" applyFill="1" applyBorder="1" applyAlignment="1">
      <alignment horizontal="center" vertical="center"/>
    </xf>
    <xf numFmtId="2" fontId="0" fillId="3" borderId="1" xfId="0" applyNumberFormat="1" applyFill="1" applyBorder="1" applyAlignment="1">
      <alignment horizontal="center" vertical="center"/>
    </xf>
    <xf numFmtId="166" fontId="0" fillId="3" borderId="1" xfId="0" applyNumberFormat="1" applyFill="1" applyBorder="1" applyAlignment="1">
      <alignment horizontal="center" vertical="center"/>
    </xf>
    <xf numFmtId="4" fontId="0" fillId="3" borderId="1" xfId="0" applyNumberFormat="1" applyFill="1" applyBorder="1" applyAlignment="1">
      <alignment horizontal="center" vertical="center"/>
    </xf>
    <xf numFmtId="4" fontId="21" fillId="4" borderId="1" xfId="0" applyNumberFormat="1" applyFont="1" applyFill="1" applyBorder="1" applyAlignment="1">
      <alignment horizontal="center" vertical="center"/>
    </xf>
    <xf numFmtId="164" fontId="21" fillId="4" borderId="1" xfId="0" applyNumberFormat="1" applyFont="1" applyFill="1" applyBorder="1" applyAlignment="1">
      <alignment horizontal="center" vertical="center"/>
    </xf>
    <xf numFmtId="0" fontId="18" fillId="6" borderId="2" xfId="0" applyFont="1" applyFill="1" applyBorder="1" applyAlignment="1">
      <alignment horizontal="center" vertical="center" wrapText="1"/>
    </xf>
    <xf numFmtId="0" fontId="0" fillId="8" borderId="0" xfId="0" applyFill="1" applyAlignment="1">
      <alignment horizontal="left"/>
    </xf>
    <xf numFmtId="4" fontId="21" fillId="6" borderId="1" xfId="0" applyNumberFormat="1" applyFont="1" applyFill="1" applyBorder="1" applyAlignment="1">
      <alignment horizontal="center" vertical="center"/>
    </xf>
    <xf numFmtId="164" fontId="14" fillId="4" borderId="1" xfId="2" applyNumberFormat="1" applyFont="1" applyFill="1" applyBorder="1" applyAlignment="1" applyProtection="1">
      <alignment horizontal="center" vertical="center"/>
    </xf>
    <xf numFmtId="0" fontId="21" fillId="0" borderId="1" xfId="0" applyFont="1" applyBorder="1" applyAlignment="1">
      <alignment horizontal="left"/>
    </xf>
    <xf numFmtId="9" fontId="0" fillId="0" borderId="1" xfId="0" applyNumberFormat="1" applyBorder="1"/>
    <xf numFmtId="0" fontId="0" fillId="0" borderId="0" xfId="0" applyAlignment="1">
      <alignment horizontal="left"/>
    </xf>
    <xf numFmtId="0" fontId="0" fillId="0" borderId="1" xfId="0" applyBorder="1" applyAlignment="1">
      <alignment vertical="center"/>
    </xf>
    <xf numFmtId="0" fontId="0" fillId="0" borderId="0" xfId="0" applyAlignment="1">
      <alignment horizontal="center" vertical="center" wrapText="1"/>
    </xf>
    <xf numFmtId="167" fontId="14" fillId="0" borderId="0" xfId="1" applyNumberFormat="1" applyFont="1" applyFill="1" applyBorder="1" applyAlignment="1" applyProtection="1">
      <alignment horizontal="center" vertical="center" wrapText="1"/>
    </xf>
    <xf numFmtId="0" fontId="18" fillId="6" borderId="1" xfId="0" applyFont="1" applyFill="1" applyBorder="1" applyAlignment="1">
      <alignment horizontal="left" vertical="top" wrapText="1"/>
    </xf>
    <xf numFmtId="0" fontId="18" fillId="0" borderId="1" xfId="0" applyFont="1" applyBorder="1" applyAlignment="1">
      <alignment horizontal="left" vertical="top" wrapText="1"/>
    </xf>
    <xf numFmtId="0" fontId="18" fillId="0" borderId="0" xfId="0" applyFont="1" applyAlignment="1">
      <alignment horizontal="center" vertical="center"/>
    </xf>
    <xf numFmtId="165" fontId="0" fillId="6" borderId="1" xfId="0" applyNumberFormat="1" applyFill="1" applyBorder="1" applyAlignment="1">
      <alignment horizontal="center" vertical="center"/>
    </xf>
    <xf numFmtId="168" fontId="0" fillId="0" borderId="0" xfId="0" applyNumberFormat="1" applyAlignment="1">
      <alignment horizontal="center" vertical="center"/>
    </xf>
    <xf numFmtId="168" fontId="21" fillId="0" borderId="0" xfId="0" applyNumberFormat="1" applyFont="1" applyAlignment="1">
      <alignment horizontal="center" vertical="center"/>
    </xf>
    <xf numFmtId="169" fontId="0" fillId="0" borderId="0" xfId="0" applyNumberFormat="1" applyAlignment="1">
      <alignment horizontal="center" vertical="center"/>
    </xf>
    <xf numFmtId="0" fontId="0" fillId="7" borderId="0" xfId="0" applyFill="1" applyAlignment="1">
      <alignment horizontal="center" vertical="center"/>
    </xf>
    <xf numFmtId="0" fontId="0" fillId="7" borderId="0" xfId="0" applyFill="1" applyAlignment="1">
      <alignment horizontal="left" vertical="center"/>
    </xf>
    <xf numFmtId="0" fontId="19" fillId="4" borderId="7" xfId="0" applyFont="1" applyFill="1" applyBorder="1" applyAlignment="1">
      <alignment horizontal="left" vertical="center"/>
    </xf>
    <xf numFmtId="0" fontId="19" fillId="4" borderId="8" xfId="0" applyFont="1" applyFill="1" applyBorder="1" applyAlignment="1">
      <alignment horizontal="left" vertical="center"/>
    </xf>
    <xf numFmtId="0" fontId="19" fillId="4" borderId="29" xfId="0" applyFont="1" applyFill="1" applyBorder="1" applyAlignment="1">
      <alignment horizontal="left" vertical="center"/>
    </xf>
    <xf numFmtId="0" fontId="19" fillId="4" borderId="9" xfId="0" applyFont="1" applyFill="1" applyBorder="1" applyAlignment="1">
      <alignment horizontal="left" vertical="center"/>
    </xf>
    <xf numFmtId="0" fontId="0" fillId="0" borderId="30" xfId="0" applyBorder="1" applyAlignment="1">
      <alignment horizontal="center" vertical="center"/>
    </xf>
    <xf numFmtId="2" fontId="0" fillId="0" borderId="30" xfId="0" applyNumberFormat="1" applyBorder="1" applyAlignment="1">
      <alignment horizontal="center" vertical="center"/>
    </xf>
    <xf numFmtId="170" fontId="0" fillId="0" borderId="30" xfId="0" applyNumberFormat="1" applyBorder="1" applyAlignment="1">
      <alignment horizontal="center" vertical="center"/>
    </xf>
    <xf numFmtId="168" fontId="0" fillId="0" borderId="30" xfId="0" applyNumberFormat="1" applyBorder="1" applyAlignment="1">
      <alignment horizontal="center" vertical="center"/>
    </xf>
    <xf numFmtId="1" fontId="0" fillId="0" borderId="30" xfId="0" applyNumberFormat="1" applyBorder="1" applyAlignment="1">
      <alignment horizontal="center" vertical="center"/>
    </xf>
    <xf numFmtId="0" fontId="0" fillId="6" borderId="1" xfId="0" applyFill="1" applyBorder="1" applyAlignment="1">
      <alignment horizontal="left"/>
    </xf>
    <xf numFmtId="0" fontId="19" fillId="6" borderId="1" xfId="0" applyFont="1" applyFill="1" applyBorder="1" applyAlignment="1">
      <alignment horizontal="center" vertical="center" wrapText="1"/>
    </xf>
    <xf numFmtId="0" fontId="18" fillId="3" borderId="26" xfId="0" applyFont="1" applyFill="1" applyBorder="1"/>
    <xf numFmtId="14" fontId="18" fillId="3" borderId="27" xfId="0" applyNumberFormat="1" applyFont="1" applyFill="1" applyBorder="1" applyAlignment="1">
      <alignment horizontal="center"/>
    </xf>
    <xf numFmtId="0" fontId="18" fillId="6" borderId="26" xfId="0" applyFont="1" applyFill="1" applyBorder="1"/>
    <xf numFmtId="14" fontId="18" fillId="6" borderId="27" xfId="0" applyNumberFormat="1" applyFont="1" applyFill="1" applyBorder="1" applyAlignment="1">
      <alignment horizontal="center"/>
    </xf>
    <xf numFmtId="0" fontId="21" fillId="8" borderId="0" xfId="0" applyFont="1" applyFill="1"/>
    <xf numFmtId="2" fontId="0" fillId="4" borderId="1" xfId="0" applyNumberFormat="1" applyFill="1" applyBorder="1" applyAlignment="1">
      <alignment horizontal="center"/>
    </xf>
    <xf numFmtId="164" fontId="0" fillId="4" borderId="1" xfId="0" applyNumberFormat="1" applyFill="1" applyBorder="1" applyAlignment="1">
      <alignment horizontal="center"/>
    </xf>
    <xf numFmtId="0" fontId="18" fillId="0" borderId="0" xfId="0" applyFont="1"/>
    <xf numFmtId="0" fontId="18" fillId="6" borderId="1" xfId="0" applyFont="1" applyFill="1" applyBorder="1" applyAlignment="1">
      <alignment horizontal="left" vertical="center"/>
    </xf>
    <xf numFmtId="0" fontId="20" fillId="0" borderId="1" xfId="0" applyFont="1" applyBorder="1" applyAlignment="1">
      <alignment horizontal="center" vertical="center"/>
    </xf>
    <xf numFmtId="0" fontId="18" fillId="9" borderId="1" xfId="0" applyFont="1" applyFill="1" applyBorder="1" applyAlignment="1">
      <alignment horizontal="center" vertical="center"/>
    </xf>
    <xf numFmtId="0" fontId="0" fillId="0" borderId="0" xfId="0" applyAlignment="1">
      <alignment vertical="center"/>
    </xf>
    <xf numFmtId="14" fontId="18" fillId="0" borderId="0" xfId="0" applyNumberFormat="1" applyFont="1" applyAlignment="1">
      <alignment horizontal="center"/>
    </xf>
    <xf numFmtId="0" fontId="0" fillId="0" borderId="1" xfId="0" quotePrefix="1" applyBorder="1" applyAlignment="1">
      <alignment horizontal="center" vertical="center"/>
    </xf>
    <xf numFmtId="0" fontId="20" fillId="0" borderId="0" xfId="0" applyFont="1" applyAlignment="1">
      <alignment horizontal="center" vertical="center"/>
    </xf>
    <xf numFmtId="0" fontId="0" fillId="15" borderId="1" xfId="0" applyFill="1" applyBorder="1"/>
    <xf numFmtId="9" fontId="0" fillId="15" borderId="1" xfId="0" applyNumberFormat="1" applyFill="1" applyBorder="1"/>
    <xf numFmtId="0" fontId="38" fillId="0" borderId="0" xfId="0" applyFont="1"/>
    <xf numFmtId="14" fontId="0" fillId="0" borderId="0" xfId="0" applyNumberFormat="1"/>
    <xf numFmtId="0" fontId="0" fillId="0" borderId="0" xfId="0" applyAlignment="1">
      <alignment horizontal="right"/>
    </xf>
    <xf numFmtId="0" fontId="16" fillId="16" borderId="1" xfId="0" applyFont="1" applyFill="1" applyBorder="1" applyAlignment="1">
      <alignment horizontal="center" vertical="center"/>
    </xf>
    <xf numFmtId="0" fontId="16" fillId="16" borderId="1" xfId="0" applyFont="1" applyFill="1" applyBorder="1" applyAlignment="1">
      <alignment horizontal="center" vertical="center" wrapText="1"/>
    </xf>
    <xf numFmtId="0" fontId="16" fillId="16" borderId="2" xfId="0" applyFont="1" applyFill="1" applyBorder="1" applyAlignment="1">
      <alignment horizontal="center" vertical="center" wrapText="1"/>
    </xf>
    <xf numFmtId="0" fontId="16" fillId="16" borderId="10" xfId="0" applyFont="1" applyFill="1" applyBorder="1" applyAlignment="1">
      <alignment horizontal="center" vertical="center" wrapText="1"/>
    </xf>
    <xf numFmtId="0" fontId="16" fillId="16" borderId="11" xfId="0" applyFont="1" applyFill="1" applyBorder="1" applyAlignment="1">
      <alignment horizontal="center" vertical="center"/>
    </xf>
    <xf numFmtId="0" fontId="16" fillId="16" borderId="11" xfId="0" applyFont="1" applyFill="1" applyBorder="1" applyAlignment="1">
      <alignment horizontal="center" vertical="center" wrapText="1"/>
    </xf>
    <xf numFmtId="0" fontId="16" fillId="16" borderId="12" xfId="0" applyFont="1" applyFill="1" applyBorder="1" applyAlignment="1">
      <alignment horizontal="center" vertical="center" wrapText="1"/>
    </xf>
    <xf numFmtId="2" fontId="22" fillId="16" borderId="3" xfId="0" applyNumberFormat="1" applyFont="1" applyFill="1" applyBorder="1" applyAlignment="1">
      <alignment horizontal="center" vertical="center"/>
    </xf>
    <xf numFmtId="2" fontId="28" fillId="0" borderId="1" xfId="0" applyNumberFormat="1" applyFont="1" applyBorder="1" applyAlignment="1">
      <alignment horizontal="center" vertical="center"/>
    </xf>
    <xf numFmtId="0" fontId="0" fillId="0" borderId="0" xfId="0" applyAlignment="1" applyProtection="1">
      <alignment horizontal="center" vertical="center"/>
      <protection locked="0"/>
    </xf>
    <xf numFmtId="0" fontId="0" fillId="14" borderId="1" xfId="0" applyFill="1" applyBorder="1" applyAlignment="1" applyProtection="1">
      <alignment horizontal="center" vertical="center"/>
      <protection locked="0"/>
    </xf>
    <xf numFmtId="0" fontId="40" fillId="0" borderId="1" xfId="0" applyFont="1" applyBorder="1" applyAlignment="1">
      <alignment horizontal="center" vertical="center"/>
    </xf>
    <xf numFmtId="9" fontId="40" fillId="0" borderId="1" xfId="0" applyNumberFormat="1" applyFont="1" applyBorder="1" applyAlignment="1">
      <alignment horizontal="center" vertical="center"/>
    </xf>
    <xf numFmtId="168" fontId="40" fillId="0" borderId="1" xfId="0" applyNumberFormat="1" applyFont="1" applyBorder="1" applyAlignment="1">
      <alignment horizontal="center" vertical="center"/>
    </xf>
    <xf numFmtId="169" fontId="40" fillId="0" borderId="1" xfId="0" applyNumberFormat="1" applyFont="1" applyBorder="1" applyAlignment="1">
      <alignment horizontal="center" vertical="center"/>
    </xf>
    <xf numFmtId="9" fontId="40" fillId="0" borderId="1" xfId="4" applyFont="1" applyBorder="1" applyAlignment="1" applyProtection="1">
      <alignment horizontal="center" vertical="center"/>
    </xf>
    <xf numFmtId="0" fontId="40" fillId="0" borderId="1" xfId="0" applyFont="1" applyBorder="1" applyAlignment="1">
      <alignment horizontal="left"/>
    </xf>
    <xf numFmtId="0" fontId="40" fillId="0" borderId="1" xfId="0" applyFont="1" applyBorder="1"/>
    <xf numFmtId="9" fontId="40" fillId="0" borderId="1" xfId="0" applyNumberFormat="1" applyFont="1" applyBorder="1"/>
    <xf numFmtId="0" fontId="41" fillId="11" borderId="1" xfId="0" applyFont="1" applyFill="1" applyBorder="1" applyAlignment="1">
      <alignment horizontal="center" vertical="center" wrapText="1"/>
    </xf>
    <xf numFmtId="0" fontId="40" fillId="0" borderId="0" xfId="0" applyFont="1"/>
    <xf numFmtId="0" fontId="40" fillId="0" borderId="1" xfId="0" applyFont="1" applyBorder="1" applyAlignment="1">
      <alignment horizontal="left" vertical="center" wrapText="1"/>
    </xf>
    <xf numFmtId="0" fontId="40" fillId="0" borderId="0" xfId="0" applyFont="1" applyAlignment="1">
      <alignment horizontal="left"/>
    </xf>
    <xf numFmtId="0" fontId="41" fillId="3" borderId="1" xfId="0" applyFont="1" applyFill="1" applyBorder="1" applyAlignment="1">
      <alignment horizontal="center" vertical="center" wrapText="1"/>
    </xf>
    <xf numFmtId="0" fontId="40" fillId="0" borderId="1" xfId="0" applyFont="1" applyBorder="1" applyAlignment="1">
      <alignment horizontal="left" vertical="center"/>
    </xf>
    <xf numFmtId="0" fontId="41" fillId="16" borderId="1" xfId="0" applyFont="1" applyFill="1" applyBorder="1" applyAlignment="1">
      <alignment horizontal="center" vertical="center" wrapText="1"/>
    </xf>
    <xf numFmtId="0" fontId="40" fillId="6" borderId="1" xfId="0" applyFont="1" applyFill="1" applyBorder="1" applyAlignment="1">
      <alignment horizontal="center" vertical="center"/>
    </xf>
    <xf numFmtId="4" fontId="40" fillId="6" borderId="1" xfId="0" applyNumberFormat="1" applyFont="1" applyFill="1" applyBorder="1" applyAlignment="1">
      <alignment horizontal="center" vertical="center"/>
    </xf>
    <xf numFmtId="2" fontId="40" fillId="6" borderId="1" xfId="0" applyNumberFormat="1" applyFont="1" applyFill="1" applyBorder="1" applyAlignment="1">
      <alignment horizontal="center" vertical="center"/>
    </xf>
    <xf numFmtId="0" fontId="40" fillId="7" borderId="1" xfId="0" applyFont="1" applyFill="1" applyBorder="1" applyAlignment="1" applyProtection="1">
      <alignment horizontal="center" vertical="center"/>
      <protection locked="0"/>
    </xf>
    <xf numFmtId="0" fontId="40" fillId="6" borderId="1" xfId="0" applyFont="1" applyFill="1" applyBorder="1" applyAlignment="1">
      <alignment horizontal="center"/>
    </xf>
    <xf numFmtId="0" fontId="40" fillId="0" borderId="1" xfId="0" applyFont="1" applyBorder="1" applyAlignment="1">
      <alignment horizontal="center" vertical="center" wrapText="1"/>
    </xf>
    <xf numFmtId="0" fontId="28" fillId="0" borderId="0" xfId="0" applyFont="1" applyAlignment="1">
      <alignment vertical="center"/>
    </xf>
    <xf numFmtId="0" fontId="28" fillId="0" borderId="0" xfId="0" applyFont="1"/>
    <xf numFmtId="3" fontId="28" fillId="0" borderId="0" xfId="0" applyNumberFormat="1" applyFont="1"/>
    <xf numFmtId="1" fontId="40" fillId="7" borderId="1" xfId="0" applyNumberFormat="1" applyFont="1" applyFill="1" applyBorder="1" applyAlignment="1" applyProtection="1">
      <alignment horizontal="center" vertical="center"/>
      <protection locked="0"/>
    </xf>
    <xf numFmtId="3" fontId="42" fillId="0" borderId="1" xfId="0" applyNumberFormat="1" applyFont="1" applyBorder="1" applyAlignment="1">
      <alignment vertical="center"/>
    </xf>
    <xf numFmtId="0" fontId="42" fillId="0" borderId="1" xfId="0" applyFont="1" applyBorder="1" applyAlignment="1">
      <alignment vertical="center"/>
    </xf>
    <xf numFmtId="0" fontId="28" fillId="6" borderId="26" xfId="0" applyFont="1" applyFill="1" applyBorder="1" applyAlignment="1">
      <alignment horizontal="center"/>
    </xf>
    <xf numFmtId="3" fontId="42" fillId="0" borderId="0" xfId="0" applyNumberFormat="1" applyFont="1" applyAlignment="1">
      <alignment vertical="center"/>
    </xf>
    <xf numFmtId="0" fontId="42" fillId="0" borderId="0" xfId="0" applyFont="1" applyAlignment="1">
      <alignment vertical="center"/>
    </xf>
    <xf numFmtId="0" fontId="28" fillId="0" borderId="0" xfId="0" applyFont="1" applyAlignment="1">
      <alignment horizontal="center"/>
    </xf>
    <xf numFmtId="0" fontId="43" fillId="0" borderId="1" xfId="0" applyFont="1" applyBorder="1" applyAlignment="1">
      <alignment vertical="center" wrapText="1"/>
    </xf>
    <xf numFmtId="9" fontId="43" fillId="0" borderId="1" xfId="0" applyNumberFormat="1" applyFont="1" applyBorder="1" applyAlignment="1">
      <alignment vertical="center" wrapText="1"/>
    </xf>
    <xf numFmtId="10" fontId="43" fillId="0" borderId="1" xfId="0" applyNumberFormat="1" applyFont="1" applyBorder="1" applyAlignment="1">
      <alignment vertical="center" wrapText="1"/>
    </xf>
    <xf numFmtId="0" fontId="45" fillId="17" borderId="0" xfId="5"/>
    <xf numFmtId="0" fontId="16" fillId="5" borderId="1" xfId="0" applyFont="1" applyFill="1" applyBorder="1" applyAlignment="1">
      <alignment horizontal="center" vertical="center" wrapText="1"/>
    </xf>
    <xf numFmtId="168" fontId="14" fillId="4" borderId="1" xfId="1" applyNumberFormat="1" applyFont="1" applyFill="1" applyBorder="1" applyAlignment="1">
      <alignment horizontal="center" vertical="center" wrapText="1"/>
    </xf>
    <xf numFmtId="164" fontId="0" fillId="4" borderId="1" xfId="0" applyNumberFormat="1"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xf>
    <xf numFmtId="0" fontId="0" fillId="9" borderId="1" xfId="0" applyFill="1" applyBorder="1" applyAlignment="1">
      <alignment horizontal="center"/>
    </xf>
    <xf numFmtId="0" fontId="0" fillId="9" borderId="45" xfId="0" applyFill="1" applyBorder="1" applyAlignment="1">
      <alignment horizontal="center" vertical="center"/>
    </xf>
    <xf numFmtId="0" fontId="0" fillId="0" borderId="2" xfId="0" applyBorder="1"/>
    <xf numFmtId="0" fontId="0" fillId="0" borderId="46" xfId="0" applyBorder="1"/>
    <xf numFmtId="0" fontId="19" fillId="4" borderId="29" xfId="3" applyFont="1" applyFill="1" applyBorder="1" applyAlignment="1" applyProtection="1">
      <alignment horizontal="left" vertical="center"/>
      <protection locked="0"/>
    </xf>
    <xf numFmtId="1" fontId="0" fillId="0" borderId="52" xfId="0" applyNumberFormat="1" applyBorder="1" applyAlignment="1">
      <alignment horizontal="center" vertical="center"/>
    </xf>
    <xf numFmtId="2" fontId="0" fillId="0" borderId="25" xfId="0" applyNumberFormat="1" applyBorder="1" applyAlignment="1">
      <alignment horizontal="center" vertical="center"/>
    </xf>
    <xf numFmtId="43" fontId="0" fillId="0" borderId="25" xfId="0" applyNumberFormat="1" applyBorder="1" applyAlignment="1">
      <alignment horizontal="center" vertical="center"/>
    </xf>
    <xf numFmtId="164" fontId="14" fillId="0" borderId="53" xfId="1" applyNumberFormat="1" applyFont="1" applyBorder="1" applyAlignment="1" applyProtection="1">
      <alignment horizontal="right" vertical="center"/>
    </xf>
    <xf numFmtId="164" fontId="46" fillId="0" borderId="1" xfId="0" applyNumberFormat="1" applyFont="1" applyBorder="1" applyAlignment="1">
      <alignment horizontal="center"/>
    </xf>
    <xf numFmtId="164" fontId="46" fillId="0" borderId="1" xfId="0" applyNumberFormat="1" applyFont="1" applyBorder="1" applyAlignment="1">
      <alignment horizontal="center" vertical="center"/>
    </xf>
    <xf numFmtId="1" fontId="43" fillId="0" borderId="1" xfId="2" applyNumberFormat="1" applyFont="1" applyFill="1" applyBorder="1" applyAlignment="1" applyProtection="1">
      <alignment horizontal="center" vertical="center" wrapText="1"/>
    </xf>
    <xf numFmtId="1" fontId="43" fillId="0" borderId="1" xfId="0" applyNumberFormat="1" applyFont="1" applyBorder="1" applyAlignment="1">
      <alignment horizontal="center"/>
    </xf>
    <xf numFmtId="171" fontId="0" fillId="0" borderId="0" xfId="0" applyNumberFormat="1" applyAlignment="1">
      <alignment horizontal="center"/>
    </xf>
    <xf numFmtId="0" fontId="23" fillId="0" borderId="0" xfId="0" applyFont="1"/>
    <xf numFmtId="164" fontId="0" fillId="0" borderId="0" xfId="0" applyNumberFormat="1" applyAlignment="1">
      <alignment horizontal="center"/>
    </xf>
    <xf numFmtId="6" fontId="0" fillId="0" borderId="0" xfId="0" applyNumberFormat="1"/>
    <xf numFmtId="0" fontId="0" fillId="0" borderId="0" xfId="0" applyAlignment="1">
      <alignment horizontal="center"/>
    </xf>
    <xf numFmtId="0" fontId="0" fillId="4" borderId="1" xfId="0" applyFill="1" applyBorder="1" applyAlignment="1">
      <alignment horizontal="center" vertical="center"/>
    </xf>
    <xf numFmtId="0" fontId="18" fillId="6" borderId="1" xfId="0" applyFont="1" applyFill="1" applyBorder="1" applyAlignment="1">
      <alignment horizontal="center" vertical="center"/>
    </xf>
    <xf numFmtId="0" fontId="18" fillId="6" borderId="1" xfId="0" applyFont="1" applyFill="1" applyBorder="1" applyAlignment="1">
      <alignment horizontal="center" vertical="center" wrapText="1"/>
    </xf>
    <xf numFmtId="0" fontId="18" fillId="6" borderId="1" xfId="0" applyFont="1" applyFill="1" applyBorder="1" applyAlignment="1">
      <alignment horizontal="center"/>
    </xf>
    <xf numFmtId="0" fontId="43" fillId="0" borderId="1" xfId="0" applyFont="1" applyBorder="1" applyAlignment="1">
      <alignment horizontal="center"/>
    </xf>
    <xf numFmtId="2" fontId="43" fillId="0" borderId="1" xfId="0" applyNumberFormat="1" applyFont="1" applyBorder="1" applyAlignment="1">
      <alignment horizontal="center" vertical="center"/>
    </xf>
    <xf numFmtId="0" fontId="43" fillId="0" borderId="1" xfId="0" applyFont="1" applyBorder="1" applyAlignment="1">
      <alignment horizontal="center" vertical="center"/>
    </xf>
    <xf numFmtId="0" fontId="43" fillId="0" borderId="1" xfId="0" applyFont="1" applyBorder="1"/>
    <xf numFmtId="2" fontId="43" fillId="0" borderId="0" xfId="0" applyNumberFormat="1" applyFont="1" applyAlignment="1">
      <alignment horizontal="center" vertical="center"/>
    </xf>
    <xf numFmtId="0" fontId="18" fillId="0" borderId="0" xfId="0" applyFont="1" applyAlignment="1">
      <alignment horizontal="center" vertical="center" wrapText="1"/>
    </xf>
    <xf numFmtId="0" fontId="18" fillId="6" borderId="27" xfId="0" applyFont="1" applyFill="1" applyBorder="1" applyAlignment="1">
      <alignment horizontal="center"/>
    </xf>
    <xf numFmtId="0" fontId="18" fillId="6" borderId="28" xfId="0" applyFont="1" applyFill="1" applyBorder="1" applyAlignment="1">
      <alignment horizontal="center"/>
    </xf>
    <xf numFmtId="0" fontId="27" fillId="16" borderId="0" xfId="0" applyFont="1" applyFill="1" applyAlignment="1">
      <alignment horizontal="left" vertical="center"/>
    </xf>
    <xf numFmtId="0" fontId="18" fillId="6" borderId="26" xfId="0" applyFont="1" applyFill="1" applyBorder="1" applyAlignment="1">
      <alignment horizontal="center"/>
    </xf>
    <xf numFmtId="0" fontId="0" fillId="0" borderId="25" xfId="0" applyBorder="1" applyAlignment="1">
      <alignment horizontal="center" vertical="top" wrapText="1"/>
    </xf>
    <xf numFmtId="0" fontId="0" fillId="0" borderId="46" xfId="0" applyBorder="1" applyAlignment="1">
      <alignment horizontal="center" vertical="top" wrapText="1"/>
    </xf>
    <xf numFmtId="0" fontId="18" fillId="6" borderId="26" xfId="0" applyFont="1" applyFill="1" applyBorder="1" applyAlignment="1">
      <alignment horizontal="center" wrapText="1"/>
    </xf>
    <xf numFmtId="0" fontId="18" fillId="6" borderId="28" xfId="0" applyFont="1" applyFill="1" applyBorder="1" applyAlignment="1">
      <alignment horizontal="center" wrapText="1"/>
    </xf>
    <xf numFmtId="0" fontId="0" fillId="9" borderId="25" xfId="0" applyFill="1" applyBorder="1" applyAlignment="1">
      <alignment horizontal="center" vertical="center"/>
    </xf>
    <xf numFmtId="0" fontId="0" fillId="9" borderId="46" xfId="0" applyFill="1" applyBorder="1" applyAlignment="1">
      <alignment horizontal="center" vertical="center"/>
    </xf>
    <xf numFmtId="0" fontId="0" fillId="9" borderId="25" xfId="0" applyFill="1" applyBorder="1" applyAlignment="1">
      <alignment horizontal="center" vertical="center" wrapText="1"/>
    </xf>
    <xf numFmtId="0" fontId="0" fillId="9" borderId="46" xfId="0" applyFill="1" applyBorder="1" applyAlignment="1">
      <alignment horizontal="center" vertical="center" wrapText="1"/>
    </xf>
    <xf numFmtId="0" fontId="0" fillId="9" borderId="26" xfId="0" applyFill="1" applyBorder="1" applyAlignment="1">
      <alignment horizontal="center" vertical="center"/>
    </xf>
    <xf numFmtId="0" fontId="0" fillId="9" borderId="28" xfId="0" applyFill="1" applyBorder="1" applyAlignment="1">
      <alignment horizontal="center" vertical="center"/>
    </xf>
    <xf numFmtId="0" fontId="0" fillId="9" borderId="27" xfId="0" applyFill="1" applyBorder="1" applyAlignment="1">
      <alignment horizontal="center" vertical="center"/>
    </xf>
    <xf numFmtId="0" fontId="48" fillId="18" borderId="1" xfId="0" applyFont="1" applyFill="1" applyBorder="1" applyAlignment="1">
      <alignment horizontal="center" vertical="center" wrapText="1"/>
    </xf>
    <xf numFmtId="0" fontId="48" fillId="18" borderId="1" xfId="0" applyFont="1" applyFill="1" applyBorder="1" applyAlignment="1">
      <alignment horizontal="center" vertical="center"/>
    </xf>
    <xf numFmtId="0" fontId="0" fillId="6" borderId="0" xfId="0" applyFill="1"/>
    <xf numFmtId="0" fontId="18" fillId="6" borderId="27" xfId="0" applyFont="1" applyFill="1" applyBorder="1"/>
    <xf numFmtId="0" fontId="18" fillId="6" borderId="28" xfId="0" applyFont="1" applyFill="1" applyBorder="1"/>
    <xf numFmtId="0" fontId="48" fillId="18" borderId="2" xfId="0" applyFont="1" applyFill="1" applyBorder="1" applyAlignment="1">
      <alignment horizontal="center" vertical="center" wrapText="1"/>
    </xf>
    <xf numFmtId="0" fontId="16" fillId="16" borderId="0" xfId="0" applyFont="1" applyFill="1" applyAlignment="1">
      <alignment horizontal="center" vertical="center" wrapText="1"/>
    </xf>
    <xf numFmtId="0" fontId="48" fillId="18" borderId="0" xfId="0" applyFont="1" applyFill="1" applyAlignment="1">
      <alignment horizontal="center" vertical="center" wrapText="1"/>
    </xf>
    <xf numFmtId="0" fontId="18" fillId="3" borderId="1" xfId="0" applyFont="1" applyFill="1" applyBorder="1"/>
    <xf numFmtId="0" fontId="18" fillId="3" borderId="27" xfId="0" applyFont="1" applyFill="1" applyBorder="1"/>
    <xf numFmtId="0" fontId="18" fillId="3" borderId="28" xfId="0" applyFont="1" applyFill="1" applyBorder="1"/>
    <xf numFmtId="0" fontId="16" fillId="16" borderId="45" xfId="0" applyFont="1" applyFill="1" applyBorder="1" applyAlignment="1">
      <alignment horizontal="center" vertical="center" wrapText="1"/>
    </xf>
    <xf numFmtId="0" fontId="16" fillId="16" borderId="0" xfId="0" applyFont="1" applyFill="1" applyAlignment="1">
      <alignment horizontal="center" vertical="center"/>
    </xf>
    <xf numFmtId="164" fontId="0" fillId="4" borderId="0" xfId="0" applyNumberFormat="1" applyFill="1" applyAlignment="1">
      <alignment horizontal="center" vertical="center"/>
    </xf>
    <xf numFmtId="0" fontId="48" fillId="18" borderId="0" xfId="0" applyFont="1" applyFill="1" applyAlignment="1">
      <alignment horizontal="center" vertical="center"/>
    </xf>
    <xf numFmtId="0" fontId="0" fillId="6" borderId="0" xfId="0" applyFill="1" applyAlignment="1">
      <alignment horizontal="center"/>
    </xf>
    <xf numFmtId="164" fontId="0" fillId="0" borderId="1" xfId="0" applyNumberFormat="1" applyBorder="1"/>
    <xf numFmtId="164" fontId="0" fillId="0" borderId="1" xfId="0" applyNumberFormat="1" applyBorder="1" applyAlignment="1" applyProtection="1">
      <alignment horizontal="center" vertical="center"/>
      <protection locked="0"/>
    </xf>
    <xf numFmtId="0" fontId="49" fillId="2" borderId="0" xfId="0" applyFont="1" applyFill="1"/>
    <xf numFmtId="0" fontId="49" fillId="12" borderId="0" xfId="0" applyFont="1" applyFill="1"/>
    <xf numFmtId="0" fontId="49" fillId="7" borderId="0" xfId="0" applyFont="1" applyFill="1"/>
    <xf numFmtId="0" fontId="49" fillId="0" borderId="0" xfId="0" applyFont="1"/>
    <xf numFmtId="0" fontId="19" fillId="3" borderId="0" xfId="0" applyFont="1" applyFill="1" applyAlignment="1">
      <alignment horizontal="center" vertical="center" wrapText="1"/>
    </xf>
    <xf numFmtId="0" fontId="0" fillId="4" borderId="0" xfId="0" applyFill="1" applyAlignment="1">
      <alignment horizontal="left" vertical="center" wrapText="1"/>
    </xf>
    <xf numFmtId="0" fontId="18" fillId="6" borderId="49" xfId="0" applyFont="1" applyFill="1" applyBorder="1"/>
    <xf numFmtId="0" fontId="18" fillId="6" borderId="30" xfId="0" applyFont="1" applyFill="1" applyBorder="1"/>
    <xf numFmtId="0" fontId="50" fillId="18" borderId="1" xfId="0" applyFont="1" applyFill="1" applyBorder="1" applyAlignment="1">
      <alignment horizontal="center" vertical="center" wrapText="1"/>
    </xf>
    <xf numFmtId="0" fontId="41" fillId="3" borderId="0" xfId="0" applyFont="1" applyFill="1" applyAlignment="1">
      <alignment horizontal="center" vertical="center" wrapText="1"/>
    </xf>
    <xf numFmtId="0" fontId="40" fillId="0" borderId="0" xfId="0" applyFont="1" applyAlignment="1">
      <alignment horizontal="left" vertical="center"/>
    </xf>
    <xf numFmtId="0" fontId="18" fillId="6" borderId="0" xfId="0" applyFont="1" applyFill="1" applyAlignment="1">
      <alignment horizontal="center" vertical="center"/>
    </xf>
    <xf numFmtId="0" fontId="0" fillId="3" borderId="0" xfId="0" applyFill="1" applyAlignment="1">
      <alignment horizontal="center" vertical="center"/>
    </xf>
    <xf numFmtId="0" fontId="0" fillId="9" borderId="0" xfId="0" applyFill="1" applyAlignment="1">
      <alignment horizontal="center"/>
    </xf>
    <xf numFmtId="0" fontId="16" fillId="5" borderId="2" xfId="0" applyFont="1" applyFill="1" applyBorder="1" applyAlignment="1">
      <alignment horizontal="center" vertical="center" wrapText="1"/>
    </xf>
    <xf numFmtId="0" fontId="16" fillId="5" borderId="0" xfId="0" applyFont="1" applyFill="1"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quotePrefix="1" applyAlignment="1">
      <alignment horizontal="center"/>
    </xf>
    <xf numFmtId="0" fontId="0" fillId="0" borderId="0" xfId="0" applyAlignment="1">
      <alignment horizontal="center"/>
    </xf>
    <xf numFmtId="14" fontId="0" fillId="0" borderId="0" xfId="0" applyNumberFormat="1" applyAlignment="1">
      <alignment horizontal="center"/>
    </xf>
    <xf numFmtId="0" fontId="26" fillId="16" borderId="35" xfId="0" applyFont="1" applyFill="1" applyBorder="1" applyAlignment="1">
      <alignment horizontal="center" vertical="center"/>
    </xf>
    <xf numFmtId="0" fontId="26" fillId="16" borderId="36" xfId="0" applyFont="1" applyFill="1" applyBorder="1" applyAlignment="1">
      <alignment horizontal="center" vertical="center"/>
    </xf>
    <xf numFmtId="0" fontId="26" fillId="16" borderId="37" xfId="0" applyFont="1" applyFill="1" applyBorder="1" applyAlignment="1">
      <alignment horizontal="center" vertical="center"/>
    </xf>
    <xf numFmtId="0" fontId="31" fillId="16" borderId="17" xfId="0" applyFont="1" applyFill="1" applyBorder="1" applyAlignment="1">
      <alignment horizontal="center" vertical="center"/>
    </xf>
    <xf numFmtId="0" fontId="31" fillId="16" borderId="18" xfId="0" applyFont="1" applyFill="1" applyBorder="1" applyAlignment="1">
      <alignment horizontal="center" vertical="center"/>
    </xf>
    <xf numFmtId="0" fontId="31" fillId="16" borderId="20" xfId="0" applyFont="1" applyFill="1" applyBorder="1" applyAlignment="1">
      <alignment horizontal="center" vertical="center"/>
    </xf>
    <xf numFmtId="0" fontId="31" fillId="16" borderId="0" xfId="0" applyFont="1" applyFill="1" applyAlignment="1">
      <alignment horizontal="center" vertical="center"/>
    </xf>
    <xf numFmtId="0" fontId="31" fillId="16" borderId="22" xfId="0" applyFont="1" applyFill="1" applyBorder="1" applyAlignment="1">
      <alignment horizontal="center" vertical="center"/>
    </xf>
    <xf numFmtId="0" fontId="31" fillId="16" borderId="23" xfId="0" applyFont="1" applyFill="1" applyBorder="1" applyAlignment="1">
      <alignment horizontal="center" vertical="center"/>
    </xf>
    <xf numFmtId="0" fontId="27" fillId="16" borderId="18" xfId="0" applyFont="1" applyFill="1" applyBorder="1" applyAlignment="1">
      <alignment horizontal="right" vertical="center"/>
    </xf>
    <xf numFmtId="0" fontId="27" fillId="16" borderId="19" xfId="0" applyFont="1" applyFill="1" applyBorder="1" applyAlignment="1">
      <alignment horizontal="right" vertical="center"/>
    </xf>
    <xf numFmtId="0" fontId="27" fillId="16" borderId="0" xfId="0" applyFont="1" applyFill="1" applyAlignment="1">
      <alignment horizontal="right" vertical="center"/>
    </xf>
    <xf numFmtId="0" fontId="27" fillId="16" borderId="21" xfId="0" applyFont="1" applyFill="1" applyBorder="1" applyAlignment="1">
      <alignment horizontal="right" vertical="center"/>
    </xf>
    <xf numFmtId="0" fontId="27" fillId="16" borderId="23" xfId="0" applyFont="1" applyFill="1" applyBorder="1" applyAlignment="1">
      <alignment horizontal="right" vertical="center"/>
    </xf>
    <xf numFmtId="0" fontId="27" fillId="16" borderId="24" xfId="0" applyFont="1" applyFill="1" applyBorder="1" applyAlignment="1">
      <alignment horizontal="right" vertical="center"/>
    </xf>
    <xf numFmtId="0" fontId="22" fillId="16" borderId="39" xfId="0" applyFont="1" applyFill="1" applyBorder="1" applyAlignment="1">
      <alignment horizontal="right" vertical="center"/>
    </xf>
    <xf numFmtId="0" fontId="22" fillId="16" borderId="42" xfId="0" applyFont="1" applyFill="1" applyBorder="1" applyAlignment="1">
      <alignment horizontal="right" vertical="center"/>
    </xf>
    <xf numFmtId="0" fontId="15" fillId="16" borderId="43" xfId="0" applyFont="1" applyFill="1" applyBorder="1" applyAlignment="1">
      <alignment horizontal="center" vertical="center" wrapText="1"/>
    </xf>
    <xf numFmtId="0" fontId="15" fillId="16" borderId="44" xfId="0" applyFont="1" applyFill="1" applyBorder="1" applyAlignment="1">
      <alignment horizontal="center" vertical="center" wrapText="1"/>
    </xf>
    <xf numFmtId="0" fontId="15" fillId="16" borderId="23" xfId="0" applyFont="1" applyFill="1" applyBorder="1" applyAlignment="1">
      <alignment horizontal="center" vertical="center" wrapText="1"/>
    </xf>
    <xf numFmtId="0" fontId="15" fillId="16" borderId="24" xfId="0" applyFont="1" applyFill="1" applyBorder="1" applyAlignment="1">
      <alignment horizontal="center" vertical="center" wrapText="1"/>
    </xf>
    <xf numFmtId="0" fontId="30" fillId="7" borderId="17" xfId="0" applyFont="1" applyFill="1" applyBorder="1" applyAlignment="1">
      <alignment horizontal="left" vertical="center" wrapText="1"/>
    </xf>
    <xf numFmtId="0" fontId="21" fillId="7" borderId="18" xfId="0" applyFont="1" applyFill="1" applyBorder="1" applyAlignment="1">
      <alignment horizontal="left" vertical="center" wrapText="1"/>
    </xf>
    <xf numFmtId="0" fontId="21" fillId="7" borderId="19" xfId="0" applyFont="1" applyFill="1" applyBorder="1" applyAlignment="1">
      <alignment horizontal="left" vertical="center" wrapText="1"/>
    </xf>
    <xf numFmtId="0" fontId="21" fillId="7" borderId="20" xfId="0" applyFont="1" applyFill="1" applyBorder="1" applyAlignment="1">
      <alignment horizontal="left" vertical="center" wrapText="1"/>
    </xf>
    <xf numFmtId="0" fontId="21" fillId="7" borderId="0" xfId="0" applyFont="1" applyFill="1" applyAlignment="1">
      <alignment horizontal="left" vertical="center" wrapText="1"/>
    </xf>
    <xf numFmtId="0" fontId="21" fillId="7" borderId="21" xfId="0" applyFont="1" applyFill="1" applyBorder="1" applyAlignment="1">
      <alignment horizontal="left" vertical="center" wrapText="1"/>
    </xf>
    <xf numFmtId="0" fontId="21" fillId="7" borderId="22" xfId="0" applyFont="1" applyFill="1" applyBorder="1" applyAlignment="1">
      <alignment horizontal="left" vertical="center" wrapText="1"/>
    </xf>
    <xf numFmtId="0" fontId="21" fillId="7" borderId="23" xfId="0" applyFont="1" applyFill="1" applyBorder="1" applyAlignment="1">
      <alignment horizontal="left" vertical="center" wrapText="1"/>
    </xf>
    <xf numFmtId="0" fontId="21" fillId="7" borderId="24" xfId="0" applyFont="1" applyFill="1" applyBorder="1" applyAlignment="1">
      <alignment horizontal="left" vertical="center" wrapText="1"/>
    </xf>
    <xf numFmtId="0" fontId="15" fillId="13" borderId="9" xfId="0" applyFont="1" applyFill="1" applyBorder="1" applyAlignment="1">
      <alignment horizontal="center" vertical="center" wrapText="1"/>
    </xf>
    <xf numFmtId="0" fontId="15" fillId="13" borderId="31" xfId="0" applyFont="1" applyFill="1" applyBorder="1" applyAlignment="1">
      <alignment horizontal="center" vertical="center" wrapText="1"/>
    </xf>
    <xf numFmtId="0" fontId="15" fillId="13" borderId="32" xfId="0" applyFont="1" applyFill="1" applyBorder="1" applyAlignment="1">
      <alignment horizontal="center" vertical="center" wrapText="1"/>
    </xf>
    <xf numFmtId="0" fontId="30" fillId="7" borderId="33" xfId="0" applyFont="1" applyFill="1" applyBorder="1" applyAlignment="1">
      <alignment horizontal="left" vertical="center" wrapText="1"/>
    </xf>
    <xf numFmtId="0" fontId="30" fillId="7" borderId="31" xfId="0" applyFont="1" applyFill="1" applyBorder="1" applyAlignment="1">
      <alignment horizontal="left" vertical="center" wrapText="1"/>
    </xf>
    <xf numFmtId="0" fontId="30" fillId="7" borderId="34" xfId="0" applyFont="1" applyFill="1" applyBorder="1" applyAlignment="1">
      <alignment horizontal="left" vertical="center" wrapText="1"/>
    </xf>
    <xf numFmtId="0" fontId="28" fillId="7" borderId="35" xfId="0" applyFont="1" applyFill="1" applyBorder="1" applyAlignment="1">
      <alignment horizontal="left" vertical="center" wrapText="1"/>
    </xf>
    <xf numFmtId="0" fontId="28" fillId="7" borderId="36" xfId="0" applyFont="1" applyFill="1" applyBorder="1" applyAlignment="1">
      <alignment horizontal="left" vertical="center" wrapText="1"/>
    </xf>
    <xf numFmtId="0" fontId="28" fillId="7" borderId="37" xfId="0" applyFont="1" applyFill="1" applyBorder="1" applyAlignment="1">
      <alignment horizontal="left" vertical="center" wrapText="1"/>
    </xf>
    <xf numFmtId="0" fontId="21" fillId="4" borderId="14" xfId="0" applyFont="1" applyFill="1" applyBorder="1" applyAlignment="1">
      <alignment horizontal="center" vertical="center" wrapText="1"/>
    </xf>
    <xf numFmtId="0" fontId="21" fillId="4" borderId="13" xfId="0" applyFont="1" applyFill="1" applyBorder="1" applyAlignment="1">
      <alignment horizontal="center" vertical="center" wrapText="1"/>
    </xf>
    <xf numFmtId="0" fontId="30" fillId="7" borderId="38" xfId="0" applyFont="1" applyFill="1" applyBorder="1" applyAlignment="1">
      <alignment horizontal="left" vertical="center" wrapText="1"/>
    </xf>
    <xf numFmtId="0" fontId="30" fillId="7" borderId="39" xfId="0" applyFont="1" applyFill="1" applyBorder="1" applyAlignment="1">
      <alignment horizontal="left" vertical="center" wrapText="1"/>
    </xf>
    <xf numFmtId="0" fontId="30" fillId="7" borderId="40" xfId="0" applyFont="1" applyFill="1" applyBorder="1" applyAlignment="1">
      <alignment horizontal="left" vertical="center" wrapText="1"/>
    </xf>
    <xf numFmtId="0" fontId="21" fillId="7" borderId="15"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30" fillId="7" borderId="26" xfId="0" applyFont="1" applyFill="1" applyBorder="1" applyAlignment="1">
      <alignment horizontal="left" vertical="center" wrapText="1"/>
    </xf>
    <xf numFmtId="0" fontId="30" fillId="7" borderId="27" xfId="0" applyFont="1" applyFill="1" applyBorder="1" applyAlignment="1">
      <alignment horizontal="left" vertical="center" wrapText="1"/>
    </xf>
    <xf numFmtId="0" fontId="30" fillId="7" borderId="41" xfId="0" applyFont="1" applyFill="1" applyBorder="1" applyAlignment="1">
      <alignment horizontal="left" vertical="center" wrapText="1"/>
    </xf>
    <xf numFmtId="0" fontId="15" fillId="14" borderId="15" xfId="0" applyFont="1" applyFill="1" applyBorder="1" applyAlignment="1">
      <alignment horizontal="center" vertical="center" wrapText="1"/>
    </xf>
    <xf numFmtId="0" fontId="15" fillId="14" borderId="1" xfId="0" applyFont="1" applyFill="1" applyBorder="1" applyAlignment="1">
      <alignment horizontal="center" vertical="center" wrapText="1"/>
    </xf>
    <xf numFmtId="0" fontId="33" fillId="16" borderId="17" xfId="0" applyFont="1" applyFill="1" applyBorder="1" applyAlignment="1">
      <alignment horizontal="center" vertical="center"/>
    </xf>
    <xf numFmtId="0" fontId="33" fillId="16" borderId="18" xfId="0" applyFont="1" applyFill="1" applyBorder="1" applyAlignment="1">
      <alignment horizontal="center" vertical="center"/>
    </xf>
    <xf numFmtId="0" fontId="33" fillId="16" borderId="19" xfId="0" applyFont="1" applyFill="1" applyBorder="1" applyAlignment="1">
      <alignment horizontal="center" vertical="center"/>
    </xf>
    <xf numFmtId="0" fontId="33" fillId="16" borderId="22" xfId="0" applyFont="1" applyFill="1" applyBorder="1" applyAlignment="1">
      <alignment horizontal="center" vertical="center"/>
    </xf>
    <xf numFmtId="0" fontId="33" fillId="16" borderId="23" xfId="0" applyFont="1" applyFill="1" applyBorder="1" applyAlignment="1">
      <alignment horizontal="center" vertical="center"/>
    </xf>
    <xf numFmtId="0" fontId="33" fillId="16" borderId="24" xfId="0" applyFont="1" applyFill="1" applyBorder="1" applyAlignment="1">
      <alignment horizontal="center" vertical="center"/>
    </xf>
    <xf numFmtId="0" fontId="32" fillId="16" borderId="35" xfId="0" applyFont="1" applyFill="1" applyBorder="1" applyAlignment="1">
      <alignment horizontal="center" vertical="center" wrapText="1"/>
    </xf>
    <xf numFmtId="0" fontId="32" fillId="16" borderId="36" xfId="0" applyFont="1" applyFill="1" applyBorder="1" applyAlignment="1">
      <alignment horizontal="center" vertical="center" wrapText="1"/>
    </xf>
    <xf numFmtId="0" fontId="32" fillId="16" borderId="37" xfId="0" applyFont="1" applyFill="1" applyBorder="1" applyAlignment="1">
      <alignment horizontal="center" vertical="center" wrapText="1"/>
    </xf>
    <xf numFmtId="0" fontId="15" fillId="16" borderId="35" xfId="0" applyFont="1" applyFill="1" applyBorder="1" applyAlignment="1">
      <alignment horizontal="center" vertical="center"/>
    </xf>
    <xf numFmtId="0" fontId="15" fillId="16" borderId="36" xfId="0" applyFont="1" applyFill="1" applyBorder="1" applyAlignment="1">
      <alignment horizontal="center" vertical="center"/>
    </xf>
    <xf numFmtId="0" fontId="15" fillId="16" borderId="37" xfId="0" applyFont="1" applyFill="1" applyBorder="1" applyAlignment="1">
      <alignment horizontal="center" vertical="center"/>
    </xf>
    <xf numFmtId="0" fontId="23" fillId="0" borderId="14" xfId="0" applyFont="1" applyBorder="1" applyAlignment="1" applyProtection="1">
      <alignment horizontal="left" vertical="center"/>
      <protection locked="0"/>
    </xf>
    <xf numFmtId="0" fontId="23" fillId="0" borderId="13" xfId="0" applyFont="1" applyBorder="1" applyAlignment="1" applyProtection="1">
      <alignment horizontal="left" vertical="center"/>
      <protection locked="0"/>
    </xf>
    <xf numFmtId="0" fontId="23" fillId="0" borderId="3" xfId="0" applyFont="1" applyBorder="1" applyAlignment="1" applyProtection="1">
      <alignment horizontal="left" vertical="center"/>
      <protection locked="0"/>
    </xf>
    <xf numFmtId="0" fontId="23" fillId="0" borderId="15" xfId="0" applyFont="1" applyBorder="1" applyAlignment="1" applyProtection="1">
      <alignment horizontal="left" vertical="center"/>
      <protection locked="0"/>
    </xf>
    <xf numFmtId="0" fontId="23" fillId="0" borderId="1" xfId="0" applyFont="1" applyBorder="1" applyAlignment="1" applyProtection="1">
      <alignment horizontal="left" vertical="center"/>
      <protection locked="0"/>
    </xf>
    <xf numFmtId="0" fontId="23" fillId="0" borderId="5" xfId="0" applyFont="1" applyBorder="1" applyAlignment="1" applyProtection="1">
      <alignment horizontal="left" vertical="center"/>
      <protection locked="0"/>
    </xf>
    <xf numFmtId="0" fontId="23" fillId="0" borderId="8" xfId="0" applyFont="1" applyBorder="1" applyAlignment="1" applyProtection="1">
      <alignment horizontal="left" vertical="center"/>
      <protection locked="0"/>
    </xf>
    <xf numFmtId="0" fontId="23" fillId="0" borderId="27" xfId="0" applyFont="1" applyBorder="1" applyAlignment="1" applyProtection="1">
      <alignment horizontal="left" vertical="center"/>
      <protection locked="0"/>
    </xf>
    <xf numFmtId="0" fontId="23" fillId="0" borderId="41" xfId="0" applyFont="1" applyBorder="1" applyAlignment="1" applyProtection="1">
      <alignment horizontal="left" vertical="center"/>
      <protection locked="0"/>
    </xf>
    <xf numFmtId="43" fontId="19" fillId="7" borderId="15" xfId="1" applyFont="1" applyFill="1" applyBorder="1" applyAlignment="1" applyProtection="1">
      <alignment horizontal="center" vertical="center"/>
    </xf>
    <xf numFmtId="43" fontId="19" fillId="7" borderId="5" xfId="1" applyFont="1" applyFill="1" applyBorder="1" applyAlignment="1" applyProtection="1">
      <alignment horizontal="center" vertical="center"/>
    </xf>
    <xf numFmtId="43" fontId="19" fillId="7" borderId="14" xfId="1" applyFont="1" applyFill="1" applyBorder="1" applyAlignment="1" applyProtection="1">
      <alignment horizontal="right" vertical="center"/>
    </xf>
    <xf numFmtId="43" fontId="19" fillId="7" borderId="3" xfId="1" applyFont="1" applyFill="1" applyBorder="1" applyAlignment="1" applyProtection="1">
      <alignment horizontal="right" vertical="center"/>
    </xf>
    <xf numFmtId="164" fontId="19" fillId="7" borderId="16" xfId="0" applyNumberFormat="1" applyFont="1" applyFill="1" applyBorder="1" applyAlignment="1">
      <alignment horizontal="right" vertical="center"/>
    </xf>
    <xf numFmtId="164" fontId="19" fillId="7" borderId="6" xfId="0" applyNumberFormat="1" applyFont="1" applyFill="1" applyBorder="1" applyAlignment="1">
      <alignment horizontal="right" vertical="center"/>
    </xf>
    <xf numFmtId="14" fontId="23" fillId="0" borderId="16" xfId="0" applyNumberFormat="1" applyFont="1" applyBorder="1" applyAlignment="1" applyProtection="1">
      <alignment horizontal="left" vertical="center"/>
      <protection locked="0"/>
    </xf>
    <xf numFmtId="0" fontId="23" fillId="0" borderId="4" xfId="0" applyFont="1" applyBorder="1" applyAlignment="1" applyProtection="1">
      <alignment horizontal="left" vertical="center"/>
      <protection locked="0"/>
    </xf>
    <xf numFmtId="0" fontId="23" fillId="0" borderId="6" xfId="0" applyFont="1" applyBorder="1" applyAlignment="1" applyProtection="1">
      <alignment horizontal="left" vertical="center"/>
      <protection locked="0"/>
    </xf>
    <xf numFmtId="0" fontId="19" fillId="4" borderId="1" xfId="3" applyFont="1" applyFill="1" applyBorder="1" applyAlignment="1" applyProtection="1">
      <alignment horizontal="center" vertical="center"/>
      <protection locked="0"/>
    </xf>
    <xf numFmtId="0" fontId="19" fillId="4" borderId="26" xfId="3" applyFont="1" applyFill="1" applyBorder="1" applyAlignment="1" applyProtection="1">
      <alignment horizontal="center" vertical="center"/>
      <protection locked="0"/>
    </xf>
    <xf numFmtId="0" fontId="18" fillId="3" borderId="26" xfId="0" applyFont="1" applyFill="1" applyBorder="1" applyAlignment="1">
      <alignment horizontal="left"/>
    </xf>
    <xf numFmtId="0" fontId="18" fillId="3" borderId="27" xfId="0" applyFont="1" applyFill="1" applyBorder="1" applyAlignment="1">
      <alignment horizontal="left"/>
    </xf>
    <xf numFmtId="0" fontId="18" fillId="3" borderId="28" xfId="0" applyFont="1" applyFill="1" applyBorder="1" applyAlignment="1">
      <alignment horizontal="left"/>
    </xf>
    <xf numFmtId="0" fontId="27" fillId="16" borderId="26" xfId="0" applyFont="1" applyFill="1" applyBorder="1" applyAlignment="1">
      <alignment horizontal="left" vertical="center"/>
    </xf>
    <xf numFmtId="0" fontId="27" fillId="16" borderId="27" xfId="0" applyFont="1" applyFill="1" applyBorder="1" applyAlignment="1">
      <alignment horizontal="left" vertical="center"/>
    </xf>
    <xf numFmtId="0" fontId="27" fillId="16" borderId="28" xfId="0" applyFont="1" applyFill="1" applyBorder="1" applyAlignment="1">
      <alignment horizontal="left" vertical="center"/>
    </xf>
    <xf numFmtId="0" fontId="0" fillId="4" borderId="1" xfId="0" applyFill="1" applyBorder="1" applyAlignment="1">
      <alignment horizontal="left" vertical="center" wrapText="1"/>
    </xf>
    <xf numFmtId="0" fontId="0" fillId="4" borderId="1" xfId="0" applyFill="1" applyBorder="1" applyAlignment="1">
      <alignment horizontal="left" vertical="top" wrapText="1"/>
    </xf>
    <xf numFmtId="0" fontId="0" fillId="4" borderId="1" xfId="0" applyFill="1" applyBorder="1" applyAlignment="1">
      <alignment horizontal="left" vertical="top"/>
    </xf>
    <xf numFmtId="0" fontId="18" fillId="3" borderId="1" xfId="0" applyFont="1" applyFill="1" applyBorder="1" applyAlignment="1">
      <alignment horizontal="left"/>
    </xf>
    <xf numFmtId="0" fontId="0" fillId="4" borderId="1" xfId="0" applyFill="1" applyBorder="1" applyAlignment="1">
      <alignment horizontal="center"/>
    </xf>
    <xf numFmtId="0" fontId="0" fillId="4" borderId="1" xfId="0" applyFill="1" applyBorder="1" applyAlignment="1">
      <alignment horizontal="center" vertical="center"/>
    </xf>
    <xf numFmtId="0" fontId="27" fillId="16" borderId="45" xfId="0" applyFont="1" applyFill="1" applyBorder="1" applyAlignment="1">
      <alignment vertical="center"/>
    </xf>
    <xf numFmtId="0" fontId="27" fillId="16" borderId="0" xfId="0" applyFont="1" applyFill="1" applyAlignment="1">
      <alignment vertical="center"/>
    </xf>
    <xf numFmtId="0" fontId="0" fillId="4" borderId="47" xfId="0" applyFill="1" applyBorder="1" applyAlignment="1">
      <alignment horizontal="left" vertical="center" wrapText="1"/>
    </xf>
    <xf numFmtId="0" fontId="0" fillId="4" borderId="43" xfId="0" applyFill="1" applyBorder="1" applyAlignment="1">
      <alignment horizontal="left" vertical="center" wrapText="1"/>
    </xf>
    <xf numFmtId="0" fontId="0" fillId="4" borderId="48" xfId="0" applyFill="1" applyBorder="1" applyAlignment="1">
      <alignment horizontal="left" vertical="center" wrapText="1"/>
    </xf>
    <xf numFmtId="0" fontId="0" fillId="4" borderId="49" xfId="0" applyFill="1" applyBorder="1" applyAlignment="1">
      <alignment horizontal="left" vertical="center" wrapText="1"/>
    </xf>
    <xf numFmtId="0" fontId="0" fillId="4" borderId="30" xfId="0" applyFill="1" applyBorder="1" applyAlignment="1">
      <alignment horizontal="left" vertical="center" wrapText="1"/>
    </xf>
    <xf numFmtId="0" fontId="0" fillId="4" borderId="50" xfId="0" applyFill="1" applyBorder="1" applyAlignment="1">
      <alignment horizontal="left" vertical="center" wrapText="1"/>
    </xf>
    <xf numFmtId="0" fontId="27" fillId="16" borderId="45" xfId="0" applyFont="1" applyFill="1" applyBorder="1" applyAlignment="1">
      <alignment horizontal="left" vertical="center"/>
    </xf>
    <xf numFmtId="0" fontId="27" fillId="16" borderId="0" xfId="0" applyFont="1" applyFill="1" applyAlignment="1">
      <alignment horizontal="left" vertical="center"/>
    </xf>
    <xf numFmtId="0" fontId="0" fillId="4" borderId="46" xfId="0" applyFill="1" applyBorder="1" applyAlignment="1">
      <alignment horizontal="left" vertical="center" wrapText="1"/>
    </xf>
    <xf numFmtId="0" fontId="27" fillId="16" borderId="1" xfId="0" applyFont="1" applyFill="1" applyBorder="1" applyAlignment="1">
      <alignment horizontal="left" vertical="center"/>
    </xf>
    <xf numFmtId="0" fontId="0" fillId="6" borderId="49" xfId="0" applyFill="1" applyBorder="1" applyAlignment="1">
      <alignment horizontal="center"/>
    </xf>
    <xf numFmtId="0" fontId="0" fillId="6" borderId="30" xfId="0" applyFill="1" applyBorder="1" applyAlignment="1">
      <alignment horizontal="center"/>
    </xf>
    <xf numFmtId="0" fontId="18" fillId="6" borderId="1"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46" xfId="0" applyBorder="1" applyAlignment="1">
      <alignment horizontal="center" vertical="center" wrapText="1"/>
    </xf>
    <xf numFmtId="0" fontId="18" fillId="6" borderId="49" xfId="0" applyFont="1" applyFill="1" applyBorder="1" applyAlignment="1">
      <alignment horizontal="center"/>
    </xf>
    <xf numFmtId="0" fontId="18" fillId="6" borderId="30" xfId="0" applyFont="1" applyFill="1" applyBorder="1" applyAlignment="1">
      <alignment horizontal="center"/>
    </xf>
    <xf numFmtId="0" fontId="18" fillId="6" borderId="49" xfId="0" applyFont="1" applyFill="1" applyBorder="1" applyAlignment="1">
      <alignment horizontal="center" vertical="center"/>
    </xf>
    <xf numFmtId="0" fontId="18" fillId="6" borderId="30" xfId="0" applyFont="1" applyFill="1" applyBorder="1" applyAlignment="1">
      <alignment horizontal="center" vertical="center"/>
    </xf>
    <xf numFmtId="0" fontId="47" fillId="3" borderId="1" xfId="0" applyFont="1" applyFill="1" applyBorder="1" applyAlignment="1">
      <alignment horizontal="center" vertical="center" wrapText="1"/>
    </xf>
    <xf numFmtId="0" fontId="0" fillId="0" borderId="25" xfId="0" applyBorder="1" applyAlignment="1">
      <alignment horizontal="center" vertical="center"/>
    </xf>
    <xf numFmtId="0" fontId="0" fillId="0" borderId="46" xfId="0" applyBorder="1" applyAlignment="1">
      <alignment horizontal="center" vertical="center"/>
    </xf>
    <xf numFmtId="0" fontId="18" fillId="6" borderId="1" xfId="0" applyFont="1" applyFill="1" applyBorder="1" applyAlignment="1">
      <alignment horizontal="center" vertical="center"/>
    </xf>
    <xf numFmtId="0" fontId="18" fillId="6" borderId="1" xfId="0" applyFont="1" applyFill="1" applyBorder="1" applyAlignment="1">
      <alignment horizontal="center"/>
    </xf>
    <xf numFmtId="0" fontId="18" fillId="6" borderId="26" xfId="0" applyFont="1" applyFill="1" applyBorder="1" applyAlignment="1">
      <alignment horizontal="center"/>
    </xf>
    <xf numFmtId="0" fontId="18" fillId="6" borderId="27" xfId="0" applyFont="1" applyFill="1" applyBorder="1" applyAlignment="1">
      <alignment horizontal="center"/>
    </xf>
    <xf numFmtId="0" fontId="18" fillId="6" borderId="28" xfId="0" applyFont="1" applyFill="1" applyBorder="1" applyAlignment="1">
      <alignment horizontal="center"/>
    </xf>
    <xf numFmtId="0" fontId="27" fillId="5" borderId="45" xfId="0" applyFont="1" applyFill="1" applyBorder="1" applyAlignment="1">
      <alignment horizontal="left" vertical="center"/>
    </xf>
    <xf numFmtId="0" fontId="27" fillId="5" borderId="0" xfId="0" applyFont="1" applyFill="1" applyAlignment="1">
      <alignment horizontal="left" vertical="center"/>
    </xf>
    <xf numFmtId="0" fontId="0" fillId="9" borderId="51" xfId="0" applyFill="1" applyBorder="1" applyAlignment="1">
      <alignment horizontal="center" vertical="center"/>
    </xf>
    <xf numFmtId="0" fontId="0" fillId="9" borderId="50" xfId="0" applyFill="1" applyBorder="1" applyAlignment="1">
      <alignment horizontal="center" vertical="center"/>
    </xf>
    <xf numFmtId="0" fontId="0" fillId="9" borderId="25" xfId="0" applyFill="1" applyBorder="1" applyAlignment="1">
      <alignment horizontal="center" vertical="center"/>
    </xf>
    <xf numFmtId="0" fontId="0" fillId="9" borderId="46" xfId="0" applyFill="1" applyBorder="1" applyAlignment="1">
      <alignment horizontal="center" vertical="center"/>
    </xf>
  </cellXfs>
  <cellStyles count="6">
    <cellStyle name="Comma" xfId="1" builtinId="3"/>
    <cellStyle name="Currency" xfId="2" builtinId="4"/>
    <cellStyle name="Hyperlink" xfId="3" builtinId="8"/>
    <cellStyle name="Neutral 2" xfId="5" xr:uid="{49F03CEB-0453-4C05-BDCF-611E2361E981}"/>
    <cellStyle name="Normal" xfId="0" builtinId="0"/>
    <cellStyle name="Percent" xfId="4" builtinId="5"/>
  </cellStyles>
  <dxfs count="1">
    <dxf>
      <font>
        <b/>
        <i val="0"/>
        <color theme="0"/>
      </font>
      <fill>
        <patternFill>
          <bgColor rgb="FFC00000"/>
        </patternFill>
      </fill>
    </dxf>
  </dxfs>
  <tableStyles count="0" defaultTableStyle="TableStyleMedium2" defaultPivotStyle="PivotStyleLight16"/>
  <colors>
    <mruColors>
      <color rgb="FF005CB8"/>
      <color rgb="FFDFD2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griddles" TargetMode="External"/></Relationships>
</file>

<file path=xl/drawings/_rels/drawing11.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hot_food_holding_cabinet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refrigerators_freezers"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refrigerators_freezers"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ice_makers"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s://www.energystar.gov/products/other/vending_machines"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ovens"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ovens"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steam_cookers"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energystar.gov/products/commercial_food_service_equipment/commercial_fryers"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396719</xdr:colOff>
      <xdr:row>1</xdr:row>
      <xdr:rowOff>76200</xdr:rowOff>
    </xdr:from>
    <xdr:to>
      <xdr:col>5</xdr:col>
      <xdr:colOff>48329</xdr:colOff>
      <xdr:row>3</xdr:row>
      <xdr:rowOff>228600</xdr:rowOff>
    </xdr:to>
    <xdr:pic>
      <xdr:nvPicPr>
        <xdr:cNvPr id="2" name="Picture 1">
          <a:extLst>
            <a:ext uri="{FF2B5EF4-FFF2-40B4-BE49-F238E27FC236}">
              <a16:creationId xmlns:a16="http://schemas.microsoft.com/office/drawing/2014/main" id="{A392EA21-F991-4B07-A8F2-709713D9AB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96719" y="438150"/>
          <a:ext cx="1832835" cy="685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24</xdr:col>
      <xdr:colOff>169339</xdr:colOff>
      <xdr:row>2</xdr:row>
      <xdr:rowOff>137582</xdr:rowOff>
    </xdr:from>
    <xdr:to>
      <xdr:col>25</xdr:col>
      <xdr:colOff>582083</xdr:colOff>
      <xdr:row>3</xdr:row>
      <xdr:rowOff>148164</xdr:rowOff>
    </xdr:to>
    <xdr:sp macro="" textlink="">
      <xdr:nvSpPr>
        <xdr:cNvPr id="2" name="Rectangle: Rounded Corners 1">
          <a:extLst>
            <a:ext uri="{FF2B5EF4-FFF2-40B4-BE49-F238E27FC236}">
              <a16:creationId xmlns:a16="http://schemas.microsoft.com/office/drawing/2014/main" id="{B0D2AF5E-1A0E-4D43-B030-8905620926E4}"/>
            </a:ext>
          </a:extLst>
        </xdr:cNvPr>
        <xdr:cNvSpPr/>
      </xdr:nvSpPr>
      <xdr:spPr>
        <a:xfrm>
          <a:off x="8276172" y="719665"/>
          <a:ext cx="1629828"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24</xdr:col>
      <xdr:colOff>170391</xdr:colOff>
      <xdr:row>2</xdr:row>
      <xdr:rowOff>158749</xdr:rowOff>
    </xdr:from>
    <xdr:to>
      <xdr:col>25</xdr:col>
      <xdr:colOff>793749</xdr:colOff>
      <xdr:row>3</xdr:row>
      <xdr:rowOff>126999</xdr:rowOff>
    </xdr:to>
    <xdr:sp macro="" textlink="">
      <xdr:nvSpPr>
        <xdr:cNvPr id="3" name="TextBox 2">
          <a:hlinkClick xmlns:r="http://schemas.openxmlformats.org/officeDocument/2006/relationships" r:id="rId1"/>
          <a:extLst>
            <a:ext uri="{FF2B5EF4-FFF2-40B4-BE49-F238E27FC236}">
              <a16:creationId xmlns:a16="http://schemas.microsoft.com/office/drawing/2014/main" id="{D19B2FF9-35F9-45A0-A3D7-B47A065AE9AF}"/>
            </a:ext>
          </a:extLst>
        </xdr:cNvPr>
        <xdr:cNvSpPr txBox="1"/>
      </xdr:nvSpPr>
      <xdr:spPr>
        <a:xfrm>
          <a:off x="8277224" y="740832"/>
          <a:ext cx="1840442" cy="264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148167</xdr:colOff>
      <xdr:row>2</xdr:row>
      <xdr:rowOff>169334</xdr:rowOff>
    </xdr:from>
    <xdr:to>
      <xdr:col>19</xdr:col>
      <xdr:colOff>42334</xdr:colOff>
      <xdr:row>3</xdr:row>
      <xdr:rowOff>179916</xdr:rowOff>
    </xdr:to>
    <xdr:sp macro="" textlink="">
      <xdr:nvSpPr>
        <xdr:cNvPr id="2" name="Rectangle: Rounded Corners 1">
          <a:extLst>
            <a:ext uri="{FF2B5EF4-FFF2-40B4-BE49-F238E27FC236}">
              <a16:creationId xmlns:a16="http://schemas.microsoft.com/office/drawing/2014/main" id="{92FB1998-9807-45DA-B45D-A53981C08AB7}"/>
            </a:ext>
          </a:extLst>
        </xdr:cNvPr>
        <xdr:cNvSpPr/>
      </xdr:nvSpPr>
      <xdr:spPr>
        <a:xfrm>
          <a:off x="8519584" y="751417"/>
          <a:ext cx="1862667"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254001</xdr:colOff>
      <xdr:row>2</xdr:row>
      <xdr:rowOff>201084</xdr:rowOff>
    </xdr:from>
    <xdr:to>
      <xdr:col>18</xdr:col>
      <xdr:colOff>1174751</xdr:colOff>
      <xdr:row>3</xdr:row>
      <xdr:rowOff>137583</xdr:rowOff>
    </xdr:to>
    <xdr:sp macro="" textlink="">
      <xdr:nvSpPr>
        <xdr:cNvPr id="3" name="TextBox 2">
          <a:hlinkClick xmlns:r="http://schemas.openxmlformats.org/officeDocument/2006/relationships" r:id="rId1"/>
          <a:extLst>
            <a:ext uri="{FF2B5EF4-FFF2-40B4-BE49-F238E27FC236}">
              <a16:creationId xmlns:a16="http://schemas.microsoft.com/office/drawing/2014/main" id="{40B9C935-205E-42DA-A8F5-5CC3E1D42492}"/>
            </a:ext>
          </a:extLst>
        </xdr:cNvPr>
        <xdr:cNvSpPr txBox="1"/>
      </xdr:nvSpPr>
      <xdr:spPr>
        <a:xfrm>
          <a:off x="8625418" y="783167"/>
          <a:ext cx="1682750"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137583</xdr:colOff>
      <xdr:row>2</xdr:row>
      <xdr:rowOff>190501</xdr:rowOff>
    </xdr:from>
    <xdr:to>
      <xdr:col>17</xdr:col>
      <xdr:colOff>148166</xdr:colOff>
      <xdr:row>3</xdr:row>
      <xdr:rowOff>232833</xdr:rowOff>
    </xdr:to>
    <xdr:sp macro="" textlink="">
      <xdr:nvSpPr>
        <xdr:cNvPr id="2" name="Rectangle: Rounded Corners 1">
          <a:extLst>
            <a:ext uri="{FF2B5EF4-FFF2-40B4-BE49-F238E27FC236}">
              <a16:creationId xmlns:a16="http://schemas.microsoft.com/office/drawing/2014/main" id="{1DFDACE4-3758-4A2A-800B-6F633546D329}"/>
            </a:ext>
          </a:extLst>
        </xdr:cNvPr>
        <xdr:cNvSpPr/>
      </xdr:nvSpPr>
      <xdr:spPr>
        <a:xfrm>
          <a:off x="8646583" y="772584"/>
          <a:ext cx="1799166" cy="33866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232833</xdr:colOff>
      <xdr:row>2</xdr:row>
      <xdr:rowOff>211667</xdr:rowOff>
    </xdr:from>
    <xdr:to>
      <xdr:col>17</xdr:col>
      <xdr:colOff>126999</xdr:colOff>
      <xdr:row>3</xdr:row>
      <xdr:rowOff>201083</xdr:rowOff>
    </xdr:to>
    <xdr:sp macro="" textlink="">
      <xdr:nvSpPr>
        <xdr:cNvPr id="3" name="TextBox 2">
          <a:hlinkClick xmlns:r="http://schemas.openxmlformats.org/officeDocument/2006/relationships" r:id="rId1"/>
          <a:extLst>
            <a:ext uri="{FF2B5EF4-FFF2-40B4-BE49-F238E27FC236}">
              <a16:creationId xmlns:a16="http://schemas.microsoft.com/office/drawing/2014/main" id="{E62E06E9-F11A-4E6D-94F1-DDA0E7836D1B}"/>
            </a:ext>
          </a:extLst>
        </xdr:cNvPr>
        <xdr:cNvSpPr txBox="1"/>
      </xdr:nvSpPr>
      <xdr:spPr>
        <a:xfrm>
          <a:off x="8741833" y="793750"/>
          <a:ext cx="168274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158750</xdr:colOff>
      <xdr:row>2</xdr:row>
      <xdr:rowOff>137584</xdr:rowOff>
    </xdr:from>
    <xdr:to>
      <xdr:col>17</xdr:col>
      <xdr:colOff>158750</xdr:colOff>
      <xdr:row>3</xdr:row>
      <xdr:rowOff>179916</xdr:rowOff>
    </xdr:to>
    <xdr:sp macro="" textlink="">
      <xdr:nvSpPr>
        <xdr:cNvPr id="7" name="Rectangle: Rounded Corners 6">
          <a:extLst>
            <a:ext uri="{FF2B5EF4-FFF2-40B4-BE49-F238E27FC236}">
              <a16:creationId xmlns:a16="http://schemas.microsoft.com/office/drawing/2014/main" id="{D8690939-D601-416D-A5CB-6C532508BB75}"/>
            </a:ext>
          </a:extLst>
        </xdr:cNvPr>
        <xdr:cNvSpPr/>
      </xdr:nvSpPr>
      <xdr:spPr>
        <a:xfrm>
          <a:off x="8720667" y="719667"/>
          <a:ext cx="1799166" cy="33866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254000</xdr:colOff>
      <xdr:row>2</xdr:row>
      <xdr:rowOff>158750</xdr:rowOff>
    </xdr:from>
    <xdr:to>
      <xdr:col>17</xdr:col>
      <xdr:colOff>137583</xdr:colOff>
      <xdr:row>3</xdr:row>
      <xdr:rowOff>148166</xdr:rowOff>
    </xdr:to>
    <xdr:sp macro="" textlink="">
      <xdr:nvSpPr>
        <xdr:cNvPr id="8" name="TextBox 7">
          <a:hlinkClick xmlns:r="http://schemas.openxmlformats.org/officeDocument/2006/relationships" r:id="rId1"/>
          <a:extLst>
            <a:ext uri="{FF2B5EF4-FFF2-40B4-BE49-F238E27FC236}">
              <a16:creationId xmlns:a16="http://schemas.microsoft.com/office/drawing/2014/main" id="{6826806C-A194-468B-AD98-02B949791A2F}"/>
            </a:ext>
          </a:extLst>
        </xdr:cNvPr>
        <xdr:cNvSpPr txBox="1"/>
      </xdr:nvSpPr>
      <xdr:spPr>
        <a:xfrm>
          <a:off x="8815917" y="740833"/>
          <a:ext cx="168274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84666</xdr:colOff>
      <xdr:row>2</xdr:row>
      <xdr:rowOff>105834</xdr:rowOff>
    </xdr:from>
    <xdr:to>
      <xdr:col>10</xdr:col>
      <xdr:colOff>105833</xdr:colOff>
      <xdr:row>3</xdr:row>
      <xdr:rowOff>127000</xdr:rowOff>
    </xdr:to>
    <xdr:sp macro="" textlink="">
      <xdr:nvSpPr>
        <xdr:cNvPr id="2" name="Rectangle: Rounded Corners 1">
          <a:extLst>
            <a:ext uri="{FF2B5EF4-FFF2-40B4-BE49-F238E27FC236}">
              <a16:creationId xmlns:a16="http://schemas.microsoft.com/office/drawing/2014/main" id="{EB3429F3-E937-4FD7-A18B-1C11C5FBDEF4}"/>
            </a:ext>
          </a:extLst>
        </xdr:cNvPr>
        <xdr:cNvSpPr/>
      </xdr:nvSpPr>
      <xdr:spPr>
        <a:xfrm>
          <a:off x="9218083" y="687917"/>
          <a:ext cx="1862667"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190500</xdr:colOff>
      <xdr:row>2</xdr:row>
      <xdr:rowOff>137584</xdr:rowOff>
    </xdr:from>
    <xdr:to>
      <xdr:col>10</xdr:col>
      <xdr:colOff>31750</xdr:colOff>
      <xdr:row>3</xdr:row>
      <xdr:rowOff>84667</xdr:rowOff>
    </xdr:to>
    <xdr:sp macro="" textlink="">
      <xdr:nvSpPr>
        <xdr:cNvPr id="3" name="TextBox 2">
          <a:hlinkClick xmlns:r="http://schemas.openxmlformats.org/officeDocument/2006/relationships" r:id="rId1"/>
          <a:extLst>
            <a:ext uri="{FF2B5EF4-FFF2-40B4-BE49-F238E27FC236}">
              <a16:creationId xmlns:a16="http://schemas.microsoft.com/office/drawing/2014/main" id="{CEF21B18-3397-43DD-B083-DFB95014B3E0}"/>
            </a:ext>
          </a:extLst>
        </xdr:cNvPr>
        <xdr:cNvSpPr txBox="1"/>
      </xdr:nvSpPr>
      <xdr:spPr>
        <a:xfrm>
          <a:off x="9323917" y="719667"/>
          <a:ext cx="1682750"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twoCellAnchor>
    <xdr:from>
      <xdr:col>24</xdr:col>
      <xdr:colOff>169334</xdr:colOff>
      <xdr:row>15</xdr:row>
      <xdr:rowOff>105833</xdr:rowOff>
    </xdr:from>
    <xdr:to>
      <xdr:col>26</xdr:col>
      <xdr:colOff>825500</xdr:colOff>
      <xdr:row>24</xdr:row>
      <xdr:rowOff>179916</xdr:rowOff>
    </xdr:to>
    <xdr:sp macro="" textlink="">
      <xdr:nvSpPr>
        <xdr:cNvPr id="4" name="TextBox 3">
          <a:extLst>
            <a:ext uri="{FF2B5EF4-FFF2-40B4-BE49-F238E27FC236}">
              <a16:creationId xmlns:a16="http://schemas.microsoft.com/office/drawing/2014/main" id="{0E86632F-093B-474B-B635-6F002EC0D2E9}"/>
            </a:ext>
          </a:extLst>
        </xdr:cNvPr>
        <xdr:cNvSpPr txBox="1"/>
      </xdr:nvSpPr>
      <xdr:spPr>
        <a:xfrm>
          <a:off x="27834167" y="3492500"/>
          <a:ext cx="3788833" cy="2074333"/>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a:t>
          </a:r>
          <a:r>
            <a:rPr lang="en-US" sz="1100" baseline="0"/>
            <a:t> TRM, I think Batch and Contionuous EE are flipped</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169333</xdr:colOff>
      <xdr:row>2</xdr:row>
      <xdr:rowOff>179917</xdr:rowOff>
    </xdr:from>
    <xdr:to>
      <xdr:col>11</xdr:col>
      <xdr:colOff>1058333</xdr:colOff>
      <xdr:row>3</xdr:row>
      <xdr:rowOff>190499</xdr:rowOff>
    </xdr:to>
    <xdr:sp macro="" textlink="">
      <xdr:nvSpPr>
        <xdr:cNvPr id="2" name="Rectangle: Rounded Corners 1">
          <a:extLst>
            <a:ext uri="{FF2B5EF4-FFF2-40B4-BE49-F238E27FC236}">
              <a16:creationId xmlns:a16="http://schemas.microsoft.com/office/drawing/2014/main" id="{EB0EA345-2288-433C-83F5-77B2BEB9714D}"/>
            </a:ext>
          </a:extLst>
        </xdr:cNvPr>
        <xdr:cNvSpPr/>
      </xdr:nvSpPr>
      <xdr:spPr>
        <a:xfrm>
          <a:off x="9800166" y="762000"/>
          <a:ext cx="1862667"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275167</xdr:colOff>
      <xdr:row>2</xdr:row>
      <xdr:rowOff>211667</xdr:rowOff>
    </xdr:from>
    <xdr:to>
      <xdr:col>11</xdr:col>
      <xdr:colOff>984250</xdr:colOff>
      <xdr:row>3</xdr:row>
      <xdr:rowOff>148166</xdr:rowOff>
    </xdr:to>
    <xdr:sp macro="" textlink="">
      <xdr:nvSpPr>
        <xdr:cNvPr id="3" name="TextBox 2">
          <a:hlinkClick xmlns:r="http://schemas.openxmlformats.org/officeDocument/2006/relationships" r:id="rId1"/>
          <a:extLst>
            <a:ext uri="{FF2B5EF4-FFF2-40B4-BE49-F238E27FC236}">
              <a16:creationId xmlns:a16="http://schemas.microsoft.com/office/drawing/2014/main" id="{F39DC28F-2045-4F75-B18F-7BF615ADE92C}"/>
            </a:ext>
          </a:extLst>
        </xdr:cNvPr>
        <xdr:cNvSpPr txBox="1"/>
      </xdr:nvSpPr>
      <xdr:spPr>
        <a:xfrm>
          <a:off x="9906000" y="793750"/>
          <a:ext cx="1682750"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148167</xdr:colOff>
      <xdr:row>2</xdr:row>
      <xdr:rowOff>158749</xdr:rowOff>
    </xdr:from>
    <xdr:to>
      <xdr:col>30</xdr:col>
      <xdr:colOff>63501</xdr:colOff>
      <xdr:row>3</xdr:row>
      <xdr:rowOff>169331</xdr:rowOff>
    </xdr:to>
    <xdr:sp macro="" textlink="">
      <xdr:nvSpPr>
        <xdr:cNvPr id="2" name="Rectangle: Rounded Corners 1">
          <a:extLst>
            <a:ext uri="{FF2B5EF4-FFF2-40B4-BE49-F238E27FC236}">
              <a16:creationId xmlns:a16="http://schemas.microsoft.com/office/drawing/2014/main" id="{24C27AB9-F044-4C6D-9277-B4280F167873}"/>
            </a:ext>
          </a:extLst>
        </xdr:cNvPr>
        <xdr:cNvSpPr/>
      </xdr:nvSpPr>
      <xdr:spPr>
        <a:xfrm>
          <a:off x="7291917" y="740832"/>
          <a:ext cx="1862667"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254001</xdr:colOff>
      <xdr:row>2</xdr:row>
      <xdr:rowOff>179916</xdr:rowOff>
    </xdr:from>
    <xdr:to>
      <xdr:col>29</xdr:col>
      <xdr:colOff>1121834</xdr:colOff>
      <xdr:row>3</xdr:row>
      <xdr:rowOff>116415</xdr:rowOff>
    </xdr:to>
    <xdr:sp macro="" textlink="">
      <xdr:nvSpPr>
        <xdr:cNvPr id="3" name="TextBox 2">
          <a:hlinkClick xmlns:r="http://schemas.openxmlformats.org/officeDocument/2006/relationships" r:id="rId1"/>
          <a:extLst>
            <a:ext uri="{FF2B5EF4-FFF2-40B4-BE49-F238E27FC236}">
              <a16:creationId xmlns:a16="http://schemas.microsoft.com/office/drawing/2014/main" id="{01AA37F4-21B0-465A-A0B1-8E26FD269D62}"/>
            </a:ext>
          </a:extLst>
        </xdr:cNvPr>
        <xdr:cNvSpPr txBox="1"/>
      </xdr:nvSpPr>
      <xdr:spPr>
        <a:xfrm>
          <a:off x="7397751" y="761999"/>
          <a:ext cx="1682750"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137583</xdr:colOff>
      <xdr:row>2</xdr:row>
      <xdr:rowOff>105833</xdr:rowOff>
    </xdr:from>
    <xdr:to>
      <xdr:col>22</xdr:col>
      <xdr:colOff>0</xdr:colOff>
      <xdr:row>3</xdr:row>
      <xdr:rowOff>116415</xdr:rowOff>
    </xdr:to>
    <xdr:sp macro="" textlink="">
      <xdr:nvSpPr>
        <xdr:cNvPr id="2" name="Rectangle: Rounded Corners 1">
          <a:extLst>
            <a:ext uri="{FF2B5EF4-FFF2-40B4-BE49-F238E27FC236}">
              <a16:creationId xmlns:a16="http://schemas.microsoft.com/office/drawing/2014/main" id="{1F16AE18-316F-4ECB-8781-8B3472790F1B}"/>
            </a:ext>
          </a:extLst>
        </xdr:cNvPr>
        <xdr:cNvSpPr/>
      </xdr:nvSpPr>
      <xdr:spPr>
        <a:xfrm>
          <a:off x="7524750" y="687916"/>
          <a:ext cx="1862667"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243417</xdr:colOff>
      <xdr:row>2</xdr:row>
      <xdr:rowOff>137583</xdr:rowOff>
    </xdr:from>
    <xdr:to>
      <xdr:col>21</xdr:col>
      <xdr:colOff>1100667</xdr:colOff>
      <xdr:row>3</xdr:row>
      <xdr:rowOff>74082</xdr:rowOff>
    </xdr:to>
    <xdr:sp macro="" textlink="">
      <xdr:nvSpPr>
        <xdr:cNvPr id="3" name="TextBox 2">
          <a:hlinkClick xmlns:r="http://schemas.openxmlformats.org/officeDocument/2006/relationships" r:id="rId1"/>
          <a:extLst>
            <a:ext uri="{FF2B5EF4-FFF2-40B4-BE49-F238E27FC236}">
              <a16:creationId xmlns:a16="http://schemas.microsoft.com/office/drawing/2014/main" id="{C67290CC-20F6-4EBD-AF87-8A21F7D84B8C}"/>
            </a:ext>
          </a:extLst>
        </xdr:cNvPr>
        <xdr:cNvSpPr txBox="1"/>
      </xdr:nvSpPr>
      <xdr:spPr>
        <a:xfrm>
          <a:off x="7630584" y="719666"/>
          <a:ext cx="1682750"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116416</xdr:colOff>
      <xdr:row>2</xdr:row>
      <xdr:rowOff>95250</xdr:rowOff>
    </xdr:from>
    <xdr:to>
      <xdr:col>31</xdr:col>
      <xdr:colOff>158750</xdr:colOff>
      <xdr:row>3</xdr:row>
      <xdr:rowOff>105832</xdr:rowOff>
    </xdr:to>
    <xdr:sp macro="" textlink="">
      <xdr:nvSpPr>
        <xdr:cNvPr id="4" name="Rectangle: Rounded Corners 3">
          <a:extLst>
            <a:ext uri="{FF2B5EF4-FFF2-40B4-BE49-F238E27FC236}">
              <a16:creationId xmlns:a16="http://schemas.microsoft.com/office/drawing/2014/main" id="{12DB366B-5821-4A4B-8EC7-70F61D3CE235}"/>
            </a:ext>
          </a:extLst>
        </xdr:cNvPr>
        <xdr:cNvSpPr/>
      </xdr:nvSpPr>
      <xdr:spPr>
        <a:xfrm>
          <a:off x="7376583" y="677333"/>
          <a:ext cx="1862667"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222250</xdr:colOff>
      <xdr:row>2</xdr:row>
      <xdr:rowOff>127000</xdr:rowOff>
    </xdr:from>
    <xdr:to>
      <xdr:col>31</xdr:col>
      <xdr:colOff>84667</xdr:colOff>
      <xdr:row>3</xdr:row>
      <xdr:rowOff>63499</xdr:rowOff>
    </xdr:to>
    <xdr:sp macro="" textlink="">
      <xdr:nvSpPr>
        <xdr:cNvPr id="5" name="TextBox 4">
          <a:hlinkClick xmlns:r="http://schemas.openxmlformats.org/officeDocument/2006/relationships" r:id="rId1"/>
          <a:extLst>
            <a:ext uri="{FF2B5EF4-FFF2-40B4-BE49-F238E27FC236}">
              <a16:creationId xmlns:a16="http://schemas.microsoft.com/office/drawing/2014/main" id="{1D712AF6-1226-4793-A7D8-34908BDB5E24}"/>
            </a:ext>
          </a:extLst>
        </xdr:cNvPr>
        <xdr:cNvSpPr txBox="1"/>
      </xdr:nvSpPr>
      <xdr:spPr>
        <a:xfrm>
          <a:off x="7482417" y="709083"/>
          <a:ext cx="1682750"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190497</xdr:colOff>
      <xdr:row>2</xdr:row>
      <xdr:rowOff>158751</xdr:rowOff>
    </xdr:from>
    <xdr:to>
      <xdr:col>24</xdr:col>
      <xdr:colOff>687913</xdr:colOff>
      <xdr:row>3</xdr:row>
      <xdr:rowOff>169333</xdr:rowOff>
    </xdr:to>
    <xdr:sp macro="" textlink="">
      <xdr:nvSpPr>
        <xdr:cNvPr id="2" name="Rectangle: Rounded Corners 1">
          <a:extLst>
            <a:ext uri="{FF2B5EF4-FFF2-40B4-BE49-F238E27FC236}">
              <a16:creationId xmlns:a16="http://schemas.microsoft.com/office/drawing/2014/main" id="{E2A0A0E1-D4CC-436A-A12A-DC6F58E0309A}"/>
            </a:ext>
          </a:extLst>
        </xdr:cNvPr>
        <xdr:cNvSpPr/>
      </xdr:nvSpPr>
      <xdr:spPr>
        <a:xfrm>
          <a:off x="7069664" y="740834"/>
          <a:ext cx="1640416" cy="306916"/>
        </a:xfrm>
        <a:prstGeom prst="roundRect">
          <a:avLst/>
        </a:prstGeom>
        <a:solidFill>
          <a:srgbClr val="005CB8"/>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190497</xdr:colOff>
      <xdr:row>2</xdr:row>
      <xdr:rowOff>190501</xdr:rowOff>
    </xdr:from>
    <xdr:to>
      <xdr:col>24</xdr:col>
      <xdr:colOff>730247</xdr:colOff>
      <xdr:row>3</xdr:row>
      <xdr:rowOff>148166</xdr:rowOff>
    </xdr:to>
    <xdr:sp macro="" textlink="">
      <xdr:nvSpPr>
        <xdr:cNvPr id="3" name="TextBox 2">
          <a:hlinkClick xmlns:r="http://schemas.openxmlformats.org/officeDocument/2006/relationships" r:id="rId1"/>
          <a:extLst>
            <a:ext uri="{FF2B5EF4-FFF2-40B4-BE49-F238E27FC236}">
              <a16:creationId xmlns:a16="http://schemas.microsoft.com/office/drawing/2014/main" id="{8826E948-C8BD-4FA3-AB76-F12458E74DE2}"/>
            </a:ext>
          </a:extLst>
        </xdr:cNvPr>
        <xdr:cNvSpPr txBox="1"/>
      </xdr:nvSpPr>
      <xdr:spPr>
        <a:xfrm>
          <a:off x="7069664" y="772584"/>
          <a:ext cx="1682750" cy="253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Visit</a:t>
          </a:r>
          <a:r>
            <a:rPr lang="en-US" sz="1100" b="1" baseline="0">
              <a:solidFill>
                <a:schemeClr val="bg1"/>
              </a:solidFill>
            </a:rPr>
            <a:t> Energy Star Website</a:t>
          </a:r>
          <a:endParaRPr lang="en-US" sz="1100" b="1">
            <a:solidFill>
              <a:schemeClr val="bg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7A32E-1876-4083-8F92-7097C8B53C02}">
  <dimension ref="A1:E19"/>
  <sheetViews>
    <sheetView workbookViewId="0">
      <selection activeCell="B20" sqref="B20"/>
    </sheetView>
  </sheetViews>
  <sheetFormatPr defaultRowHeight="15"/>
  <cols>
    <col min="2" max="2" width="10.7109375" bestFit="1" customWidth="1"/>
    <col min="3" max="4" width="16.85546875" bestFit="1" customWidth="1"/>
    <col min="5" max="5" width="22.7109375" bestFit="1" customWidth="1"/>
  </cols>
  <sheetData>
    <row r="1" spans="1:5" ht="18.75">
      <c r="A1" s="176" t="s">
        <v>0</v>
      </c>
    </row>
    <row r="5" spans="1:5">
      <c r="A5" t="s">
        <v>1</v>
      </c>
      <c r="B5" t="s">
        <v>2</v>
      </c>
      <c r="C5" t="s">
        <v>3</v>
      </c>
      <c r="D5" t="s">
        <v>4</v>
      </c>
      <c r="E5" t="s">
        <v>5</v>
      </c>
    </row>
    <row r="6" spans="1:5">
      <c r="A6" s="178" t="s">
        <v>6</v>
      </c>
      <c r="B6" s="177">
        <v>44027</v>
      </c>
      <c r="C6" t="s">
        <v>7</v>
      </c>
      <c r="D6" t="s">
        <v>7</v>
      </c>
      <c r="E6" t="s">
        <v>8</v>
      </c>
    </row>
    <row r="7" spans="1:5">
      <c r="A7" s="307">
        <v>3.4</v>
      </c>
      <c r="B7" s="308">
        <v>44032</v>
      </c>
      <c r="C7" s="307" t="s">
        <v>9</v>
      </c>
      <c r="D7" s="307" t="s">
        <v>10</v>
      </c>
      <c r="E7" t="s">
        <v>11</v>
      </c>
    </row>
    <row r="8" spans="1:5">
      <c r="A8" s="307"/>
      <c r="B8" s="308"/>
      <c r="C8" s="307"/>
      <c r="D8" s="307"/>
      <c r="E8" t="s">
        <v>12</v>
      </c>
    </row>
    <row r="9" spans="1:5">
      <c r="A9" s="307"/>
      <c r="B9" s="308"/>
      <c r="C9" s="307"/>
      <c r="D9" s="307"/>
      <c r="E9" t="s">
        <v>13</v>
      </c>
    </row>
    <row r="10" spans="1:5">
      <c r="A10" s="307"/>
      <c r="B10" s="308"/>
      <c r="C10" s="307"/>
      <c r="D10" s="307"/>
      <c r="E10" t="s">
        <v>14</v>
      </c>
    </row>
    <row r="11" spans="1:5">
      <c r="A11" s="307"/>
      <c r="B11" s="308"/>
      <c r="C11" s="307"/>
      <c r="D11" s="307"/>
      <c r="E11" t="s">
        <v>15</v>
      </c>
    </row>
    <row r="12" spans="1:5">
      <c r="A12" s="307"/>
      <c r="B12" s="308"/>
      <c r="C12" s="307"/>
      <c r="D12" s="307"/>
      <c r="E12" t="s">
        <v>16</v>
      </c>
    </row>
    <row r="13" spans="1:5">
      <c r="A13" s="307"/>
      <c r="B13" s="308"/>
      <c r="C13" s="307"/>
      <c r="D13" s="307"/>
      <c r="E13" t="s">
        <v>17</v>
      </c>
    </row>
    <row r="14" spans="1:5">
      <c r="A14">
        <v>3.5</v>
      </c>
      <c r="B14" s="177">
        <v>44126</v>
      </c>
      <c r="C14" t="s">
        <v>10</v>
      </c>
      <c r="D14" t="s">
        <v>10</v>
      </c>
      <c r="E14" t="s">
        <v>18</v>
      </c>
    </row>
    <row r="16" spans="1:5">
      <c r="A16" s="309" t="s">
        <v>19</v>
      </c>
      <c r="B16" s="311">
        <v>44344</v>
      </c>
      <c r="C16" s="310" t="s">
        <v>20</v>
      </c>
      <c r="D16" s="310"/>
      <c r="E16" t="s">
        <v>21</v>
      </c>
    </row>
    <row r="17" spans="1:5">
      <c r="A17" s="310"/>
      <c r="B17" s="311"/>
      <c r="C17" s="310"/>
      <c r="D17" s="310"/>
      <c r="E17" t="s">
        <v>22</v>
      </c>
    </row>
    <row r="18" spans="1:5">
      <c r="A18" s="310"/>
      <c r="B18" s="311"/>
      <c r="C18" s="310"/>
      <c r="D18" s="310"/>
      <c r="E18" t="s">
        <v>23</v>
      </c>
    </row>
    <row r="19" spans="1:5">
      <c r="A19">
        <v>5</v>
      </c>
      <c r="B19" s="177">
        <v>44712</v>
      </c>
      <c r="C19" t="s">
        <v>24</v>
      </c>
      <c r="D19" t="s">
        <v>20</v>
      </c>
      <c r="E19" t="s">
        <v>25</v>
      </c>
    </row>
  </sheetData>
  <mergeCells count="8">
    <mergeCell ref="A7:A13"/>
    <mergeCell ref="B7:B13"/>
    <mergeCell ref="C7:C13"/>
    <mergeCell ref="D7:D13"/>
    <mergeCell ref="A16:A18"/>
    <mergeCell ref="B16:B18"/>
    <mergeCell ref="C16:C18"/>
    <mergeCell ref="D16:D18"/>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G1571"/>
  <sheetViews>
    <sheetView zoomScale="90" zoomScaleNormal="90" workbookViewId="0">
      <selection activeCell="B3" sqref="B3:C3"/>
    </sheetView>
  </sheetViews>
  <sheetFormatPr defaultRowHeight="15"/>
  <cols>
    <col min="1" max="1" width="3.7109375" customWidth="1"/>
    <col min="2" max="2" width="5.7109375" customWidth="1"/>
    <col min="3" max="3" width="24.7109375" bestFit="1" customWidth="1"/>
    <col min="4" max="5" width="20" customWidth="1"/>
    <col min="6" max="6" width="20.5703125" customWidth="1"/>
    <col min="7" max="7" width="20.140625" customWidth="1"/>
    <col min="8" max="8" width="16.28515625" customWidth="1"/>
    <col min="9" max="9" width="18" customWidth="1"/>
    <col min="10" max="11" width="15.140625" customWidth="1"/>
    <col min="12" max="12" width="17.28515625" customWidth="1"/>
    <col min="13" max="13" width="16.5703125" customWidth="1"/>
    <col min="14" max="14" width="16.7109375" customWidth="1"/>
    <col min="15" max="15" width="16.7109375" hidden="1" customWidth="1"/>
    <col min="16" max="17" width="14.7109375" hidden="1" customWidth="1"/>
    <col min="18" max="18" width="6.140625" style="97" customWidth="1"/>
    <col min="19" max="189" width="9.140625" style="97"/>
  </cols>
  <sheetData>
    <row r="1" spans="1:18" ht="19.5" customHeight="1">
      <c r="A1" s="41"/>
      <c r="B1" s="41"/>
      <c r="C1" s="41"/>
      <c r="D1" s="41"/>
      <c r="E1" s="41"/>
      <c r="F1" s="41"/>
      <c r="G1" s="41"/>
      <c r="H1" s="41"/>
      <c r="I1" s="41"/>
      <c r="J1" s="41"/>
      <c r="K1" s="41"/>
      <c r="L1" s="41"/>
      <c r="M1" s="41"/>
      <c r="N1" s="41"/>
      <c r="O1" s="41"/>
      <c r="P1" s="28" t="s">
        <v>445</v>
      </c>
      <c r="Q1" s="28" t="s">
        <v>446</v>
      </c>
      <c r="R1" s="98"/>
    </row>
    <row r="2" spans="1:18" ht="27" customHeight="1">
      <c r="A2" s="41"/>
      <c r="B2" s="407" t="s">
        <v>447</v>
      </c>
      <c r="C2" s="408"/>
      <c r="D2" s="408"/>
      <c r="E2" s="408"/>
      <c r="F2" s="408"/>
      <c r="G2" s="408"/>
      <c r="H2" s="408"/>
      <c r="I2" s="408"/>
      <c r="J2" s="408"/>
      <c r="K2" s="408"/>
      <c r="L2" s="408"/>
      <c r="M2" s="408"/>
      <c r="N2" s="408"/>
      <c r="O2" s="28"/>
      <c r="P2" s="28"/>
      <c r="Q2" s="28"/>
      <c r="R2" s="98"/>
    </row>
    <row r="3" spans="1:18" ht="23.25" customHeight="1">
      <c r="A3" s="41"/>
      <c r="B3" s="393" t="s">
        <v>119</v>
      </c>
      <c r="C3" s="394"/>
      <c r="D3" s="401" t="s">
        <v>448</v>
      </c>
      <c r="E3" s="401"/>
      <c r="F3" s="401"/>
      <c r="G3" s="401"/>
      <c r="H3" s="401"/>
      <c r="I3" s="401"/>
      <c r="J3" s="41"/>
      <c r="K3" s="41"/>
      <c r="L3" s="41"/>
      <c r="M3" s="41"/>
      <c r="N3" s="41"/>
      <c r="O3" s="28"/>
      <c r="P3" s="28"/>
      <c r="Q3" s="28"/>
      <c r="R3" s="98"/>
    </row>
    <row r="4" spans="1:18" ht="27" customHeight="1">
      <c r="A4" s="41"/>
      <c r="B4" s="41"/>
      <c r="C4" s="41"/>
      <c r="D4" s="401"/>
      <c r="E4" s="401"/>
      <c r="F4" s="401"/>
      <c r="G4" s="401"/>
      <c r="H4" s="401"/>
      <c r="I4" s="401"/>
      <c r="J4" s="41"/>
      <c r="K4" s="41"/>
      <c r="L4" s="41"/>
      <c r="M4" s="41"/>
      <c r="N4" s="41"/>
      <c r="O4" s="28"/>
      <c r="P4" s="28"/>
      <c r="Q4" s="28"/>
      <c r="R4" s="98"/>
    </row>
    <row r="5" spans="1:18" ht="12.75" customHeight="1">
      <c r="A5" s="41"/>
      <c r="B5" s="41"/>
      <c r="C5" s="41"/>
      <c r="D5" s="41"/>
      <c r="E5" s="41"/>
      <c r="F5" s="41"/>
      <c r="G5" s="41"/>
      <c r="H5" s="41"/>
      <c r="I5" s="41"/>
      <c r="J5" s="41"/>
      <c r="K5" s="41"/>
      <c r="L5" s="41"/>
      <c r="M5" s="41"/>
      <c r="N5" s="41"/>
      <c r="O5" s="28"/>
      <c r="P5" s="28"/>
      <c r="Q5" s="28"/>
      <c r="R5" s="98"/>
    </row>
    <row r="6" spans="1:18" ht="32.25" customHeight="1">
      <c r="A6" s="41"/>
      <c r="B6" s="179" t="s">
        <v>234</v>
      </c>
      <c r="C6" s="179" t="s">
        <v>122</v>
      </c>
      <c r="D6" s="179" t="s">
        <v>123</v>
      </c>
      <c r="E6" s="180" t="s">
        <v>236</v>
      </c>
      <c r="F6" s="180" t="s">
        <v>126</v>
      </c>
      <c r="G6" s="180" t="s">
        <v>127</v>
      </c>
      <c r="H6" s="179" t="s">
        <v>311</v>
      </c>
      <c r="I6" s="180" t="s">
        <v>449</v>
      </c>
      <c r="J6" s="180" t="s">
        <v>53</v>
      </c>
      <c r="K6" s="180" t="s">
        <v>255</v>
      </c>
      <c r="L6" s="180" t="s">
        <v>54</v>
      </c>
      <c r="M6" s="180" t="s">
        <v>55</v>
      </c>
      <c r="N6" s="179" t="s">
        <v>75</v>
      </c>
      <c r="O6" s="285" t="s">
        <v>137</v>
      </c>
      <c r="P6" s="284" t="s">
        <v>257</v>
      </c>
      <c r="Q6" s="284" t="s">
        <v>78</v>
      </c>
      <c r="R6" s="98"/>
    </row>
    <row r="7" spans="1:18" ht="32.25" customHeight="1">
      <c r="A7" s="41"/>
      <c r="B7" s="274" t="s">
        <v>140</v>
      </c>
      <c r="C7" s="274"/>
      <c r="D7" s="274" t="s">
        <v>142</v>
      </c>
      <c r="E7" s="273" t="s">
        <v>143</v>
      </c>
      <c r="F7" s="273" t="s">
        <v>144</v>
      </c>
      <c r="G7" s="273" t="s">
        <v>145</v>
      </c>
      <c r="H7" s="274" t="s">
        <v>450</v>
      </c>
      <c r="I7" s="273" t="s">
        <v>451</v>
      </c>
      <c r="J7" s="273" t="s">
        <v>53</v>
      </c>
      <c r="K7" s="273" t="s">
        <v>148</v>
      </c>
      <c r="L7" s="273" t="s">
        <v>149</v>
      </c>
      <c r="M7" s="273" t="s">
        <v>150</v>
      </c>
      <c r="N7" s="274" t="s">
        <v>151</v>
      </c>
      <c r="O7" s="274" t="s">
        <v>152</v>
      </c>
      <c r="P7" s="273" t="s">
        <v>154</v>
      </c>
      <c r="Q7" s="273" t="s">
        <v>153</v>
      </c>
      <c r="R7" s="98"/>
    </row>
    <row r="8" spans="1:18" ht="17.25" customHeight="1">
      <c r="A8" s="41"/>
      <c r="B8" s="248">
        <v>1</v>
      </c>
      <c r="C8" s="248" t="s">
        <v>63</v>
      </c>
      <c r="D8" s="44"/>
      <c r="E8" s="44"/>
      <c r="F8" s="99"/>
      <c r="G8" s="99"/>
      <c r="H8" s="44"/>
      <c r="I8" s="44"/>
      <c r="J8" s="44"/>
      <c r="K8" s="44" t="str">
        <f t="shared" ref="K8:K15" si="0">IFERROR(ROUND(M8/8760,6),"")</f>
        <v/>
      </c>
      <c r="L8" s="248" t="str">
        <f>IF(AND(H8="", J8=""), "","0.00")</f>
        <v/>
      </c>
      <c r="M8" s="46" t="str">
        <f t="shared" ref="M8:M15" si="1">IF(J8="","",IF(I8="",VLOOKUP(H8,$C$19:$E$22,3,FALSE)*J8,I8/1000*8760*VLOOKUP(H8,$C$19:$E$22,2,FALSE)))</f>
        <v/>
      </c>
      <c r="N8" s="42" t="str">
        <f t="shared" ref="N8:N15" si="2">IF(J8="","",VLOOKUP(H8,$C$19:$F$22,4,FALSE)*J8)</f>
        <v/>
      </c>
      <c r="O8" s="42">
        <f>E8</f>
        <v>0</v>
      </c>
      <c r="P8" s="289" t="str">
        <f t="shared" ref="P8:P15" si="3">IF(M8&gt;0,"Yes","No")</f>
        <v>Yes</v>
      </c>
      <c r="Q8" s="4" t="s">
        <v>452</v>
      </c>
      <c r="R8" s="98"/>
    </row>
    <row r="9" spans="1:18" ht="17.25" customHeight="1">
      <c r="A9" s="41"/>
      <c r="B9" s="248">
        <v>2</v>
      </c>
      <c r="C9" s="248" t="s">
        <v>63</v>
      </c>
      <c r="D9" s="44"/>
      <c r="E9" s="44"/>
      <c r="F9" s="99"/>
      <c r="G9" s="99"/>
      <c r="H9" s="44"/>
      <c r="I9" s="44"/>
      <c r="J9" s="44"/>
      <c r="K9" s="44" t="str">
        <f t="shared" si="0"/>
        <v/>
      </c>
      <c r="L9" s="248" t="str">
        <f t="shared" ref="L9:L15" si="4">IF(AND(H9="", J9=""), "","0.00")</f>
        <v/>
      </c>
      <c r="M9" s="46" t="str">
        <f t="shared" si="1"/>
        <v/>
      </c>
      <c r="N9" s="42" t="str">
        <f t="shared" si="2"/>
        <v/>
      </c>
      <c r="O9" s="42">
        <f t="shared" ref="O9:O15" si="5">E9</f>
        <v>0</v>
      </c>
      <c r="P9" s="289" t="str">
        <f t="shared" si="3"/>
        <v>Yes</v>
      </c>
      <c r="Q9" s="4" t="s">
        <v>452</v>
      </c>
      <c r="R9" s="98"/>
    </row>
    <row r="10" spans="1:18" ht="17.25" customHeight="1">
      <c r="A10" s="41"/>
      <c r="B10" s="248">
        <v>3</v>
      </c>
      <c r="C10" s="248" t="s">
        <v>63</v>
      </c>
      <c r="D10" s="44"/>
      <c r="E10" s="44"/>
      <c r="F10" s="99"/>
      <c r="G10" s="99"/>
      <c r="H10" s="44"/>
      <c r="I10" s="44"/>
      <c r="J10" s="44"/>
      <c r="K10" s="44" t="str">
        <f t="shared" si="0"/>
        <v/>
      </c>
      <c r="L10" s="248" t="str">
        <f t="shared" si="4"/>
        <v/>
      </c>
      <c r="M10" s="46" t="str">
        <f t="shared" si="1"/>
        <v/>
      </c>
      <c r="N10" s="42" t="str">
        <f t="shared" si="2"/>
        <v/>
      </c>
      <c r="O10" s="42">
        <f t="shared" si="5"/>
        <v>0</v>
      </c>
      <c r="P10" s="289" t="str">
        <f t="shared" si="3"/>
        <v>Yes</v>
      </c>
      <c r="Q10" s="4" t="s">
        <v>452</v>
      </c>
      <c r="R10" s="98"/>
    </row>
    <row r="11" spans="1:18" ht="17.25" customHeight="1">
      <c r="A11" s="41"/>
      <c r="B11" s="248">
        <v>4</v>
      </c>
      <c r="C11" s="248" t="s">
        <v>63</v>
      </c>
      <c r="D11" s="44"/>
      <c r="E11" s="44"/>
      <c r="F11" s="99"/>
      <c r="G11" s="99"/>
      <c r="H11" s="44"/>
      <c r="I11" s="44"/>
      <c r="J11" s="44"/>
      <c r="K11" s="44" t="str">
        <f t="shared" si="0"/>
        <v/>
      </c>
      <c r="L11" s="248" t="str">
        <f t="shared" si="4"/>
        <v/>
      </c>
      <c r="M11" s="46" t="str">
        <f t="shared" si="1"/>
        <v/>
      </c>
      <c r="N11" s="42" t="str">
        <f t="shared" si="2"/>
        <v/>
      </c>
      <c r="O11" s="42">
        <f t="shared" si="5"/>
        <v>0</v>
      </c>
      <c r="P11" s="289" t="str">
        <f t="shared" si="3"/>
        <v>Yes</v>
      </c>
      <c r="Q11" s="4" t="s">
        <v>452</v>
      </c>
      <c r="R11" s="98"/>
    </row>
    <row r="12" spans="1:18" ht="17.25" customHeight="1">
      <c r="A12" s="41"/>
      <c r="B12" s="248">
        <v>5</v>
      </c>
      <c r="C12" s="248" t="s">
        <v>63</v>
      </c>
      <c r="D12" s="44"/>
      <c r="E12" s="44"/>
      <c r="F12" s="99"/>
      <c r="G12" s="99"/>
      <c r="H12" s="44"/>
      <c r="I12" s="44"/>
      <c r="J12" s="44"/>
      <c r="K12" s="44" t="str">
        <f t="shared" si="0"/>
        <v/>
      </c>
      <c r="L12" s="248" t="str">
        <f t="shared" si="4"/>
        <v/>
      </c>
      <c r="M12" s="46" t="str">
        <f t="shared" si="1"/>
        <v/>
      </c>
      <c r="N12" s="42" t="str">
        <f t="shared" si="2"/>
        <v/>
      </c>
      <c r="O12" s="42">
        <f t="shared" si="5"/>
        <v>0</v>
      </c>
      <c r="P12" s="289" t="str">
        <f t="shared" si="3"/>
        <v>Yes</v>
      </c>
      <c r="Q12" s="4" t="s">
        <v>452</v>
      </c>
      <c r="R12" s="98"/>
    </row>
    <row r="13" spans="1:18" ht="17.25" customHeight="1">
      <c r="A13" s="41"/>
      <c r="B13" s="248">
        <v>6</v>
      </c>
      <c r="C13" s="248" t="s">
        <v>63</v>
      </c>
      <c r="D13" s="44"/>
      <c r="E13" s="44"/>
      <c r="F13" s="99"/>
      <c r="G13" s="99"/>
      <c r="H13" s="44"/>
      <c r="I13" s="44"/>
      <c r="J13" s="44"/>
      <c r="K13" s="44" t="str">
        <f t="shared" si="0"/>
        <v/>
      </c>
      <c r="L13" s="248" t="str">
        <f t="shared" si="4"/>
        <v/>
      </c>
      <c r="M13" s="46" t="str">
        <f t="shared" si="1"/>
        <v/>
      </c>
      <c r="N13" s="42" t="str">
        <f t="shared" si="2"/>
        <v/>
      </c>
      <c r="O13" s="42">
        <f t="shared" si="5"/>
        <v>0</v>
      </c>
      <c r="P13" s="289" t="str">
        <f t="shared" si="3"/>
        <v>Yes</v>
      </c>
      <c r="Q13" s="4" t="s">
        <v>452</v>
      </c>
      <c r="R13" s="98"/>
    </row>
    <row r="14" spans="1:18" ht="17.25" customHeight="1">
      <c r="A14" s="41"/>
      <c r="B14" s="248">
        <v>7</v>
      </c>
      <c r="C14" s="248" t="s">
        <v>63</v>
      </c>
      <c r="D14" s="44"/>
      <c r="E14" s="44"/>
      <c r="F14" s="99"/>
      <c r="G14" s="99"/>
      <c r="H14" s="44"/>
      <c r="I14" s="44"/>
      <c r="J14" s="44"/>
      <c r="K14" s="44" t="str">
        <f t="shared" si="0"/>
        <v/>
      </c>
      <c r="L14" s="248" t="str">
        <f t="shared" si="4"/>
        <v/>
      </c>
      <c r="M14" s="46" t="str">
        <f t="shared" si="1"/>
        <v/>
      </c>
      <c r="N14" s="42" t="str">
        <f t="shared" si="2"/>
        <v/>
      </c>
      <c r="O14" s="42">
        <f t="shared" si="5"/>
        <v>0</v>
      </c>
      <c r="P14" s="289" t="str">
        <f t="shared" si="3"/>
        <v>Yes</v>
      </c>
      <c r="Q14" s="4" t="s">
        <v>452</v>
      </c>
      <c r="R14" s="98"/>
    </row>
    <row r="15" spans="1:18" ht="17.25" customHeight="1">
      <c r="A15" s="41"/>
      <c r="B15" s="248">
        <v>8</v>
      </c>
      <c r="C15" s="248" t="s">
        <v>63</v>
      </c>
      <c r="D15" s="44"/>
      <c r="E15" s="44"/>
      <c r="F15" s="99"/>
      <c r="G15" s="99"/>
      <c r="H15" s="44"/>
      <c r="I15" s="44"/>
      <c r="J15" s="44"/>
      <c r="K15" s="44" t="str">
        <f t="shared" si="0"/>
        <v/>
      </c>
      <c r="L15" s="248" t="str">
        <f t="shared" si="4"/>
        <v/>
      </c>
      <c r="M15" s="46" t="str">
        <f t="shared" si="1"/>
        <v/>
      </c>
      <c r="N15" s="42" t="str">
        <f t="shared" si="2"/>
        <v/>
      </c>
      <c r="O15" s="42">
        <f t="shared" si="5"/>
        <v>0</v>
      </c>
      <c r="P15" s="289" t="str">
        <f t="shared" si="3"/>
        <v>Yes</v>
      </c>
      <c r="Q15" s="4" t="s">
        <v>452</v>
      </c>
      <c r="R15" s="98"/>
    </row>
    <row r="16" spans="1:18" hidden="1">
      <c r="A16" s="28"/>
      <c r="R16" s="98"/>
    </row>
    <row r="17" spans="1:18" hidden="1">
      <c r="A17" s="28"/>
      <c r="R17" s="98"/>
    </row>
    <row r="18" spans="1:18" hidden="1">
      <c r="A18" s="28"/>
      <c r="R18" s="98"/>
    </row>
    <row r="19" spans="1:18" ht="25.5" hidden="1">
      <c r="A19" s="28"/>
      <c r="C19" s="53" t="s">
        <v>311</v>
      </c>
      <c r="D19" s="53" t="s">
        <v>453</v>
      </c>
      <c r="E19" s="54" t="s">
        <v>454</v>
      </c>
      <c r="F19" s="57" t="s">
        <v>56</v>
      </c>
      <c r="I19" s="14" t="s">
        <v>123</v>
      </c>
      <c r="R19" s="98"/>
    </row>
    <row r="20" spans="1:18" hidden="1">
      <c r="A20" s="28"/>
      <c r="C20" s="5" t="s">
        <v>455</v>
      </c>
      <c r="D20" s="6">
        <v>0.46</v>
      </c>
      <c r="E20" s="56">
        <v>1611.8</v>
      </c>
      <c r="F20" s="243">
        <v>100</v>
      </c>
      <c r="I20" s="19" t="s">
        <v>164</v>
      </c>
      <c r="R20" s="98"/>
    </row>
    <row r="21" spans="1:18" hidden="1">
      <c r="A21" s="28"/>
      <c r="C21" s="5" t="s">
        <v>456</v>
      </c>
      <c r="D21" s="6">
        <v>0.3</v>
      </c>
      <c r="E21" s="56">
        <v>1208.9000000000001</v>
      </c>
      <c r="F21" s="243">
        <v>100</v>
      </c>
      <c r="I21" s="19" t="s">
        <v>170</v>
      </c>
      <c r="R21" s="98"/>
    </row>
    <row r="22" spans="1:18" hidden="1">
      <c r="A22" s="28"/>
      <c r="C22" s="5" t="s">
        <v>457</v>
      </c>
      <c r="D22" s="6">
        <v>0.46</v>
      </c>
      <c r="E22" s="56">
        <v>342.5</v>
      </c>
      <c r="F22" s="243">
        <v>50</v>
      </c>
      <c r="R22" s="98"/>
    </row>
    <row r="23" spans="1:18" hidden="1">
      <c r="A23" s="28"/>
      <c r="C23" s="247"/>
      <c r="D23" s="34"/>
      <c r="E23" s="34"/>
      <c r="F23" s="55"/>
      <c r="G23" s="55"/>
      <c r="I23" s="48" t="s">
        <v>308</v>
      </c>
      <c r="R23" s="98"/>
    </row>
    <row r="24" spans="1:18" hidden="1">
      <c r="A24" s="28"/>
      <c r="C24" s="244"/>
      <c r="F24" s="55"/>
      <c r="G24" s="55"/>
      <c r="I24" s="5">
        <v>5</v>
      </c>
      <c r="J24" s="4" t="s">
        <v>458</v>
      </c>
      <c r="R24" s="98"/>
    </row>
    <row r="25" spans="1:18" hidden="1">
      <c r="A25" s="28"/>
      <c r="C25" s="245"/>
      <c r="F25" s="55"/>
      <c r="G25" s="55"/>
      <c r="R25" s="98"/>
    </row>
    <row r="26" spans="1:18" hidden="1">
      <c r="A26" s="28"/>
      <c r="C26" s="246"/>
      <c r="I26" s="48" t="s">
        <v>398</v>
      </c>
      <c r="R26" s="98"/>
    </row>
    <row r="27" spans="1:18" hidden="1">
      <c r="A27" s="28"/>
      <c r="I27" s="22">
        <v>0</v>
      </c>
      <c r="R27" s="98"/>
    </row>
    <row r="28" spans="1:18" hidden="1">
      <c r="A28" s="28"/>
      <c r="R28" s="98"/>
    </row>
    <row r="29" spans="1:18" hidden="1">
      <c r="A29" s="28"/>
      <c r="R29" s="98"/>
    </row>
    <row r="30" spans="1:18" s="97" customFormat="1">
      <c r="A30" s="98"/>
      <c r="B30" s="98"/>
      <c r="C30" s="98"/>
      <c r="D30" s="98"/>
      <c r="E30" s="98"/>
      <c r="F30" s="98"/>
      <c r="G30" s="98"/>
      <c r="H30" s="98"/>
      <c r="I30" s="98"/>
      <c r="J30" s="98"/>
      <c r="K30" s="98"/>
      <c r="L30" s="98"/>
      <c r="M30" s="98"/>
      <c r="N30" s="98"/>
      <c r="O30" s="98"/>
      <c r="R30" s="98"/>
    </row>
    <row r="31" spans="1:18" s="97" customFormat="1">
      <c r="A31" s="98"/>
      <c r="B31" s="98"/>
      <c r="C31" s="98"/>
      <c r="D31" s="98"/>
      <c r="E31" s="98"/>
      <c r="F31" s="98"/>
      <c r="G31" s="98"/>
      <c r="H31" s="98"/>
      <c r="I31" s="98"/>
      <c r="J31" s="98"/>
      <c r="K31" s="98"/>
      <c r="L31" s="98"/>
      <c r="M31" s="98"/>
      <c r="N31" s="98"/>
      <c r="O31" s="98"/>
      <c r="R31" s="98"/>
    </row>
    <row r="32" spans="1:18" s="97" customFormat="1"/>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row r="1198" s="97" customFormat="1"/>
    <row r="1199" s="97" customFormat="1"/>
    <row r="1200" s="97" customFormat="1"/>
    <row r="1201" s="97" customFormat="1"/>
    <row r="1202" s="97" customFormat="1"/>
    <row r="1203" s="97" customFormat="1"/>
    <row r="1204" s="97" customFormat="1"/>
    <row r="1205" s="97" customFormat="1"/>
    <row r="1206" s="97" customFormat="1"/>
    <row r="1207" s="97" customFormat="1"/>
    <row r="1208" s="97" customFormat="1"/>
    <row r="1209" s="97" customFormat="1"/>
    <row r="1210" s="97" customFormat="1"/>
    <row r="1211" s="97" customFormat="1"/>
    <row r="1212" s="97" customFormat="1"/>
    <row r="1213" s="97" customFormat="1"/>
    <row r="1214" s="97" customFormat="1"/>
    <row r="1215" s="97" customFormat="1"/>
    <row r="1216" s="97" customFormat="1"/>
    <row r="1217" s="97" customFormat="1"/>
    <row r="1218" s="97" customFormat="1"/>
    <row r="1219" s="97" customFormat="1"/>
    <row r="1220" s="97" customFormat="1"/>
    <row r="1221" s="97" customFormat="1"/>
    <row r="1222" s="97" customFormat="1"/>
    <row r="1223" s="97" customFormat="1"/>
    <row r="1224" s="97" customFormat="1"/>
    <row r="1225" s="97" customFormat="1"/>
    <row r="1226" s="97" customFormat="1"/>
    <row r="1227" s="97" customFormat="1"/>
    <row r="1228" s="97" customFormat="1"/>
    <row r="1229" s="97" customFormat="1"/>
    <row r="1230" s="97" customFormat="1"/>
    <row r="1231" s="97" customFormat="1"/>
    <row r="1232" s="97" customFormat="1"/>
    <row r="1233" s="97" customFormat="1"/>
    <row r="1234" s="97" customFormat="1"/>
    <row r="1235" s="97" customFormat="1"/>
    <row r="1236" s="97" customFormat="1"/>
    <row r="1237" s="97" customFormat="1"/>
    <row r="1238" s="97" customFormat="1"/>
    <row r="1239" s="97" customFormat="1"/>
    <row r="1240" s="97" customFormat="1"/>
    <row r="1241" s="97" customFormat="1"/>
    <row r="1242" s="97" customFormat="1"/>
    <row r="1243" s="97" customFormat="1"/>
    <row r="1244" s="97" customFormat="1"/>
    <row r="1245" s="97" customFormat="1"/>
    <row r="1246" s="97" customFormat="1"/>
    <row r="1247" s="97" customFormat="1"/>
    <row r="1248" s="97" customFormat="1"/>
    <row r="1249" s="97" customFormat="1"/>
    <row r="1250" s="97" customFormat="1"/>
    <row r="1251" s="97" customFormat="1"/>
    <row r="1252" s="97" customFormat="1"/>
    <row r="1253" s="97" customFormat="1"/>
    <row r="1254" s="97" customFormat="1"/>
    <row r="1255" s="97" customFormat="1"/>
    <row r="1256" s="97" customFormat="1"/>
    <row r="1257" s="97" customFormat="1"/>
    <row r="1258" s="97" customFormat="1"/>
    <row r="1259" s="97" customFormat="1"/>
    <row r="1260" s="97" customFormat="1"/>
    <row r="1261" s="97" customFormat="1"/>
    <row r="1262" s="97" customFormat="1"/>
    <row r="1263" s="97" customFormat="1"/>
    <row r="1264" s="97" customFormat="1"/>
    <row r="1265" s="97" customFormat="1"/>
    <row r="1266" s="97" customFormat="1"/>
    <row r="1267" s="97" customFormat="1"/>
    <row r="1268" s="97" customFormat="1"/>
    <row r="1269" s="97" customFormat="1"/>
    <row r="1270" s="97" customFormat="1"/>
    <row r="1271" s="97" customFormat="1"/>
    <row r="1272" s="97" customFormat="1"/>
    <row r="1273" s="97" customFormat="1"/>
    <row r="1274" s="97" customFormat="1"/>
    <row r="1275" s="97" customFormat="1"/>
    <row r="1276" s="97" customFormat="1"/>
    <row r="1277" s="97" customFormat="1"/>
    <row r="1278" s="97" customFormat="1"/>
    <row r="1279" s="97" customFormat="1"/>
    <row r="1280" s="97" customFormat="1"/>
    <row r="1281" s="97" customFormat="1"/>
    <row r="1282" s="97" customFormat="1"/>
    <row r="1283" s="97" customFormat="1"/>
    <row r="1284" s="97" customFormat="1"/>
    <row r="1285" s="97" customFormat="1"/>
    <row r="1286" s="97" customFormat="1"/>
    <row r="1287" s="97" customFormat="1"/>
    <row r="1288" s="97" customFormat="1"/>
    <row r="1289" s="97" customFormat="1"/>
    <row r="1290" s="97" customFormat="1"/>
    <row r="1291" s="97" customFormat="1"/>
    <row r="1292" s="97" customFormat="1"/>
    <row r="1293" s="97" customFormat="1"/>
    <row r="1294" s="97" customFormat="1"/>
    <row r="1295" s="97" customFormat="1"/>
    <row r="1296" s="97" customFormat="1"/>
    <row r="1297" s="97" customFormat="1"/>
    <row r="1298" s="97" customFormat="1"/>
    <row r="1299" s="97" customFormat="1"/>
    <row r="1300" s="97" customFormat="1"/>
    <row r="1301" s="97" customFormat="1"/>
    <row r="1302" s="97" customFormat="1"/>
    <row r="1303" s="97" customFormat="1"/>
    <row r="1304" s="97" customFormat="1"/>
    <row r="1305" s="97" customFormat="1"/>
    <row r="1306" s="97" customFormat="1"/>
    <row r="1307" s="97" customFormat="1"/>
    <row r="1308" s="97" customFormat="1"/>
    <row r="1309" s="97" customFormat="1"/>
    <row r="1310" s="97" customFormat="1"/>
    <row r="1311" s="97" customFormat="1"/>
    <row r="1312" s="97" customFormat="1"/>
    <row r="1313" s="97" customFormat="1"/>
    <row r="1314" s="97" customFormat="1"/>
    <row r="1315" s="97" customFormat="1"/>
    <row r="1316" s="97" customFormat="1"/>
    <row r="1317" s="97" customFormat="1"/>
    <row r="1318" s="97" customFormat="1"/>
    <row r="1319" s="97" customFormat="1"/>
    <row r="1320" s="97" customFormat="1"/>
    <row r="1321" s="97" customFormat="1"/>
    <row r="1322" s="97" customFormat="1"/>
    <row r="1323" s="97" customFormat="1"/>
    <row r="1324" s="97" customFormat="1"/>
    <row r="1325" s="97" customFormat="1"/>
    <row r="1326" s="97" customFormat="1"/>
    <row r="1327" s="97" customFormat="1"/>
    <row r="1328" s="97" customFormat="1"/>
    <row r="1329" s="97" customFormat="1"/>
    <row r="1330" s="97" customFormat="1"/>
    <row r="1331" s="97" customFormat="1"/>
    <row r="1332" s="97" customFormat="1"/>
    <row r="1333" s="97" customFormat="1"/>
    <row r="1334" s="97" customFormat="1"/>
    <row r="1335" s="97" customFormat="1"/>
    <row r="1336" s="97" customFormat="1"/>
    <row r="1337" s="97" customFormat="1"/>
    <row r="1338" s="97" customFormat="1"/>
    <row r="1339" s="97" customFormat="1"/>
    <row r="1340" s="97" customFormat="1"/>
    <row r="1341" s="97" customFormat="1"/>
    <row r="1342" s="97" customFormat="1"/>
    <row r="1343" s="97" customFormat="1"/>
    <row r="1344" s="97" customFormat="1"/>
    <row r="1345" s="97" customFormat="1"/>
    <row r="1346" s="97" customFormat="1"/>
    <row r="1347" s="97" customFormat="1"/>
    <row r="1348" s="97" customFormat="1"/>
    <row r="1349" s="97" customFormat="1"/>
    <row r="1350" s="97" customFormat="1"/>
    <row r="1351" s="97" customFormat="1"/>
    <row r="1352" s="97" customFormat="1"/>
    <row r="1353" s="97" customFormat="1"/>
    <row r="1354" s="97" customFormat="1"/>
    <row r="1355" s="97" customFormat="1"/>
    <row r="1356" s="97" customFormat="1"/>
    <row r="1357" s="97" customFormat="1"/>
    <row r="1358" s="97" customFormat="1"/>
    <row r="1359" s="97" customFormat="1"/>
    <row r="1360" s="97" customFormat="1"/>
    <row r="1361" s="97" customFormat="1"/>
    <row r="1362" s="97" customFormat="1"/>
    <row r="1363" s="97" customFormat="1"/>
    <row r="1364" s="97" customFormat="1"/>
    <row r="1365" s="97" customFormat="1"/>
    <row r="1366" s="97" customFormat="1"/>
    <row r="1367" s="97" customFormat="1"/>
    <row r="1368" s="97" customFormat="1"/>
    <row r="1369" s="97" customFormat="1"/>
    <row r="1370" s="97" customFormat="1"/>
    <row r="1371" s="97" customFormat="1"/>
    <row r="1372" s="97" customFormat="1"/>
    <row r="1373" s="97" customFormat="1"/>
    <row r="1374" s="97" customFormat="1"/>
    <row r="1375" s="97" customFormat="1"/>
    <row r="1376" s="97" customFormat="1"/>
    <row r="1377" s="97" customFormat="1"/>
    <row r="1378" s="97" customFormat="1"/>
    <row r="1379" s="97" customFormat="1"/>
    <row r="1380" s="97" customFormat="1"/>
    <row r="1381" s="97" customFormat="1"/>
    <row r="1382" s="97" customFormat="1"/>
    <row r="1383" s="97" customFormat="1"/>
    <row r="1384" s="97" customFormat="1"/>
    <row r="1385" s="97" customFormat="1"/>
    <row r="1386" s="97" customFormat="1"/>
    <row r="1387" s="97" customFormat="1"/>
    <row r="1388" s="97" customFormat="1"/>
    <row r="1389" s="97" customFormat="1"/>
    <row r="1390" s="97" customFormat="1"/>
    <row r="1391" s="97" customFormat="1"/>
    <row r="1392" s="97" customFormat="1"/>
    <row r="1393" s="97" customFormat="1"/>
    <row r="1394" s="97" customFormat="1"/>
    <row r="1395" s="97" customFormat="1"/>
    <row r="1396" s="97" customFormat="1"/>
    <row r="1397" s="97" customFormat="1"/>
    <row r="1398" s="97" customFormat="1"/>
    <row r="1399" s="97" customFormat="1"/>
    <row r="1400" s="97" customFormat="1"/>
    <row r="1401" s="97" customFormat="1"/>
    <row r="1402" s="97" customFormat="1"/>
    <row r="1403" s="97" customFormat="1"/>
    <row r="1404" s="97" customFormat="1"/>
    <row r="1405" s="97" customFormat="1"/>
    <row r="1406" s="97" customFormat="1"/>
    <row r="1407" s="97" customFormat="1"/>
    <row r="1408" s="97" customFormat="1"/>
    <row r="1409" s="97" customFormat="1"/>
    <row r="1410" s="97" customFormat="1"/>
    <row r="1411" s="97" customFormat="1"/>
    <row r="1412" s="97" customFormat="1"/>
    <row r="1413" s="97" customFormat="1"/>
    <row r="1414" s="97" customFormat="1"/>
    <row r="1415" s="97" customFormat="1"/>
    <row r="1416" s="97" customFormat="1"/>
    <row r="1417" s="97" customFormat="1"/>
    <row r="1418" s="97" customFormat="1"/>
    <row r="1419" s="97" customFormat="1"/>
    <row r="1420" s="97" customFormat="1"/>
    <row r="1421" s="97" customFormat="1"/>
    <row r="1422" s="97" customFormat="1"/>
    <row r="1423" s="97" customFormat="1"/>
    <row r="1424" s="97" customFormat="1"/>
    <row r="1425" s="97" customFormat="1"/>
    <row r="1426" s="97" customFormat="1"/>
    <row r="1427" s="97" customFormat="1"/>
    <row r="1428" s="97" customFormat="1"/>
    <row r="1429" s="97" customFormat="1"/>
    <row r="1430" s="97" customFormat="1"/>
    <row r="1431" s="97" customFormat="1"/>
    <row r="1432" s="97" customFormat="1"/>
    <row r="1433" s="97" customFormat="1"/>
    <row r="1434" s="97" customFormat="1"/>
    <row r="1435" s="97" customFormat="1"/>
    <row r="1436" s="97" customFormat="1"/>
    <row r="1437" s="97" customFormat="1"/>
    <row r="1438" s="97" customFormat="1"/>
    <row r="1439" s="97" customFormat="1"/>
    <row r="1440" s="97" customFormat="1"/>
    <row r="1441" s="97" customFormat="1"/>
    <row r="1442" s="97" customFormat="1"/>
    <row r="1443" s="97" customFormat="1"/>
    <row r="1444" s="97" customFormat="1"/>
    <row r="1445" s="97" customFormat="1"/>
    <row r="1446" s="97" customFormat="1"/>
    <row r="1447" s="97" customFormat="1"/>
    <row r="1448" s="97" customFormat="1"/>
    <row r="1449" s="97" customFormat="1"/>
    <row r="1450" s="97" customFormat="1"/>
    <row r="1451" s="97" customFormat="1"/>
    <row r="1452" s="97" customFormat="1"/>
    <row r="1453" s="97" customFormat="1"/>
    <row r="1454" s="97" customFormat="1"/>
    <row r="1455" s="97" customFormat="1"/>
    <row r="1456" s="97" customFormat="1"/>
    <row r="1457" s="97" customFormat="1"/>
    <row r="1458" s="97" customFormat="1"/>
    <row r="1459" s="97" customFormat="1"/>
    <row r="1460" s="97" customFormat="1"/>
    <row r="1461" s="97" customFormat="1"/>
    <row r="1462" s="97" customFormat="1"/>
    <row r="1463" s="97" customFormat="1"/>
    <row r="1464" s="97" customFormat="1"/>
    <row r="1465" s="97" customFormat="1"/>
    <row r="1466" s="97" customFormat="1"/>
    <row r="1467" s="97" customFormat="1"/>
    <row r="1468" s="97" customFormat="1"/>
    <row r="1469" s="97" customFormat="1"/>
    <row r="1470" s="97" customFormat="1"/>
    <row r="1471" s="97" customFormat="1"/>
    <row r="1472" s="97" customFormat="1"/>
    <row r="1473" s="97" customFormat="1"/>
    <row r="1474" s="97" customFormat="1"/>
    <row r="1475" s="97" customFormat="1"/>
    <row r="1476" s="97" customFormat="1"/>
    <row r="1477" s="97" customFormat="1"/>
    <row r="1478" s="97" customFormat="1"/>
    <row r="1479" s="97" customFormat="1"/>
    <row r="1480" s="97" customFormat="1"/>
    <row r="1481" s="97" customFormat="1"/>
    <row r="1482" s="97" customFormat="1"/>
    <row r="1483" s="97" customFormat="1"/>
    <row r="1484" s="97" customFormat="1"/>
    <row r="1485" s="97" customFormat="1"/>
    <row r="1486" s="97" customFormat="1"/>
    <row r="1487" s="97" customFormat="1"/>
    <row r="1488" s="97" customFormat="1"/>
    <row r="1489" s="97" customFormat="1"/>
    <row r="1490" s="97" customFormat="1"/>
    <row r="1491" s="97" customFormat="1"/>
    <row r="1492" s="97" customFormat="1"/>
    <row r="1493" s="97" customFormat="1"/>
    <row r="1494" s="97" customFormat="1"/>
    <row r="1495" s="97" customFormat="1"/>
    <row r="1496" s="97" customFormat="1"/>
    <row r="1497" s="97" customFormat="1"/>
    <row r="1498" s="97" customFormat="1"/>
    <row r="1499" s="97" customFormat="1"/>
    <row r="1500" s="97" customFormat="1"/>
    <row r="1501" s="97" customFormat="1"/>
    <row r="1502" s="97" customFormat="1"/>
    <row r="1503" s="97" customFormat="1"/>
    <row r="1504" s="97" customFormat="1"/>
    <row r="1505" s="97" customFormat="1"/>
    <row r="1506" s="97" customFormat="1"/>
    <row r="1507" s="97" customFormat="1"/>
    <row r="1508" s="97" customFormat="1"/>
    <row r="1509" s="97" customFormat="1"/>
    <row r="1510" s="97" customFormat="1"/>
    <row r="1511" s="97" customFormat="1"/>
    <row r="1512" s="97" customFormat="1"/>
    <row r="1513" s="97" customFormat="1"/>
    <row r="1514" s="97" customFormat="1"/>
    <row r="1515" s="97" customFormat="1"/>
    <row r="1516" s="97" customFormat="1"/>
    <row r="1517" s="97" customFormat="1"/>
    <row r="1518" s="97" customFormat="1"/>
    <row r="1519" s="97" customFormat="1"/>
    <row r="1520" s="97" customFormat="1"/>
    <row r="1521" s="97" customFormat="1"/>
    <row r="1522" s="97" customFormat="1"/>
    <row r="1523" s="97" customFormat="1"/>
    <row r="1524" s="97" customFormat="1"/>
    <row r="1525" s="97" customFormat="1"/>
    <row r="1526" s="97" customFormat="1"/>
    <row r="1527" s="97" customFormat="1"/>
    <row r="1528" s="97" customFormat="1"/>
    <row r="1529" s="97" customFormat="1"/>
    <row r="1530" s="97" customFormat="1"/>
    <row r="1531" s="97" customFormat="1"/>
    <row r="1532" s="97" customFormat="1"/>
    <row r="1533" s="97" customFormat="1"/>
    <row r="1534" s="97" customFormat="1"/>
    <row r="1535" s="97" customFormat="1"/>
    <row r="1536" s="97" customFormat="1"/>
    <row r="1537" s="97" customFormat="1"/>
    <row r="1538" s="97" customFormat="1"/>
    <row r="1539" s="97" customFormat="1"/>
    <row r="1540" s="97" customFormat="1"/>
    <row r="1541" s="97" customFormat="1"/>
    <row r="1542" s="97" customFormat="1"/>
    <row r="1543" s="97" customFormat="1"/>
    <row r="1544" s="97" customFormat="1"/>
    <row r="1545" s="97" customFormat="1"/>
    <row r="1546" s="97" customFormat="1"/>
    <row r="1547" s="97" customFormat="1"/>
    <row r="1548" s="97" customFormat="1"/>
    <row r="1549" s="97" customFormat="1"/>
    <row r="1550" s="97" customFormat="1"/>
    <row r="1551" s="97" customFormat="1"/>
    <row r="1552" s="97" customFormat="1"/>
    <row r="1553" s="97" customFormat="1"/>
    <row r="1554" s="97" customFormat="1"/>
    <row r="1555" s="97" customFormat="1"/>
    <row r="1556" s="97" customFormat="1"/>
    <row r="1557" s="97" customFormat="1"/>
    <row r="1558" s="97" customFormat="1"/>
    <row r="1559" s="97" customFormat="1"/>
    <row r="1560" s="97" customFormat="1"/>
    <row r="1561" s="97" customFormat="1"/>
    <row r="1562" s="97" customFormat="1"/>
    <row r="1563" s="97" customFormat="1"/>
    <row r="1564" s="97" customFormat="1"/>
    <row r="1565" s="97" customFormat="1"/>
    <row r="1566" s="97" customFormat="1"/>
    <row r="1567" s="97" customFormat="1"/>
    <row r="1568" s="97" customFormat="1"/>
    <row r="1569" s="97" customFormat="1"/>
    <row r="1570" s="97" customFormat="1"/>
    <row r="1571" s="97" customFormat="1"/>
  </sheetData>
  <sheetProtection algorithmName="SHA-512" hashValue="AJsonzbkSRMIRtq4cgmFlb5lbFgSuGM4u/S/JAA2XFC6a5PO1FmEYr3KJidNuXvq/teipIex3FmCGLZOAyKjaQ==" saltValue="h4VXLAQFdrwsZFAv+8P4Sw==" spinCount="100000" sheet="1" selectLockedCells="1"/>
  <mergeCells count="3">
    <mergeCell ref="B3:C3"/>
    <mergeCell ref="D3:I4"/>
    <mergeCell ref="B2:N2"/>
  </mergeCells>
  <dataValidations count="2">
    <dataValidation type="list" allowBlank="1" showInputMessage="1" showErrorMessage="1" sqref="H8:H15" xr:uid="{081B8E98-0337-412F-9526-8914C4E2AF02}">
      <formula1>$C$20:$C$22</formula1>
    </dataValidation>
    <dataValidation type="list" allowBlank="1" showInputMessage="1" showErrorMessage="1" sqref="D8:E15" xr:uid="{00000000-0002-0000-0800-000002000000}">
      <formula1>$I$20:$I$21</formula1>
    </dataValidation>
  </dataValidations>
  <hyperlinks>
    <hyperlink ref="B3" location="'Calculator Index'!A1" display="Return to Index" xr:uid="{00000000-0004-0000-0800-000000000000}"/>
    <hyperlink ref="B3:C3" location="'Project Summary'!A1" display="Return to Project Summary" xr:uid="{00000000-0004-0000-0800-000001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T1223"/>
  <sheetViews>
    <sheetView zoomScale="90" zoomScaleNormal="90" workbookViewId="0">
      <selection activeCell="D7" sqref="D7"/>
    </sheetView>
  </sheetViews>
  <sheetFormatPr defaultRowHeight="15"/>
  <cols>
    <col min="1" max="1" width="3.7109375" customWidth="1"/>
    <col min="2" max="2" width="7.5703125" customWidth="1"/>
    <col min="3" max="3" width="30.85546875" bestFit="1" customWidth="1"/>
    <col min="4" max="4" width="20.140625" customWidth="1"/>
    <col min="5" max="5" width="20" customWidth="1"/>
    <col min="6" max="6" width="20.85546875" customWidth="1"/>
    <col min="7" max="7" width="17.5703125" customWidth="1"/>
    <col min="8" max="8" width="23.85546875" customWidth="1"/>
    <col min="9" max="9" width="14.5703125" customWidth="1"/>
    <col min="10" max="10" width="15.5703125" hidden="1" customWidth="1"/>
    <col min="11" max="11" width="14.140625" hidden="1" customWidth="1"/>
    <col min="12" max="12" width="18.7109375" customWidth="1"/>
    <col min="13" max="13" width="19.42578125" customWidth="1"/>
    <col min="14" max="14" width="11.140625" customWidth="1"/>
    <col min="15" max="15" width="15.85546875" hidden="1" customWidth="1"/>
    <col min="16" max="16" width="14.85546875" hidden="1" customWidth="1"/>
    <col min="17" max="17" width="6.42578125" customWidth="1"/>
    <col min="18" max="150" width="9.140625" style="97"/>
  </cols>
  <sheetData>
    <row r="1" spans="1:17" ht="19.5" customHeight="1">
      <c r="A1" s="41"/>
      <c r="B1" s="41"/>
      <c r="C1" s="41"/>
      <c r="D1" s="41"/>
      <c r="E1" s="41"/>
      <c r="F1" s="41"/>
      <c r="G1" s="41"/>
      <c r="H1" s="41"/>
      <c r="I1" s="41"/>
      <c r="J1" s="28"/>
      <c r="K1" s="28"/>
      <c r="L1" s="41"/>
      <c r="M1" s="41"/>
      <c r="N1" s="41"/>
      <c r="O1" s="28" t="s">
        <v>459</v>
      </c>
      <c r="P1" s="28" t="s">
        <v>460</v>
      </c>
      <c r="Q1" s="98"/>
    </row>
    <row r="2" spans="1:17" ht="27" customHeight="1">
      <c r="A2" s="41"/>
      <c r="B2" s="418" t="s">
        <v>461</v>
      </c>
      <c r="C2" s="418"/>
      <c r="D2" s="418"/>
      <c r="E2" s="418"/>
      <c r="F2" s="418"/>
      <c r="G2" s="418"/>
      <c r="H2" s="418"/>
      <c r="I2" s="418"/>
      <c r="J2" s="418"/>
      <c r="K2" s="418"/>
      <c r="L2" s="418"/>
      <c r="M2" s="418"/>
      <c r="N2" s="418"/>
      <c r="O2" s="28"/>
      <c r="P2" s="28"/>
      <c r="Q2" s="98"/>
    </row>
    <row r="3" spans="1:17" ht="23.25" customHeight="1">
      <c r="A3" s="41"/>
      <c r="B3" s="393" t="s">
        <v>119</v>
      </c>
      <c r="C3" s="394"/>
      <c r="D3" s="417" t="s">
        <v>462</v>
      </c>
      <c r="E3" s="417"/>
      <c r="F3" s="417"/>
      <c r="G3" s="417"/>
      <c r="H3" s="417"/>
      <c r="I3" s="41"/>
      <c r="J3" s="28"/>
      <c r="K3" s="28"/>
      <c r="L3" s="41"/>
      <c r="M3" s="41"/>
      <c r="N3" s="41"/>
      <c r="O3" s="28"/>
      <c r="P3" s="28"/>
      <c r="Q3" s="98"/>
    </row>
    <row r="4" spans="1:17" ht="26.25" customHeight="1">
      <c r="A4" s="41"/>
      <c r="B4" s="41"/>
      <c r="C4" s="41"/>
      <c r="D4" s="401"/>
      <c r="E4" s="401"/>
      <c r="F4" s="401"/>
      <c r="G4" s="401"/>
      <c r="H4" s="401"/>
      <c r="I4" s="41"/>
      <c r="J4" s="28"/>
      <c r="K4" s="28"/>
      <c r="L4" s="41"/>
      <c r="M4" s="41"/>
      <c r="N4" s="41"/>
      <c r="O4" s="28"/>
      <c r="P4" s="28"/>
      <c r="Q4" s="98"/>
    </row>
    <row r="5" spans="1:17" ht="12.75" customHeight="1">
      <c r="A5" s="41"/>
      <c r="B5" s="41"/>
      <c r="C5" s="41"/>
      <c r="D5" s="41"/>
      <c r="E5" s="41"/>
      <c r="F5" s="41"/>
      <c r="G5" s="41"/>
      <c r="H5" s="41"/>
      <c r="I5" s="41"/>
      <c r="J5" s="28"/>
      <c r="K5" s="28"/>
      <c r="L5" s="41"/>
      <c r="M5" s="41"/>
      <c r="N5" s="41"/>
      <c r="O5" s="28"/>
      <c r="P5" s="28"/>
      <c r="Q5" s="98"/>
    </row>
    <row r="6" spans="1:17" ht="39" customHeight="1">
      <c r="A6" s="41"/>
      <c r="B6" s="179" t="s">
        <v>234</v>
      </c>
      <c r="C6" s="179" t="s">
        <v>122</v>
      </c>
      <c r="D6" s="180" t="s">
        <v>123</v>
      </c>
      <c r="E6" s="180" t="s">
        <v>126</v>
      </c>
      <c r="F6" s="180" t="s">
        <v>127</v>
      </c>
      <c r="G6" s="180" t="s">
        <v>463</v>
      </c>
      <c r="H6" s="180" t="s">
        <v>464</v>
      </c>
      <c r="I6" s="180" t="s">
        <v>53</v>
      </c>
      <c r="J6" s="180" t="s">
        <v>244</v>
      </c>
      <c r="K6" s="180" t="s">
        <v>245</v>
      </c>
      <c r="L6" s="180" t="s">
        <v>54</v>
      </c>
      <c r="M6" s="180" t="s">
        <v>55</v>
      </c>
      <c r="N6" s="180" t="s">
        <v>56</v>
      </c>
      <c r="Q6" s="98"/>
    </row>
    <row r="7" spans="1:17" ht="18.75" customHeight="1">
      <c r="A7" s="41"/>
      <c r="B7" s="248">
        <v>1</v>
      </c>
      <c r="C7" s="9" t="s">
        <v>465</v>
      </c>
      <c r="D7" s="11"/>
      <c r="E7" s="99"/>
      <c r="F7" s="99"/>
      <c r="G7" s="11"/>
      <c r="H7" s="11"/>
      <c r="I7" s="11"/>
      <c r="J7" s="107" t="str">
        <f>IFERROR(IF(OR(G7="",H7=""), "", IF(G7=$C$18, ((0.052*H7) + 2.43)*365, ((0.052 * H7) + 2.2) * 365)), "")</f>
        <v/>
      </c>
      <c r="K7" s="107" t="str">
        <f>IFERROR(IF(G7="", "", IF(G7=$C$18, ((0.0523*H7) + 2.432)*365, ((0.0657 * H7) + 2.844) * 365)), "")</f>
        <v/>
      </c>
      <c r="L7" s="108" t="str">
        <f>IF(I7="", "", "0.00")</f>
        <v/>
      </c>
      <c r="M7" s="108" t="str">
        <f>IFERROR(IF(I7="", "", (J7-K7)*I7), "")</f>
        <v/>
      </c>
      <c r="N7" s="42" t="str">
        <f>IFERROR(IF(I7="", "", I7*$C$23), "")</f>
        <v/>
      </c>
      <c r="O7" s="59"/>
      <c r="Q7" s="98"/>
    </row>
    <row r="8" spans="1:17" ht="18.75" customHeight="1">
      <c r="A8" s="41"/>
      <c r="B8" s="248">
        <v>2</v>
      </c>
      <c r="C8" s="9" t="s">
        <v>465</v>
      </c>
      <c r="D8" s="11"/>
      <c r="E8" s="99"/>
      <c r="F8" s="99"/>
      <c r="G8" s="11"/>
      <c r="H8" s="11"/>
      <c r="I8" s="11"/>
      <c r="J8" s="107" t="str">
        <f t="shared" ref="J8:J14" si="0">IFERROR(IF(OR(G8="",H8=""), "", IF(G8=$C$18, ((0.052*H8) + 2.43)*365, ((0.052 * H8) + 2.2) * 365)), "")</f>
        <v/>
      </c>
      <c r="K8" s="107" t="str">
        <f t="shared" ref="K8:K14" si="1">IFERROR(IF(G8="", "", IF(G8=$C$18, ((0.0523*H8) + 2.432)*365, ((0.0657 * H8) + 2.844) * 365)), "")</f>
        <v/>
      </c>
      <c r="L8" s="108" t="str">
        <f t="shared" ref="L8:L14" si="2">IF(I8="", "", "0.00")</f>
        <v/>
      </c>
      <c r="M8" s="108" t="str">
        <f t="shared" ref="M8:M14" si="3">IFERROR(IF(I8="", "", (J8-K8)*I8), "")</f>
        <v/>
      </c>
      <c r="N8" s="42" t="str">
        <f t="shared" ref="N8:N14" si="4">IFERROR(IF(I8="", "", I8*$C$23), "")</f>
        <v/>
      </c>
      <c r="O8" s="59"/>
      <c r="Q8" s="98"/>
    </row>
    <row r="9" spans="1:17" ht="18.75" customHeight="1">
      <c r="A9" s="41"/>
      <c r="B9" s="248">
        <v>3</v>
      </c>
      <c r="C9" s="9" t="s">
        <v>465</v>
      </c>
      <c r="D9" s="11"/>
      <c r="E9" s="99"/>
      <c r="F9" s="99"/>
      <c r="G9" s="11"/>
      <c r="H9" s="11"/>
      <c r="I9" s="11"/>
      <c r="J9" s="107" t="str">
        <f t="shared" si="0"/>
        <v/>
      </c>
      <c r="K9" s="107" t="str">
        <f t="shared" si="1"/>
        <v/>
      </c>
      <c r="L9" s="108" t="str">
        <f t="shared" si="2"/>
        <v/>
      </c>
      <c r="M9" s="108" t="str">
        <f t="shared" si="3"/>
        <v/>
      </c>
      <c r="N9" s="42" t="str">
        <f t="shared" si="4"/>
        <v/>
      </c>
      <c r="O9" s="59"/>
      <c r="Q9" s="98"/>
    </row>
    <row r="10" spans="1:17" ht="18.75" customHeight="1">
      <c r="A10" s="41"/>
      <c r="B10" s="248">
        <v>4</v>
      </c>
      <c r="C10" s="9" t="s">
        <v>465</v>
      </c>
      <c r="D10" s="11"/>
      <c r="E10" s="99"/>
      <c r="F10" s="99"/>
      <c r="G10" s="11"/>
      <c r="H10" s="11"/>
      <c r="I10" s="11"/>
      <c r="J10" s="107" t="str">
        <f t="shared" si="0"/>
        <v/>
      </c>
      <c r="K10" s="107" t="str">
        <f t="shared" si="1"/>
        <v/>
      </c>
      <c r="L10" s="108" t="str">
        <f t="shared" si="2"/>
        <v/>
      </c>
      <c r="M10" s="108" t="str">
        <f t="shared" si="3"/>
        <v/>
      </c>
      <c r="N10" s="42" t="str">
        <f t="shared" si="4"/>
        <v/>
      </c>
      <c r="O10" s="59"/>
      <c r="Q10" s="98"/>
    </row>
    <row r="11" spans="1:17" ht="18.75" customHeight="1">
      <c r="A11" s="41"/>
      <c r="B11" s="248">
        <v>5</v>
      </c>
      <c r="C11" s="9" t="s">
        <v>465</v>
      </c>
      <c r="D11" s="11"/>
      <c r="E11" s="99"/>
      <c r="F11" s="99"/>
      <c r="G11" s="11"/>
      <c r="H11" s="11"/>
      <c r="I11" s="11"/>
      <c r="J11" s="107" t="str">
        <f t="shared" si="0"/>
        <v/>
      </c>
      <c r="K11" s="107" t="str">
        <f t="shared" si="1"/>
        <v/>
      </c>
      <c r="L11" s="108" t="str">
        <f t="shared" si="2"/>
        <v/>
      </c>
      <c r="M11" s="108" t="str">
        <f t="shared" si="3"/>
        <v/>
      </c>
      <c r="N11" s="42" t="str">
        <f t="shared" si="4"/>
        <v/>
      </c>
      <c r="O11" s="59"/>
      <c r="Q11" s="98"/>
    </row>
    <row r="12" spans="1:17" ht="18.75" customHeight="1">
      <c r="A12" s="41"/>
      <c r="B12" s="248">
        <v>6</v>
      </c>
      <c r="C12" s="9" t="s">
        <v>465</v>
      </c>
      <c r="D12" s="11"/>
      <c r="E12" s="99"/>
      <c r="F12" s="99"/>
      <c r="G12" s="11"/>
      <c r="H12" s="11"/>
      <c r="I12" s="11"/>
      <c r="J12" s="107" t="str">
        <f t="shared" si="0"/>
        <v/>
      </c>
      <c r="K12" s="107" t="str">
        <f t="shared" si="1"/>
        <v/>
      </c>
      <c r="L12" s="108" t="str">
        <f t="shared" si="2"/>
        <v/>
      </c>
      <c r="M12" s="108" t="str">
        <f t="shared" si="3"/>
        <v/>
      </c>
      <c r="N12" s="42" t="str">
        <f t="shared" si="4"/>
        <v/>
      </c>
      <c r="O12" s="59"/>
      <c r="Q12" s="98"/>
    </row>
    <row r="13" spans="1:17" ht="18.75" customHeight="1">
      <c r="A13" s="41"/>
      <c r="B13" s="248">
        <v>7</v>
      </c>
      <c r="C13" s="9" t="s">
        <v>465</v>
      </c>
      <c r="D13" s="11"/>
      <c r="E13" s="99"/>
      <c r="F13" s="99"/>
      <c r="G13" s="11"/>
      <c r="H13" s="11"/>
      <c r="I13" s="11"/>
      <c r="J13" s="107" t="str">
        <f t="shared" si="0"/>
        <v/>
      </c>
      <c r="K13" s="107" t="str">
        <f t="shared" si="1"/>
        <v/>
      </c>
      <c r="L13" s="108" t="str">
        <f t="shared" si="2"/>
        <v/>
      </c>
      <c r="M13" s="108" t="str">
        <f t="shared" si="3"/>
        <v/>
      </c>
      <c r="N13" s="42" t="str">
        <f t="shared" si="4"/>
        <v/>
      </c>
      <c r="O13" s="59"/>
      <c r="Q13" s="98"/>
    </row>
    <row r="14" spans="1:17" ht="18.75" customHeight="1">
      <c r="A14" s="41"/>
      <c r="B14" s="248">
        <v>8</v>
      </c>
      <c r="C14" s="9" t="s">
        <v>465</v>
      </c>
      <c r="D14" s="11"/>
      <c r="E14" s="99"/>
      <c r="F14" s="99"/>
      <c r="G14" s="11"/>
      <c r="H14" s="11"/>
      <c r="I14" s="11"/>
      <c r="J14" s="107" t="str">
        <f t="shared" si="0"/>
        <v/>
      </c>
      <c r="K14" s="107" t="str">
        <f t="shared" si="1"/>
        <v/>
      </c>
      <c r="L14" s="108" t="str">
        <f t="shared" si="2"/>
        <v/>
      </c>
      <c r="M14" s="108" t="str">
        <f t="shared" si="3"/>
        <v/>
      </c>
      <c r="N14" s="42" t="str">
        <f t="shared" si="4"/>
        <v/>
      </c>
      <c r="O14" s="59"/>
      <c r="Q14" s="98"/>
    </row>
    <row r="15" spans="1:17" hidden="1">
      <c r="C15" s="247"/>
      <c r="D15" s="247"/>
      <c r="E15" s="247"/>
      <c r="F15" s="247"/>
      <c r="G15" s="247"/>
      <c r="H15" s="247"/>
      <c r="I15" s="247"/>
      <c r="J15" s="247"/>
      <c r="K15" s="247"/>
    </row>
    <row r="16" spans="1:17" hidden="1">
      <c r="C16" s="247"/>
      <c r="D16" s="247"/>
      <c r="E16" s="247"/>
      <c r="F16" s="247"/>
      <c r="G16" s="247"/>
      <c r="H16" s="247"/>
      <c r="I16" s="247"/>
      <c r="J16" s="247"/>
      <c r="K16" s="247"/>
    </row>
    <row r="17" spans="1:11" ht="18" hidden="1">
      <c r="A17" s="28"/>
      <c r="C17" s="249" t="s">
        <v>466</v>
      </c>
      <c r="D17" s="249" t="s">
        <v>467</v>
      </c>
      <c r="E17" s="251" t="s">
        <v>468</v>
      </c>
      <c r="F17" s="247"/>
      <c r="G17" s="109"/>
      <c r="H17" s="247"/>
      <c r="I17" s="247"/>
      <c r="J17" s="247"/>
      <c r="K17" s="110"/>
    </row>
    <row r="18" spans="1:11" hidden="1">
      <c r="A18" s="28"/>
      <c r="C18" s="111" t="s">
        <v>469</v>
      </c>
      <c r="D18" s="241" t="s">
        <v>470</v>
      </c>
      <c r="E18" s="5" t="s">
        <v>471</v>
      </c>
      <c r="F18" s="247"/>
      <c r="G18" s="109"/>
      <c r="H18" s="247"/>
      <c r="I18" s="247"/>
      <c r="J18" s="247"/>
      <c r="K18" s="110"/>
    </row>
    <row r="19" spans="1:11" hidden="1">
      <c r="A19" s="28"/>
      <c r="C19" s="5" t="s">
        <v>472</v>
      </c>
      <c r="D19" s="242" t="s">
        <v>473</v>
      </c>
      <c r="E19" s="5" t="s">
        <v>474</v>
      </c>
      <c r="F19" s="247"/>
      <c r="G19" s="109"/>
      <c r="H19" s="247"/>
      <c r="I19" s="247"/>
      <c r="J19" s="247"/>
      <c r="K19" s="110"/>
    </row>
    <row r="20" spans="1:11" hidden="1">
      <c r="A20" s="28"/>
      <c r="C20" s="247"/>
      <c r="D20" s="247"/>
      <c r="E20" s="247"/>
      <c r="F20" s="247"/>
      <c r="G20" s="109"/>
      <c r="H20" s="247"/>
      <c r="I20" s="247"/>
      <c r="J20" s="247"/>
      <c r="K20" s="110"/>
    </row>
    <row r="21" spans="1:11" hidden="1">
      <c r="A21" s="28"/>
      <c r="C21" s="247"/>
      <c r="E21" s="247"/>
      <c r="F21" s="247"/>
      <c r="G21" s="109"/>
      <c r="H21" s="247"/>
      <c r="I21" s="247"/>
      <c r="J21" s="247"/>
      <c r="K21" s="110"/>
    </row>
    <row r="22" spans="1:11" hidden="1">
      <c r="A22" s="28"/>
      <c r="C22" s="249" t="s">
        <v>56</v>
      </c>
      <c r="E22" s="247"/>
      <c r="F22" s="247"/>
      <c r="G22" s="109"/>
      <c r="H22" s="247"/>
      <c r="I22" s="247"/>
      <c r="J22" s="247"/>
      <c r="K22" s="110"/>
    </row>
    <row r="23" spans="1:11" hidden="1">
      <c r="A23" s="28"/>
      <c r="C23" s="112">
        <v>50</v>
      </c>
      <c r="D23" s="4" t="s">
        <v>475</v>
      </c>
      <c r="E23" s="247"/>
      <c r="F23" s="247"/>
      <c r="G23" s="109"/>
      <c r="H23" s="247"/>
      <c r="I23" s="247"/>
      <c r="J23" s="247"/>
      <c r="K23" s="110"/>
    </row>
    <row r="24" spans="1:11" hidden="1">
      <c r="A24" s="28"/>
    </row>
    <row r="25" spans="1:11" hidden="1">
      <c r="A25" s="28"/>
    </row>
    <row r="26" spans="1:11" hidden="1">
      <c r="A26" s="28"/>
      <c r="C26" s="14" t="s">
        <v>123</v>
      </c>
    </row>
    <row r="27" spans="1:11" hidden="1">
      <c r="A27" s="28"/>
      <c r="C27" s="19" t="s">
        <v>164</v>
      </c>
    </row>
    <row r="28" spans="1:11" hidden="1">
      <c r="A28" s="28"/>
      <c r="C28" s="19" t="s">
        <v>169</v>
      </c>
    </row>
    <row r="29" spans="1:11" hidden="1">
      <c r="A29" s="28"/>
    </row>
    <row r="30" spans="1:11" hidden="1">
      <c r="A30" s="28"/>
      <c r="C30" s="48" t="s">
        <v>308</v>
      </c>
    </row>
    <row r="31" spans="1:11" hidden="1">
      <c r="A31" s="28"/>
      <c r="C31" s="5">
        <v>14</v>
      </c>
      <c r="D31" s="4" t="s">
        <v>458</v>
      </c>
    </row>
    <row r="32" spans="1:11" hidden="1">
      <c r="A32" s="28"/>
    </row>
    <row r="33" spans="1:17" hidden="1">
      <c r="A33" s="28"/>
      <c r="C33" s="48" t="s">
        <v>398</v>
      </c>
    </row>
    <row r="34" spans="1:17" hidden="1">
      <c r="A34" s="28"/>
      <c r="C34" s="22">
        <v>0</v>
      </c>
    </row>
    <row r="35" spans="1:17" ht="17.25" customHeight="1">
      <c r="A35" s="98"/>
      <c r="B35" s="98"/>
      <c r="C35" s="98"/>
      <c r="D35" s="98"/>
      <c r="E35" s="98"/>
      <c r="F35" s="98"/>
      <c r="G35" s="98"/>
      <c r="H35" s="98"/>
      <c r="I35" s="98"/>
      <c r="J35" s="98"/>
      <c r="K35" s="98"/>
      <c r="L35" s="98"/>
      <c r="M35" s="98"/>
      <c r="N35" s="98"/>
      <c r="O35" s="98"/>
      <c r="P35" s="98"/>
      <c r="Q35" s="98"/>
    </row>
    <row r="36" spans="1:17" ht="15" customHeight="1">
      <c r="A36" s="98"/>
      <c r="B36" s="98"/>
      <c r="C36" s="98"/>
      <c r="D36" s="98"/>
      <c r="E36" s="98"/>
      <c r="F36" s="98"/>
      <c r="G36" s="98"/>
      <c r="H36" s="98"/>
      <c r="I36" s="98"/>
      <c r="J36" s="98"/>
      <c r="K36" s="98"/>
      <c r="L36" s="98"/>
      <c r="M36" s="98"/>
      <c r="N36" s="98"/>
      <c r="O36" s="98"/>
      <c r="P36" s="98"/>
      <c r="Q36" s="98"/>
    </row>
    <row r="37" spans="1:17" s="97" customFormat="1"/>
    <row r="38" spans="1:17" s="97" customFormat="1"/>
    <row r="39" spans="1:17" s="97" customFormat="1"/>
    <row r="40" spans="1:17" s="97" customFormat="1"/>
    <row r="41" spans="1:17" s="97" customFormat="1"/>
    <row r="42" spans="1:17" s="97" customFormat="1"/>
    <row r="43" spans="1:17" s="97" customFormat="1"/>
    <row r="44" spans="1:17" s="97" customFormat="1"/>
    <row r="45" spans="1:17" s="97" customFormat="1"/>
    <row r="46" spans="1:17" s="97" customFormat="1"/>
    <row r="47" spans="1:17" s="97" customFormat="1"/>
    <row r="48" spans="1:17"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row r="1198" s="97" customFormat="1"/>
    <row r="1199" s="97" customFormat="1"/>
    <row r="1200" s="97" customFormat="1"/>
    <row r="1201" s="97" customFormat="1"/>
    <row r="1202" s="97" customFormat="1"/>
    <row r="1203" s="97" customFormat="1"/>
    <row r="1204" s="97" customFormat="1"/>
    <row r="1205" s="97" customFormat="1"/>
    <row r="1206" s="97" customFormat="1"/>
    <row r="1207" s="97" customFormat="1"/>
    <row r="1208" s="97" customFormat="1"/>
    <row r="1209" s="97" customFormat="1"/>
    <row r="1210" s="97" customFormat="1"/>
    <row r="1211" s="97" customFormat="1"/>
    <row r="1212" s="97" customFormat="1"/>
    <row r="1213" s="97" customFormat="1"/>
    <row r="1214" s="97" customFormat="1"/>
    <row r="1215" s="97" customFormat="1"/>
    <row r="1216" s="97" customFormat="1"/>
    <row r="1217" s="97" customFormat="1"/>
    <row r="1218" s="97" customFormat="1"/>
    <row r="1219" s="97" customFormat="1"/>
    <row r="1220" s="97" customFormat="1"/>
    <row r="1221" s="97" customFormat="1"/>
    <row r="1222" s="97" customFormat="1"/>
    <row r="1223" s="97" customFormat="1"/>
  </sheetData>
  <sheetProtection algorithmName="SHA-512" hashValue="8KSyyLSazD+QS2Vwjd5q/cQ+0ELkZODkc94a45JzfSpvima4wOjHiCDXDYq3OWb6uyHzDFjOivOsAf6+YzodLw==" saltValue="X3aVBSGH9n5hJ1uUwR++SA==" spinCount="100000" sheet="1" selectLockedCells="1"/>
  <mergeCells count="3">
    <mergeCell ref="B3:C3"/>
    <mergeCell ref="D3:H4"/>
    <mergeCell ref="B2:N2"/>
  </mergeCells>
  <dataValidations count="2">
    <dataValidation type="list" allowBlank="1" showInputMessage="1" showErrorMessage="1" sqref="G7:G14" xr:uid="{00000000-0002-0000-0900-000000000000}">
      <formula1>$C$18:$C$19</formula1>
    </dataValidation>
    <dataValidation type="list" allowBlank="1" showInputMessage="1" showErrorMessage="1" sqref="D7:D14" xr:uid="{00000000-0002-0000-0900-000001000000}">
      <formula1>$C$27:$C$28</formula1>
    </dataValidation>
  </dataValidations>
  <hyperlinks>
    <hyperlink ref="B3" location="'Calculator Index'!A1" display="Return to Index" xr:uid="{00000000-0004-0000-0900-000000000000}"/>
    <hyperlink ref="B3:C3" location="'Project Summary'!A1" display="Return to Project Summary" xr:uid="{00000000-0004-0000-0900-000001000000}"/>
  </hyperlinks>
  <pageMargins left="0.7" right="0.7" top="0.75" bottom="0.75" header="0.3" footer="0.3"/>
  <pageSetup orientation="portrait" horizontalDpi="0" verticalDpi="0"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EZ1347"/>
  <sheetViews>
    <sheetView zoomScale="90" zoomScaleNormal="90" workbookViewId="0">
      <selection activeCell="B3" sqref="B3:C3"/>
    </sheetView>
  </sheetViews>
  <sheetFormatPr defaultRowHeight="15"/>
  <cols>
    <col min="1" max="1" width="3.7109375" customWidth="1"/>
    <col min="2" max="2" width="6.5703125" customWidth="1"/>
    <col min="3" max="3" width="20.28515625" customWidth="1"/>
    <col min="4" max="5" width="18.42578125" customWidth="1"/>
    <col min="6" max="8" width="23" customWidth="1"/>
    <col min="9" max="10" width="12.140625" customWidth="1"/>
    <col min="11" max="12" width="12.140625" hidden="1" customWidth="1"/>
    <col min="13" max="13" width="10.85546875" hidden="1" customWidth="1"/>
    <col min="14" max="15" width="10.42578125" hidden="1" customWidth="1"/>
    <col min="16" max="16" width="18.42578125" hidden="1" customWidth="1"/>
    <col min="17" max="17" width="11.140625" hidden="1" customWidth="1"/>
    <col min="18" max="18" width="12.42578125" hidden="1" customWidth="1"/>
    <col min="19" max="20" width="11.28515625" hidden="1" customWidth="1"/>
    <col min="21" max="21" width="9.7109375" hidden="1" customWidth="1"/>
    <col min="22" max="22" width="11.85546875" hidden="1" customWidth="1"/>
    <col min="23" max="23" width="12.140625" hidden="1" customWidth="1"/>
    <col min="24" max="25" width="11.5703125" hidden="1" customWidth="1"/>
    <col min="26" max="27" width="15.28515625" hidden="1" customWidth="1"/>
    <col min="28" max="29" width="16.42578125" hidden="1" customWidth="1"/>
    <col min="30" max="31" width="17" customWidth="1"/>
    <col min="32" max="32" width="13.7109375" customWidth="1"/>
    <col min="33" max="34" width="26.140625" hidden="1" customWidth="1"/>
    <col min="35" max="35" width="32.140625" hidden="1" customWidth="1"/>
    <col min="36" max="36" width="8" customWidth="1"/>
    <col min="37" max="156" width="9.140625" style="97"/>
  </cols>
  <sheetData>
    <row r="1" spans="1:156" ht="19.5" customHeight="1">
      <c r="A1" s="41"/>
      <c r="B1" s="41"/>
      <c r="C1" s="41"/>
      <c r="D1" s="41"/>
      <c r="E1" s="41"/>
      <c r="F1" s="41"/>
      <c r="G1" s="41"/>
      <c r="H1" s="41"/>
      <c r="I1" s="41"/>
      <c r="J1" s="41"/>
      <c r="K1" s="28"/>
      <c r="L1" s="28"/>
      <c r="M1" s="28"/>
      <c r="N1" s="28"/>
      <c r="O1" s="28"/>
      <c r="P1" s="28"/>
      <c r="Q1" s="28"/>
      <c r="R1" s="28"/>
      <c r="S1" s="28"/>
      <c r="T1" s="28"/>
      <c r="U1" s="28"/>
      <c r="V1" s="28"/>
      <c r="W1" s="28"/>
      <c r="X1" s="28"/>
      <c r="Y1" s="28"/>
      <c r="Z1" s="28"/>
      <c r="AA1" s="28"/>
      <c r="AB1" s="28"/>
      <c r="AC1" s="28"/>
      <c r="AD1" s="41"/>
      <c r="AE1" s="41"/>
      <c r="AF1" s="41"/>
      <c r="AG1" s="28" t="s">
        <v>375</v>
      </c>
      <c r="AH1" s="28"/>
      <c r="AI1" s="28" t="s">
        <v>476</v>
      </c>
      <c r="AJ1" s="98"/>
    </row>
    <row r="2" spans="1:156" ht="27" customHeight="1">
      <c r="A2" s="41"/>
      <c r="B2" s="415" t="s">
        <v>477</v>
      </c>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28"/>
      <c r="AH2" s="28"/>
      <c r="AI2" s="28"/>
      <c r="AJ2" s="98"/>
    </row>
    <row r="3" spans="1:156" ht="23.25" customHeight="1">
      <c r="A3" s="41"/>
      <c r="B3" s="393" t="s">
        <v>119</v>
      </c>
      <c r="C3" s="394"/>
      <c r="D3" s="401" t="s">
        <v>478</v>
      </c>
      <c r="E3" s="401"/>
      <c r="F3" s="401"/>
      <c r="G3" s="401"/>
      <c r="H3" s="401"/>
      <c r="I3" s="401"/>
      <c r="J3" s="41"/>
      <c r="K3" s="28"/>
      <c r="L3" s="28"/>
      <c r="M3" s="28"/>
      <c r="N3" s="28"/>
      <c r="O3" s="28"/>
      <c r="P3" s="28"/>
      <c r="Q3" s="28"/>
      <c r="R3" s="28"/>
      <c r="S3" s="28"/>
      <c r="T3" s="28"/>
      <c r="U3" s="28"/>
      <c r="V3" s="28"/>
      <c r="W3" s="28"/>
      <c r="X3" s="28"/>
      <c r="Y3" s="28"/>
      <c r="Z3" s="28"/>
      <c r="AA3" s="28"/>
      <c r="AB3" s="28"/>
      <c r="AC3" s="28"/>
      <c r="AD3" s="41"/>
      <c r="AE3" s="41"/>
      <c r="AF3" s="41"/>
      <c r="AG3" s="28"/>
      <c r="AH3" s="28"/>
      <c r="AI3" s="28"/>
      <c r="AJ3" s="98"/>
    </row>
    <row r="4" spans="1:156" ht="23.25" customHeight="1">
      <c r="A4" s="41"/>
      <c r="B4" s="41"/>
      <c r="C4" s="41"/>
      <c r="D4" s="401"/>
      <c r="E4" s="401"/>
      <c r="F4" s="401"/>
      <c r="G4" s="401"/>
      <c r="H4" s="401"/>
      <c r="I4" s="401"/>
      <c r="J4" s="41"/>
      <c r="K4" s="28"/>
      <c r="L4" s="28"/>
      <c r="M4" s="28"/>
      <c r="N4" s="28"/>
      <c r="O4" s="28"/>
      <c r="P4" s="28"/>
      <c r="Q4" s="28"/>
      <c r="R4" s="28"/>
      <c r="S4" s="28"/>
      <c r="T4" s="28"/>
      <c r="U4" s="28"/>
      <c r="V4" s="28"/>
      <c r="W4" s="28"/>
      <c r="X4" s="28"/>
      <c r="Y4" s="28"/>
      <c r="Z4" s="28"/>
      <c r="AA4" s="28"/>
      <c r="AB4" s="28"/>
      <c r="AC4" s="28"/>
      <c r="AD4" s="41"/>
      <c r="AE4" s="41"/>
      <c r="AF4" s="41"/>
      <c r="AG4" s="28"/>
      <c r="AH4" s="28"/>
      <c r="AI4" s="28"/>
      <c r="AJ4" s="98"/>
    </row>
    <row r="5" spans="1:156" ht="12.75" customHeight="1">
      <c r="A5" s="41"/>
      <c r="B5" s="41"/>
      <c r="C5" s="41"/>
      <c r="D5" s="41"/>
      <c r="E5" s="41"/>
      <c r="F5" s="41"/>
      <c r="G5" s="41"/>
      <c r="H5" s="41"/>
      <c r="I5" s="41"/>
      <c r="J5" s="41"/>
      <c r="K5" s="28"/>
      <c r="L5" s="28"/>
      <c r="M5" s="28"/>
      <c r="N5" s="28"/>
      <c r="O5" s="28"/>
      <c r="P5" s="28"/>
      <c r="Q5" s="28"/>
      <c r="R5" s="28"/>
      <c r="S5" s="28"/>
      <c r="T5" s="28"/>
      <c r="U5" s="28"/>
      <c r="V5" s="28"/>
      <c r="W5" s="28"/>
      <c r="X5" s="28"/>
      <c r="Y5" s="28"/>
      <c r="Z5" s="28"/>
      <c r="AA5" s="28"/>
      <c r="AB5" s="28"/>
      <c r="AC5" s="28"/>
      <c r="AD5" s="41"/>
      <c r="AE5" s="41"/>
      <c r="AF5" s="41"/>
      <c r="AG5" s="28"/>
      <c r="AH5" s="28"/>
      <c r="AI5" s="28"/>
      <c r="AJ5" s="98"/>
    </row>
    <row r="6" spans="1:156" ht="36" customHeight="1">
      <c r="A6" s="41"/>
      <c r="B6" s="179" t="s">
        <v>234</v>
      </c>
      <c r="C6" s="179" t="s">
        <v>122</v>
      </c>
      <c r="D6" s="180" t="s">
        <v>123</v>
      </c>
      <c r="E6" s="180" t="s">
        <v>479</v>
      </c>
      <c r="F6" s="180" t="s">
        <v>126</v>
      </c>
      <c r="G6" s="180" t="s">
        <v>127</v>
      </c>
      <c r="H6" s="180" t="s">
        <v>235</v>
      </c>
      <c r="I6" s="180" t="s">
        <v>480</v>
      </c>
      <c r="J6" s="180" t="s">
        <v>53</v>
      </c>
      <c r="K6" s="180" t="s">
        <v>480</v>
      </c>
      <c r="L6" s="180" t="s">
        <v>481</v>
      </c>
      <c r="M6" s="180" t="s">
        <v>482</v>
      </c>
      <c r="N6" s="180" t="s">
        <v>483</v>
      </c>
      <c r="O6" s="180" t="s">
        <v>484</v>
      </c>
      <c r="P6" s="180" t="s">
        <v>485</v>
      </c>
      <c r="Q6" s="180" t="s">
        <v>486</v>
      </c>
      <c r="R6" s="180" t="s">
        <v>487</v>
      </c>
      <c r="S6" s="180" t="s">
        <v>488</v>
      </c>
      <c r="T6" s="180" t="s">
        <v>489</v>
      </c>
      <c r="U6" s="180" t="s">
        <v>490</v>
      </c>
      <c r="V6" s="180" t="s">
        <v>491</v>
      </c>
      <c r="W6" s="180" t="s">
        <v>492</v>
      </c>
      <c r="X6" s="180" t="s">
        <v>493</v>
      </c>
      <c r="Y6" s="180" t="s">
        <v>494</v>
      </c>
      <c r="Z6" s="180" t="s">
        <v>495</v>
      </c>
      <c r="AA6" s="180" t="s">
        <v>496</v>
      </c>
      <c r="AB6" s="180" t="s">
        <v>497</v>
      </c>
      <c r="AC6" s="180" t="s">
        <v>255</v>
      </c>
      <c r="AD6" s="180" t="s">
        <v>54</v>
      </c>
      <c r="AE6" s="180" t="s">
        <v>55</v>
      </c>
      <c r="AF6" s="180" t="s">
        <v>56</v>
      </c>
      <c r="AG6" s="181" t="s">
        <v>137</v>
      </c>
      <c r="AH6" s="279" t="s">
        <v>257</v>
      </c>
      <c r="AI6" s="279" t="s">
        <v>78</v>
      </c>
      <c r="AJ6" s="98"/>
    </row>
    <row r="7" spans="1:156" s="294" customFormat="1" ht="20.25" hidden="1" customHeight="1">
      <c r="A7" s="291"/>
      <c r="B7" s="274" t="s">
        <v>140</v>
      </c>
      <c r="C7" s="274"/>
      <c r="D7" s="273" t="s">
        <v>142</v>
      </c>
      <c r="E7" s="273" t="s">
        <v>143</v>
      </c>
      <c r="F7" s="273" t="s">
        <v>144</v>
      </c>
      <c r="G7" s="273" t="s">
        <v>145</v>
      </c>
      <c r="H7" s="273" t="s">
        <v>258</v>
      </c>
      <c r="I7" s="273" t="s">
        <v>498</v>
      </c>
      <c r="J7" s="273" t="s">
        <v>53</v>
      </c>
      <c r="K7" s="273"/>
      <c r="L7" s="273"/>
      <c r="M7" s="273"/>
      <c r="N7" s="273"/>
      <c r="O7" s="273"/>
      <c r="P7" s="273"/>
      <c r="Q7" s="273"/>
      <c r="R7" s="273"/>
      <c r="S7" s="273"/>
      <c r="T7" s="273"/>
      <c r="U7" s="273"/>
      <c r="V7" s="273"/>
      <c r="W7" s="273"/>
      <c r="X7" s="273"/>
      <c r="Y7" s="273"/>
      <c r="Z7" s="273"/>
      <c r="AA7" s="273"/>
      <c r="AB7" s="273"/>
      <c r="AC7" s="273" t="s">
        <v>148</v>
      </c>
      <c r="AD7" s="273" t="s">
        <v>149</v>
      </c>
      <c r="AE7" s="273" t="s">
        <v>150</v>
      </c>
      <c r="AF7" s="273" t="s">
        <v>151</v>
      </c>
      <c r="AG7" s="280" t="s">
        <v>152</v>
      </c>
      <c r="AH7" s="280" t="s">
        <v>154</v>
      </c>
      <c r="AI7" s="280" t="s">
        <v>153</v>
      </c>
      <c r="AJ7" s="292"/>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293"/>
      <c r="CD7" s="293"/>
      <c r="CE7" s="293"/>
      <c r="CF7" s="293"/>
      <c r="CG7" s="293"/>
      <c r="CH7" s="293"/>
      <c r="CI7" s="293"/>
      <c r="CJ7" s="293"/>
      <c r="CK7" s="293"/>
      <c r="CL7" s="293"/>
      <c r="CM7" s="293"/>
      <c r="CN7" s="293"/>
      <c r="CO7" s="293"/>
      <c r="CP7" s="293"/>
      <c r="CQ7" s="293"/>
      <c r="CR7" s="293"/>
      <c r="CS7" s="293"/>
      <c r="CT7" s="293"/>
      <c r="CU7" s="293"/>
      <c r="CV7" s="293"/>
      <c r="CW7" s="293"/>
      <c r="CX7" s="293"/>
      <c r="CY7" s="293"/>
      <c r="CZ7" s="293"/>
      <c r="DA7" s="293"/>
      <c r="DB7" s="293"/>
      <c r="DC7" s="293"/>
      <c r="DD7" s="293"/>
      <c r="DE7" s="293"/>
      <c r="DF7" s="293"/>
      <c r="DG7" s="293"/>
      <c r="DH7" s="293"/>
      <c r="DI7" s="293"/>
      <c r="DJ7" s="293"/>
      <c r="DK7" s="293"/>
      <c r="DL7" s="293"/>
      <c r="DM7" s="293"/>
      <c r="DN7" s="293"/>
      <c r="DO7" s="293"/>
      <c r="DP7" s="293"/>
      <c r="DQ7" s="293"/>
      <c r="DR7" s="293"/>
      <c r="DS7" s="293"/>
      <c r="DT7" s="293"/>
      <c r="DU7" s="293"/>
      <c r="DV7" s="293"/>
      <c r="DW7" s="293"/>
      <c r="DX7" s="293"/>
      <c r="DY7" s="293"/>
      <c r="DZ7" s="293"/>
      <c r="EA7" s="293"/>
      <c r="EB7" s="293"/>
      <c r="EC7" s="293"/>
      <c r="ED7" s="293"/>
      <c r="EE7" s="293"/>
      <c r="EF7" s="293"/>
      <c r="EG7" s="293"/>
      <c r="EH7" s="293"/>
      <c r="EI7" s="293"/>
      <c r="EJ7" s="293"/>
      <c r="EK7" s="293"/>
      <c r="EL7" s="293"/>
      <c r="EM7" s="293"/>
      <c r="EN7" s="293"/>
      <c r="EO7" s="293"/>
      <c r="EP7" s="293"/>
      <c r="EQ7" s="293"/>
      <c r="ER7" s="293"/>
      <c r="ES7" s="293"/>
      <c r="ET7" s="293"/>
      <c r="EU7" s="293"/>
      <c r="EV7" s="293"/>
      <c r="EW7" s="293"/>
      <c r="EX7" s="293"/>
      <c r="EY7" s="293"/>
      <c r="EZ7" s="293"/>
    </row>
    <row r="8" spans="1:156" ht="21" customHeight="1">
      <c r="A8" s="41"/>
      <c r="B8" s="248">
        <v>1</v>
      </c>
      <c r="C8" s="9" t="s">
        <v>65</v>
      </c>
      <c r="D8" s="44"/>
      <c r="E8" s="290"/>
      <c r="F8" s="44"/>
      <c r="G8" s="11"/>
      <c r="H8" s="11"/>
      <c r="I8" s="44"/>
      <c r="J8" s="11"/>
      <c r="K8" s="18" t="str">
        <f>IF(I8&lt;15, $D$20, $D$21)</f>
        <v>less than 15</v>
      </c>
      <c r="L8" s="18">
        <f>IF(K8=$U$20, $V$20, IF(K8=$U$21, $V$21, "NA"))</f>
        <v>200</v>
      </c>
      <c r="M8" s="107">
        <f t="shared" ref="M8:M15" si="0">IF(K8=$D$20, $E$20, $E$21)</f>
        <v>1.32</v>
      </c>
      <c r="N8" s="107">
        <f t="shared" ref="N8:N15" si="1">IF(K8=$D$20, $F$20, $F$21)</f>
        <v>5.26</v>
      </c>
      <c r="O8" s="113">
        <f t="shared" ref="O8:O15" si="2">IF(K8=$D$22, $E$22, $E$23)</f>
        <v>0.72</v>
      </c>
      <c r="P8" s="113">
        <f t="shared" ref="P8:P15" si="3">IF(K8=$D$22, $F$22, $F$23)</f>
        <v>0.49</v>
      </c>
      <c r="Q8" s="114">
        <f t="shared" ref="Q8:Q15" si="4">IF(K8=$D$24, $E$24, $E$25)</f>
        <v>79</v>
      </c>
      <c r="R8" s="114">
        <f t="shared" ref="R8:R15" si="5">IF(K8=$D$24, $F$24, $F$25)</f>
        <v>126</v>
      </c>
      <c r="S8" s="107">
        <f xml:space="preserve"> (0.08*I8)+0.4989</f>
        <v>0.49890000000000001</v>
      </c>
      <c r="T8" s="107">
        <f>(0.133*I8)+0.64</f>
        <v>0.64</v>
      </c>
      <c r="U8" s="107">
        <f t="shared" ref="U8:U15" si="6">IF(K8=$D$22, $G$22, $G$23)</f>
        <v>0.76</v>
      </c>
      <c r="V8" s="107">
        <f t="shared" ref="V8:V15" si="7">IF(K8=$D$22, $H$22, $H$23)</f>
        <v>0.55000000000000004</v>
      </c>
      <c r="W8" s="114">
        <f t="shared" ref="W8:W15" si="8">IF(K8=$D$24, $G$24, $G$25)</f>
        <v>119</v>
      </c>
      <c r="X8" s="114">
        <f t="shared" ref="X8:X15" si="9">IF(K8=$D$24, $H$24, $H$25)</f>
        <v>177</v>
      </c>
      <c r="Y8" s="115">
        <f>((L8*$O$20/O8)+M8*(($M$20)-L8/Q8)*$Q$20)*$N$20</f>
        <v>9702.5932489451479</v>
      </c>
      <c r="Z8" s="115">
        <f>((L8*$P$20/P8)+N8*($M$20-L8/R8)*(1-$Q$20))*$N$20</f>
        <v>14584.241269841268</v>
      </c>
      <c r="AA8" s="115">
        <f>((L8*$O$20/U8)+S8*($M$20-L8/W8)*$Q$20)*$N$20</f>
        <v>7970.6196819991155</v>
      </c>
      <c r="AB8" s="115">
        <f>((L8*$P$20/V8)+T8*($M$20-L8/X8)*(1-$Q$20))*$N$20</f>
        <v>5357.6225988700562</v>
      </c>
      <c r="AC8" s="115" t="str">
        <f t="shared" ref="AC8:AC15" si="10">IF(D8="", "",ROUND(((AE8/($M$20*$N$20))*J8),6))</f>
        <v/>
      </c>
      <c r="AD8" s="108" t="str">
        <f t="shared" ref="AD8:AD15" si="11">IF(D8="", "", ROUND(((AE8/($M$20*$N$20)*$R$20)*J8),6))</f>
        <v/>
      </c>
      <c r="AE8" s="108" t="str">
        <f t="shared" ref="AE8:AE15" si="12">IF(D8="", "",ROUND((SUM(Y8:Z8)-SUM(AA8:AB8)),6)*J8)</f>
        <v/>
      </c>
      <c r="AF8" s="42" t="str">
        <f>IF(OR(I8="", J8=""), "", J8*$M$24)</f>
        <v/>
      </c>
      <c r="AG8" s="59"/>
      <c r="AH8" s="59" t="str">
        <f>IF(AE8&gt;0,"Yes","No")</f>
        <v>Yes</v>
      </c>
      <c r="AI8" t="s">
        <v>499</v>
      </c>
      <c r="AJ8" s="98"/>
    </row>
    <row r="9" spans="1:156" ht="21" customHeight="1">
      <c r="A9" s="41"/>
      <c r="B9" s="248">
        <v>2</v>
      </c>
      <c r="C9" s="9" t="s">
        <v>65</v>
      </c>
      <c r="D9" s="44"/>
      <c r="E9" s="290"/>
      <c r="F9" s="44"/>
      <c r="G9" s="11"/>
      <c r="H9" s="11"/>
      <c r="I9" s="44"/>
      <c r="J9" s="11"/>
      <c r="K9" s="18" t="str">
        <f t="shared" ref="K9:K15" si="13">IF(I9&lt;15, $D$20, $D$21)</f>
        <v>less than 15</v>
      </c>
      <c r="L9" s="18">
        <f t="shared" ref="L9:L15" si="14">IF(K9=$U$20, $V$20, IF(K9=$U$21, $V$21, "NA"))</f>
        <v>200</v>
      </c>
      <c r="M9" s="107">
        <f t="shared" si="0"/>
        <v>1.32</v>
      </c>
      <c r="N9" s="107">
        <f t="shared" si="1"/>
        <v>5.26</v>
      </c>
      <c r="O9" s="113">
        <f t="shared" si="2"/>
        <v>0.72</v>
      </c>
      <c r="P9" s="113">
        <f t="shared" si="3"/>
        <v>0.49</v>
      </c>
      <c r="Q9" s="114">
        <f t="shared" si="4"/>
        <v>79</v>
      </c>
      <c r="R9" s="114">
        <f t="shared" si="5"/>
        <v>126</v>
      </c>
      <c r="S9" s="107">
        <f t="shared" ref="S9:S15" si="15" xml:space="preserve"> (0.08*I9)+0.4989</f>
        <v>0.49890000000000001</v>
      </c>
      <c r="T9" s="107">
        <f t="shared" ref="T9:T15" si="16">(0.133*I9)+0.64</f>
        <v>0.64</v>
      </c>
      <c r="U9" s="107">
        <f t="shared" si="6"/>
        <v>0.76</v>
      </c>
      <c r="V9" s="107">
        <f t="shared" si="7"/>
        <v>0.55000000000000004</v>
      </c>
      <c r="W9" s="114">
        <f t="shared" si="8"/>
        <v>119</v>
      </c>
      <c r="X9" s="114">
        <f t="shared" si="9"/>
        <v>177</v>
      </c>
      <c r="Y9" s="115">
        <f t="shared" ref="Y9:Y15" si="17">((L9*$O$20/O9)+M9*(($M$20)-L9/Q9)*$Q$20)*$N$20</f>
        <v>9702.5932489451479</v>
      </c>
      <c r="Z9" s="115">
        <f t="shared" ref="Z9:Z15" si="18">((L9*$P$20/P9)+N9*($M$20-L9/R9)*(1-$Q$20))*$N$20</f>
        <v>14584.241269841268</v>
      </c>
      <c r="AA9" s="115">
        <f t="shared" ref="AA9:AA15" si="19">((L9*$O$20/U9)+S9*($M$20-L9/W9)*$Q$20)*$N$20</f>
        <v>7970.6196819991155</v>
      </c>
      <c r="AB9" s="115">
        <f t="shared" ref="AB9:AB15" si="20">((L9*$P$20/V9)+T9*($M$20-L9/X9)*(1-$Q$20))*$N$20</f>
        <v>5357.6225988700562</v>
      </c>
      <c r="AC9" s="115" t="str">
        <f t="shared" si="10"/>
        <v/>
      </c>
      <c r="AD9" s="108" t="str">
        <f t="shared" si="11"/>
        <v/>
      </c>
      <c r="AE9" s="108" t="str">
        <f t="shared" si="12"/>
        <v/>
      </c>
      <c r="AF9" s="42" t="str">
        <f t="shared" ref="AF9:AF15" si="21">IF(OR(I9="", J9=""), "", J9*$M$24)</f>
        <v/>
      </c>
      <c r="AG9" s="59"/>
      <c r="AH9" s="59" t="str">
        <f t="shared" ref="AH9:AH15" si="22">IF(AE9&gt;0,"Yes","No")</f>
        <v>Yes</v>
      </c>
      <c r="AI9" t="s">
        <v>499</v>
      </c>
      <c r="AJ9" s="98"/>
    </row>
    <row r="10" spans="1:156" ht="21" customHeight="1">
      <c r="A10" s="41"/>
      <c r="B10" s="248">
        <v>3</v>
      </c>
      <c r="C10" s="9" t="s">
        <v>65</v>
      </c>
      <c r="D10" s="44"/>
      <c r="E10" s="290"/>
      <c r="F10" s="44"/>
      <c r="G10" s="11"/>
      <c r="H10" s="11"/>
      <c r="I10" s="44"/>
      <c r="J10" s="11"/>
      <c r="K10" s="18" t="str">
        <f t="shared" si="13"/>
        <v>less than 15</v>
      </c>
      <c r="L10" s="18">
        <f t="shared" si="14"/>
        <v>200</v>
      </c>
      <c r="M10" s="107">
        <f t="shared" si="0"/>
        <v>1.32</v>
      </c>
      <c r="N10" s="107">
        <f t="shared" si="1"/>
        <v>5.26</v>
      </c>
      <c r="O10" s="113">
        <f t="shared" si="2"/>
        <v>0.72</v>
      </c>
      <c r="P10" s="113">
        <f t="shared" si="3"/>
        <v>0.49</v>
      </c>
      <c r="Q10" s="114">
        <f t="shared" si="4"/>
        <v>79</v>
      </c>
      <c r="R10" s="114">
        <f t="shared" si="5"/>
        <v>126</v>
      </c>
      <c r="S10" s="107">
        <f t="shared" si="15"/>
        <v>0.49890000000000001</v>
      </c>
      <c r="T10" s="107">
        <f t="shared" si="16"/>
        <v>0.64</v>
      </c>
      <c r="U10" s="107">
        <f t="shared" si="6"/>
        <v>0.76</v>
      </c>
      <c r="V10" s="107">
        <f t="shared" si="7"/>
        <v>0.55000000000000004</v>
      </c>
      <c r="W10" s="114">
        <f t="shared" si="8"/>
        <v>119</v>
      </c>
      <c r="X10" s="114">
        <f t="shared" si="9"/>
        <v>177</v>
      </c>
      <c r="Y10" s="115">
        <f t="shared" si="17"/>
        <v>9702.5932489451479</v>
      </c>
      <c r="Z10" s="115">
        <f t="shared" si="18"/>
        <v>14584.241269841268</v>
      </c>
      <c r="AA10" s="115">
        <f t="shared" si="19"/>
        <v>7970.6196819991155</v>
      </c>
      <c r="AB10" s="115">
        <f t="shared" si="20"/>
        <v>5357.6225988700562</v>
      </c>
      <c r="AC10" s="115" t="str">
        <f t="shared" si="10"/>
        <v/>
      </c>
      <c r="AD10" s="108" t="str">
        <f t="shared" si="11"/>
        <v/>
      </c>
      <c r="AE10" s="108" t="str">
        <f t="shared" si="12"/>
        <v/>
      </c>
      <c r="AF10" s="42" t="str">
        <f t="shared" si="21"/>
        <v/>
      </c>
      <c r="AG10" s="59"/>
      <c r="AH10" s="59" t="str">
        <f t="shared" si="22"/>
        <v>Yes</v>
      </c>
      <c r="AI10" t="s">
        <v>499</v>
      </c>
      <c r="AJ10" s="98"/>
    </row>
    <row r="11" spans="1:156" ht="21" customHeight="1">
      <c r="A11" s="41"/>
      <c r="B11" s="248">
        <v>4</v>
      </c>
      <c r="C11" s="9" t="s">
        <v>65</v>
      </c>
      <c r="D11" s="44"/>
      <c r="E11" s="290"/>
      <c r="F11" s="44"/>
      <c r="G11" s="11"/>
      <c r="H11" s="11"/>
      <c r="I11" s="44"/>
      <c r="J11" s="11"/>
      <c r="K11" s="18" t="str">
        <f t="shared" si="13"/>
        <v>less than 15</v>
      </c>
      <c r="L11" s="18">
        <f t="shared" si="14"/>
        <v>200</v>
      </c>
      <c r="M11" s="107">
        <f t="shared" si="0"/>
        <v>1.32</v>
      </c>
      <c r="N11" s="107">
        <f t="shared" si="1"/>
        <v>5.26</v>
      </c>
      <c r="O11" s="113">
        <f t="shared" si="2"/>
        <v>0.72</v>
      </c>
      <c r="P11" s="113">
        <f t="shared" si="3"/>
        <v>0.49</v>
      </c>
      <c r="Q11" s="114">
        <f t="shared" si="4"/>
        <v>79</v>
      </c>
      <c r="R11" s="114">
        <f t="shared" si="5"/>
        <v>126</v>
      </c>
      <c r="S11" s="107">
        <f t="shared" si="15"/>
        <v>0.49890000000000001</v>
      </c>
      <c r="T11" s="107">
        <f t="shared" si="16"/>
        <v>0.64</v>
      </c>
      <c r="U11" s="107">
        <f t="shared" si="6"/>
        <v>0.76</v>
      </c>
      <c r="V11" s="107">
        <f t="shared" si="7"/>
        <v>0.55000000000000004</v>
      </c>
      <c r="W11" s="114">
        <f t="shared" si="8"/>
        <v>119</v>
      </c>
      <c r="X11" s="114">
        <f t="shared" si="9"/>
        <v>177</v>
      </c>
      <c r="Y11" s="115">
        <f t="shared" si="17"/>
        <v>9702.5932489451479</v>
      </c>
      <c r="Z11" s="115">
        <f t="shared" si="18"/>
        <v>14584.241269841268</v>
      </c>
      <c r="AA11" s="115">
        <f t="shared" si="19"/>
        <v>7970.6196819991155</v>
      </c>
      <c r="AB11" s="115">
        <f t="shared" si="20"/>
        <v>5357.6225988700562</v>
      </c>
      <c r="AC11" s="115" t="str">
        <f t="shared" si="10"/>
        <v/>
      </c>
      <c r="AD11" s="108" t="str">
        <f t="shared" si="11"/>
        <v/>
      </c>
      <c r="AE11" s="108" t="str">
        <f t="shared" si="12"/>
        <v/>
      </c>
      <c r="AF11" s="42" t="str">
        <f t="shared" si="21"/>
        <v/>
      </c>
      <c r="AG11" s="59"/>
      <c r="AH11" s="59" t="str">
        <f t="shared" si="22"/>
        <v>Yes</v>
      </c>
      <c r="AI11" t="s">
        <v>499</v>
      </c>
      <c r="AJ11" s="98"/>
    </row>
    <row r="12" spans="1:156" ht="21" customHeight="1">
      <c r="A12" s="41"/>
      <c r="B12" s="248">
        <v>5</v>
      </c>
      <c r="C12" s="9" t="s">
        <v>65</v>
      </c>
      <c r="D12" s="44"/>
      <c r="E12" s="290"/>
      <c r="F12" s="44"/>
      <c r="G12" s="11"/>
      <c r="H12" s="11"/>
      <c r="I12" s="44"/>
      <c r="J12" s="11"/>
      <c r="K12" s="18" t="str">
        <f t="shared" si="13"/>
        <v>less than 15</v>
      </c>
      <c r="L12" s="18">
        <f t="shared" si="14"/>
        <v>200</v>
      </c>
      <c r="M12" s="107">
        <f t="shared" si="0"/>
        <v>1.32</v>
      </c>
      <c r="N12" s="107">
        <f t="shared" si="1"/>
        <v>5.26</v>
      </c>
      <c r="O12" s="113">
        <f t="shared" si="2"/>
        <v>0.72</v>
      </c>
      <c r="P12" s="113">
        <f t="shared" si="3"/>
        <v>0.49</v>
      </c>
      <c r="Q12" s="114">
        <f t="shared" si="4"/>
        <v>79</v>
      </c>
      <c r="R12" s="114">
        <f t="shared" si="5"/>
        <v>126</v>
      </c>
      <c r="S12" s="107">
        <f t="shared" si="15"/>
        <v>0.49890000000000001</v>
      </c>
      <c r="T12" s="107">
        <f t="shared" si="16"/>
        <v>0.64</v>
      </c>
      <c r="U12" s="107">
        <f t="shared" si="6"/>
        <v>0.76</v>
      </c>
      <c r="V12" s="107">
        <f t="shared" si="7"/>
        <v>0.55000000000000004</v>
      </c>
      <c r="W12" s="114">
        <f t="shared" si="8"/>
        <v>119</v>
      </c>
      <c r="X12" s="114">
        <f t="shared" si="9"/>
        <v>177</v>
      </c>
      <c r="Y12" s="115">
        <f t="shared" si="17"/>
        <v>9702.5932489451479</v>
      </c>
      <c r="Z12" s="115">
        <f t="shared" si="18"/>
        <v>14584.241269841268</v>
      </c>
      <c r="AA12" s="115">
        <f t="shared" si="19"/>
        <v>7970.6196819991155</v>
      </c>
      <c r="AB12" s="115">
        <f t="shared" si="20"/>
        <v>5357.6225988700562</v>
      </c>
      <c r="AC12" s="115" t="str">
        <f t="shared" si="10"/>
        <v/>
      </c>
      <c r="AD12" s="108" t="str">
        <f t="shared" si="11"/>
        <v/>
      </c>
      <c r="AE12" s="108" t="str">
        <f t="shared" si="12"/>
        <v/>
      </c>
      <c r="AF12" s="42" t="str">
        <f t="shared" si="21"/>
        <v/>
      </c>
      <c r="AG12" s="59"/>
      <c r="AH12" s="59" t="str">
        <f t="shared" si="22"/>
        <v>Yes</v>
      </c>
      <c r="AI12" t="s">
        <v>499</v>
      </c>
      <c r="AJ12" s="98"/>
    </row>
    <row r="13" spans="1:156" ht="21" customHeight="1">
      <c r="A13" s="41"/>
      <c r="B13" s="248">
        <v>6</v>
      </c>
      <c r="C13" s="9" t="s">
        <v>65</v>
      </c>
      <c r="D13" s="44"/>
      <c r="E13" s="290"/>
      <c r="F13" s="44"/>
      <c r="G13" s="11"/>
      <c r="H13" s="11"/>
      <c r="I13" s="44"/>
      <c r="J13" s="11"/>
      <c r="K13" s="18" t="str">
        <f t="shared" si="13"/>
        <v>less than 15</v>
      </c>
      <c r="L13" s="18">
        <f t="shared" si="14"/>
        <v>200</v>
      </c>
      <c r="M13" s="107">
        <f t="shared" si="0"/>
        <v>1.32</v>
      </c>
      <c r="N13" s="107">
        <f t="shared" si="1"/>
        <v>5.26</v>
      </c>
      <c r="O13" s="113">
        <f t="shared" si="2"/>
        <v>0.72</v>
      </c>
      <c r="P13" s="113">
        <f t="shared" si="3"/>
        <v>0.49</v>
      </c>
      <c r="Q13" s="114">
        <f t="shared" si="4"/>
        <v>79</v>
      </c>
      <c r="R13" s="114">
        <f t="shared" si="5"/>
        <v>126</v>
      </c>
      <c r="S13" s="107">
        <f t="shared" si="15"/>
        <v>0.49890000000000001</v>
      </c>
      <c r="T13" s="107">
        <f t="shared" si="16"/>
        <v>0.64</v>
      </c>
      <c r="U13" s="107">
        <f t="shared" si="6"/>
        <v>0.76</v>
      </c>
      <c r="V13" s="107">
        <f t="shared" si="7"/>
        <v>0.55000000000000004</v>
      </c>
      <c r="W13" s="114">
        <f t="shared" si="8"/>
        <v>119</v>
      </c>
      <c r="X13" s="114">
        <f t="shared" si="9"/>
        <v>177</v>
      </c>
      <c r="Y13" s="115">
        <f t="shared" si="17"/>
        <v>9702.5932489451479</v>
      </c>
      <c r="Z13" s="115">
        <f t="shared" si="18"/>
        <v>14584.241269841268</v>
      </c>
      <c r="AA13" s="115">
        <f t="shared" si="19"/>
        <v>7970.6196819991155</v>
      </c>
      <c r="AB13" s="115">
        <f t="shared" si="20"/>
        <v>5357.6225988700562</v>
      </c>
      <c r="AC13" s="115" t="str">
        <f t="shared" si="10"/>
        <v/>
      </c>
      <c r="AD13" s="108" t="str">
        <f t="shared" si="11"/>
        <v/>
      </c>
      <c r="AE13" s="108" t="str">
        <f t="shared" si="12"/>
        <v/>
      </c>
      <c r="AF13" s="42" t="str">
        <f t="shared" si="21"/>
        <v/>
      </c>
      <c r="AG13" s="59"/>
      <c r="AH13" s="59" t="str">
        <f t="shared" si="22"/>
        <v>Yes</v>
      </c>
      <c r="AI13" t="s">
        <v>499</v>
      </c>
      <c r="AJ13" s="98"/>
    </row>
    <row r="14" spans="1:156" ht="21" customHeight="1">
      <c r="A14" s="41"/>
      <c r="B14" s="248">
        <v>7</v>
      </c>
      <c r="C14" s="9" t="s">
        <v>65</v>
      </c>
      <c r="D14" s="44"/>
      <c r="E14" s="290"/>
      <c r="F14" s="44"/>
      <c r="G14" s="11"/>
      <c r="H14" s="11"/>
      <c r="I14" s="44"/>
      <c r="J14" s="11"/>
      <c r="K14" s="18" t="str">
        <f t="shared" si="13"/>
        <v>less than 15</v>
      </c>
      <c r="L14" s="18">
        <f t="shared" si="14"/>
        <v>200</v>
      </c>
      <c r="M14" s="107">
        <f t="shared" si="0"/>
        <v>1.32</v>
      </c>
      <c r="N14" s="107">
        <f t="shared" si="1"/>
        <v>5.26</v>
      </c>
      <c r="O14" s="113">
        <f t="shared" si="2"/>
        <v>0.72</v>
      </c>
      <c r="P14" s="113">
        <f t="shared" si="3"/>
        <v>0.49</v>
      </c>
      <c r="Q14" s="114">
        <f t="shared" si="4"/>
        <v>79</v>
      </c>
      <c r="R14" s="114">
        <f t="shared" si="5"/>
        <v>126</v>
      </c>
      <c r="S14" s="107">
        <f t="shared" si="15"/>
        <v>0.49890000000000001</v>
      </c>
      <c r="T14" s="107">
        <f t="shared" si="16"/>
        <v>0.64</v>
      </c>
      <c r="U14" s="107">
        <f t="shared" si="6"/>
        <v>0.76</v>
      </c>
      <c r="V14" s="107">
        <f t="shared" si="7"/>
        <v>0.55000000000000004</v>
      </c>
      <c r="W14" s="114">
        <f t="shared" si="8"/>
        <v>119</v>
      </c>
      <c r="X14" s="114">
        <f t="shared" si="9"/>
        <v>177</v>
      </c>
      <c r="Y14" s="115">
        <f t="shared" si="17"/>
        <v>9702.5932489451479</v>
      </c>
      <c r="Z14" s="115">
        <f t="shared" si="18"/>
        <v>14584.241269841268</v>
      </c>
      <c r="AA14" s="115">
        <f t="shared" si="19"/>
        <v>7970.6196819991155</v>
      </c>
      <c r="AB14" s="115">
        <f t="shared" si="20"/>
        <v>5357.6225988700562</v>
      </c>
      <c r="AC14" s="115" t="str">
        <f t="shared" si="10"/>
        <v/>
      </c>
      <c r="AD14" s="108" t="str">
        <f t="shared" si="11"/>
        <v/>
      </c>
      <c r="AE14" s="108" t="str">
        <f t="shared" si="12"/>
        <v/>
      </c>
      <c r="AF14" s="42" t="str">
        <f t="shared" si="21"/>
        <v/>
      </c>
      <c r="AG14" s="59"/>
      <c r="AH14" s="59" t="str">
        <f t="shared" si="22"/>
        <v>Yes</v>
      </c>
      <c r="AI14" t="s">
        <v>499</v>
      </c>
      <c r="AJ14" s="98"/>
    </row>
    <row r="15" spans="1:156" ht="21" customHeight="1">
      <c r="A15" s="41"/>
      <c r="B15" s="248">
        <v>8</v>
      </c>
      <c r="C15" s="9" t="s">
        <v>65</v>
      </c>
      <c r="D15" s="44"/>
      <c r="E15" s="290"/>
      <c r="F15" s="44"/>
      <c r="G15" s="11"/>
      <c r="H15" s="11"/>
      <c r="I15" s="44"/>
      <c r="J15" s="11"/>
      <c r="K15" s="18" t="str">
        <f t="shared" si="13"/>
        <v>less than 15</v>
      </c>
      <c r="L15" s="18">
        <f t="shared" si="14"/>
        <v>200</v>
      </c>
      <c r="M15" s="107">
        <f t="shared" si="0"/>
        <v>1.32</v>
      </c>
      <c r="N15" s="107">
        <f t="shared" si="1"/>
        <v>5.26</v>
      </c>
      <c r="O15" s="113">
        <f t="shared" si="2"/>
        <v>0.72</v>
      </c>
      <c r="P15" s="113">
        <f t="shared" si="3"/>
        <v>0.49</v>
      </c>
      <c r="Q15" s="114">
        <f t="shared" si="4"/>
        <v>79</v>
      </c>
      <c r="R15" s="114">
        <f t="shared" si="5"/>
        <v>126</v>
      </c>
      <c r="S15" s="107">
        <f t="shared" si="15"/>
        <v>0.49890000000000001</v>
      </c>
      <c r="T15" s="107">
        <f t="shared" si="16"/>
        <v>0.64</v>
      </c>
      <c r="U15" s="107">
        <f t="shared" si="6"/>
        <v>0.76</v>
      </c>
      <c r="V15" s="107">
        <f t="shared" si="7"/>
        <v>0.55000000000000004</v>
      </c>
      <c r="W15" s="114">
        <f t="shared" si="8"/>
        <v>119</v>
      </c>
      <c r="X15" s="114">
        <f t="shared" si="9"/>
        <v>177</v>
      </c>
      <c r="Y15" s="115">
        <f t="shared" si="17"/>
        <v>9702.5932489451479</v>
      </c>
      <c r="Z15" s="115">
        <f t="shared" si="18"/>
        <v>14584.241269841268</v>
      </c>
      <c r="AA15" s="115">
        <f t="shared" si="19"/>
        <v>7970.6196819991155</v>
      </c>
      <c r="AB15" s="115">
        <f t="shared" si="20"/>
        <v>5357.6225988700562</v>
      </c>
      <c r="AC15" s="115" t="str">
        <f t="shared" si="10"/>
        <v/>
      </c>
      <c r="AD15" s="108" t="str">
        <f t="shared" si="11"/>
        <v/>
      </c>
      <c r="AE15" s="108" t="str">
        <f t="shared" si="12"/>
        <v/>
      </c>
      <c r="AF15" s="42" t="str">
        <f t="shared" si="21"/>
        <v/>
      </c>
      <c r="AG15" s="59"/>
      <c r="AH15" s="59" t="str">
        <f t="shared" si="22"/>
        <v>Yes</v>
      </c>
      <c r="AI15" t="s">
        <v>499</v>
      </c>
      <c r="AJ15" s="98"/>
    </row>
    <row r="16" spans="1:156" hidden="1">
      <c r="A16" s="28"/>
      <c r="AJ16" s="98"/>
    </row>
    <row r="17" spans="1:36" hidden="1">
      <c r="A17" s="28"/>
      <c r="AJ17" s="98"/>
    </row>
    <row r="18" spans="1:36" hidden="1">
      <c r="A18" s="28"/>
      <c r="C18" s="421" t="s">
        <v>500</v>
      </c>
      <c r="D18" s="431" t="s">
        <v>480</v>
      </c>
      <c r="E18" s="264" t="s">
        <v>501</v>
      </c>
      <c r="F18" s="265"/>
      <c r="G18" s="261" t="s">
        <v>502</v>
      </c>
      <c r="H18" s="258"/>
      <c r="I18" s="259"/>
      <c r="AJ18" s="98"/>
    </row>
    <row r="19" spans="1:36" ht="33" hidden="1" customHeight="1">
      <c r="A19" s="28"/>
      <c r="C19" s="421"/>
      <c r="D19" s="431"/>
      <c r="E19" s="250" t="s">
        <v>503</v>
      </c>
      <c r="F19" s="250" t="s">
        <v>504</v>
      </c>
      <c r="G19" s="250" t="s">
        <v>503</v>
      </c>
      <c r="H19" s="250" t="s">
        <v>504</v>
      </c>
      <c r="M19" s="250" t="s">
        <v>505</v>
      </c>
      <c r="N19" s="250" t="s">
        <v>506</v>
      </c>
      <c r="O19" s="250" t="s">
        <v>507</v>
      </c>
      <c r="P19" s="250" t="s">
        <v>508</v>
      </c>
      <c r="Q19" s="250" t="s">
        <v>509</v>
      </c>
      <c r="R19" s="250" t="s">
        <v>133</v>
      </c>
      <c r="S19" s="257"/>
      <c r="U19" s="428" t="s">
        <v>481</v>
      </c>
      <c r="V19" s="428"/>
      <c r="AJ19" s="98"/>
    </row>
    <row r="20" spans="1:36" ht="18" hidden="1" customHeight="1">
      <c r="A20" s="28"/>
      <c r="C20" s="422" t="s">
        <v>510</v>
      </c>
      <c r="D20" s="6" t="s">
        <v>511</v>
      </c>
      <c r="E20" s="116">
        <v>1.32</v>
      </c>
      <c r="F20" s="116">
        <v>5.26</v>
      </c>
      <c r="G20" s="262" t="s">
        <v>512</v>
      </c>
      <c r="H20" s="262" t="s">
        <v>513</v>
      </c>
      <c r="M20" s="6">
        <v>12</v>
      </c>
      <c r="N20" s="6">
        <v>365</v>
      </c>
      <c r="O20" s="6">
        <v>7.3200000000000001E-2</v>
      </c>
      <c r="P20" s="6">
        <v>3.0800000000000001E-2</v>
      </c>
      <c r="Q20" s="117">
        <v>0.5</v>
      </c>
      <c r="R20" s="253">
        <v>0.9</v>
      </c>
      <c r="S20" s="256"/>
      <c r="U20" s="254" t="s">
        <v>511</v>
      </c>
      <c r="V20" s="255">
        <v>200</v>
      </c>
      <c r="AJ20" s="98"/>
    </row>
    <row r="21" spans="1:36" hidden="1">
      <c r="A21" s="28"/>
      <c r="C21" s="423"/>
      <c r="D21" s="6" t="s">
        <v>514</v>
      </c>
      <c r="E21" s="116">
        <v>2.2799999999999998</v>
      </c>
      <c r="F21" s="116">
        <v>8.7100000000000009</v>
      </c>
      <c r="G21" s="263"/>
      <c r="H21" s="263"/>
      <c r="U21" s="254" t="s">
        <v>514</v>
      </c>
      <c r="V21" s="255">
        <v>250</v>
      </c>
      <c r="AJ21" s="98"/>
    </row>
    <row r="22" spans="1:36" hidden="1">
      <c r="A22" s="28"/>
      <c r="C22" s="422" t="s">
        <v>515</v>
      </c>
      <c r="D22" s="6" t="s">
        <v>511</v>
      </c>
      <c r="E22" s="118">
        <v>0.72</v>
      </c>
      <c r="F22" s="118">
        <v>0.49</v>
      </c>
      <c r="G22" s="118">
        <v>0.76</v>
      </c>
      <c r="H22" s="118">
        <v>0.55000000000000004</v>
      </c>
      <c r="AJ22" s="98"/>
    </row>
    <row r="23" spans="1:36" hidden="1">
      <c r="A23" s="28"/>
      <c r="C23" s="423"/>
      <c r="D23" s="6" t="s">
        <v>514</v>
      </c>
      <c r="E23" s="118">
        <v>0.72</v>
      </c>
      <c r="F23" s="118">
        <v>0.49</v>
      </c>
      <c r="G23" s="118">
        <v>0.76</v>
      </c>
      <c r="H23" s="118">
        <v>0.55000000000000004</v>
      </c>
      <c r="M23" s="426" t="s">
        <v>56</v>
      </c>
      <c r="N23" s="427"/>
      <c r="P23" s="14" t="s">
        <v>123</v>
      </c>
      <c r="R23" s="424" t="s">
        <v>308</v>
      </c>
      <c r="S23" s="425"/>
      <c r="AJ23" s="98"/>
    </row>
    <row r="24" spans="1:36" hidden="1">
      <c r="A24" s="28"/>
      <c r="C24" s="429" t="s">
        <v>516</v>
      </c>
      <c r="D24" s="6" t="s">
        <v>511</v>
      </c>
      <c r="E24" s="119">
        <v>79</v>
      </c>
      <c r="F24" s="119">
        <v>126</v>
      </c>
      <c r="G24" s="119">
        <v>119</v>
      </c>
      <c r="H24" s="119">
        <v>177</v>
      </c>
      <c r="M24" s="240">
        <v>750</v>
      </c>
      <c r="N24" s="6" t="s">
        <v>517</v>
      </c>
      <c r="P24" s="19" t="s">
        <v>164</v>
      </c>
      <c r="R24" s="8">
        <v>12</v>
      </c>
      <c r="S24" s="4" t="s">
        <v>458</v>
      </c>
      <c r="AJ24" s="98"/>
    </row>
    <row r="25" spans="1:36" hidden="1">
      <c r="A25" s="28"/>
      <c r="C25" s="430"/>
      <c r="D25" s="6" t="s">
        <v>514</v>
      </c>
      <c r="E25" s="119">
        <v>166</v>
      </c>
      <c r="F25" s="119">
        <v>295</v>
      </c>
      <c r="G25" s="119">
        <v>201</v>
      </c>
      <c r="H25" s="119">
        <v>349</v>
      </c>
      <c r="P25" s="19" t="s">
        <v>170</v>
      </c>
      <c r="AJ25" s="98"/>
    </row>
    <row r="26" spans="1:36" ht="18" customHeight="1">
      <c r="A26" s="98"/>
      <c r="B26" s="98"/>
      <c r="C26" s="98"/>
      <c r="D26" s="98"/>
      <c r="E26" s="98"/>
      <c r="F26" s="98"/>
      <c r="G26" s="9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row>
    <row r="27" spans="1:36" ht="18" customHeight="1">
      <c r="A27" s="98"/>
      <c r="B27" s="98"/>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row>
    <row r="28" spans="1:36" s="97" customFormat="1"/>
    <row r="29" spans="1:36" s="97" customFormat="1"/>
    <row r="30" spans="1:36" s="97" customFormat="1"/>
    <row r="31" spans="1:36" s="97" customFormat="1"/>
    <row r="32" spans="1:36" s="97" customFormat="1"/>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row r="1198" s="97" customFormat="1"/>
    <row r="1199" s="97" customFormat="1"/>
    <row r="1200" s="97" customFormat="1"/>
    <row r="1201" s="97" customFormat="1"/>
    <row r="1202" s="97" customFormat="1"/>
    <row r="1203" s="97" customFormat="1"/>
    <row r="1204" s="97" customFormat="1"/>
    <row r="1205" s="97" customFormat="1"/>
    <row r="1206" s="97" customFormat="1"/>
    <row r="1207" s="97" customFormat="1"/>
    <row r="1208" s="97" customFormat="1"/>
    <row r="1209" s="97" customFormat="1"/>
    <row r="1210" s="97" customFormat="1"/>
    <row r="1211" s="97" customFormat="1"/>
    <row r="1212" s="97" customFormat="1"/>
    <row r="1213" s="97" customFormat="1"/>
    <row r="1214" s="97" customFormat="1"/>
    <row r="1215" s="97" customFormat="1"/>
    <row r="1216" s="97" customFormat="1"/>
    <row r="1217" s="97" customFormat="1"/>
    <row r="1218" s="97" customFormat="1"/>
    <row r="1219" s="97" customFormat="1"/>
    <row r="1220" s="97" customFormat="1"/>
    <row r="1221" s="97" customFormat="1"/>
    <row r="1222" s="97" customFormat="1"/>
    <row r="1223" s="97" customFormat="1"/>
    <row r="1224" s="97" customFormat="1"/>
    <row r="1225" s="97" customFormat="1"/>
    <row r="1226" s="97" customFormat="1"/>
    <row r="1227" s="97" customFormat="1"/>
    <row r="1228" s="97" customFormat="1"/>
    <row r="1229" s="97" customFormat="1"/>
    <row r="1230" s="97" customFormat="1"/>
    <row r="1231" s="97" customFormat="1"/>
    <row r="1232" s="97" customFormat="1"/>
    <row r="1233" s="97" customFormat="1"/>
    <row r="1234" s="97" customFormat="1"/>
    <row r="1235" s="97" customFormat="1"/>
    <row r="1236" s="97" customFormat="1"/>
    <row r="1237" s="97" customFormat="1"/>
    <row r="1238" s="97" customFormat="1"/>
    <row r="1239" s="97" customFormat="1"/>
    <row r="1240" s="97" customFormat="1"/>
    <row r="1241" s="97" customFormat="1"/>
    <row r="1242" s="97" customFormat="1"/>
    <row r="1243" s="97" customFormat="1"/>
    <row r="1244" s="97" customFormat="1"/>
    <row r="1245" s="97" customFormat="1"/>
    <row r="1246" s="97" customFormat="1"/>
    <row r="1247" s="97" customFormat="1"/>
    <row r="1248" s="97" customFormat="1"/>
    <row r="1249" s="97" customFormat="1"/>
    <row r="1250" s="97" customFormat="1"/>
    <row r="1251" s="97" customFormat="1"/>
    <row r="1252" s="97" customFormat="1"/>
    <row r="1253" s="97" customFormat="1"/>
    <row r="1254" s="97" customFormat="1"/>
    <row r="1255" s="97" customFormat="1"/>
    <row r="1256" s="97" customFormat="1"/>
    <row r="1257" s="97" customFormat="1"/>
    <row r="1258" s="97" customFormat="1"/>
    <row r="1259" s="97" customFormat="1"/>
    <row r="1260" s="97" customFormat="1"/>
    <row r="1261" s="97" customFormat="1"/>
    <row r="1262" s="97" customFormat="1"/>
    <row r="1263" s="97" customFormat="1"/>
    <row r="1264" s="97" customFormat="1"/>
    <row r="1265" s="97" customFormat="1"/>
    <row r="1266" s="97" customFormat="1"/>
    <row r="1267" s="97" customFormat="1"/>
    <row r="1268" s="97" customFormat="1"/>
    <row r="1269" s="97" customFormat="1"/>
    <row r="1270" s="97" customFormat="1"/>
    <row r="1271" s="97" customFormat="1"/>
    <row r="1272" s="97" customFormat="1"/>
    <row r="1273" s="97" customFormat="1"/>
    <row r="1274" s="97" customFormat="1"/>
    <row r="1275" s="97" customFormat="1"/>
    <row r="1276" s="97" customFormat="1"/>
    <row r="1277" s="97" customFormat="1"/>
    <row r="1278" s="97" customFormat="1"/>
    <row r="1279" s="97" customFormat="1"/>
    <row r="1280" s="97" customFormat="1"/>
    <row r="1281" s="97" customFormat="1"/>
    <row r="1282" s="97" customFormat="1"/>
    <row r="1283" s="97" customFormat="1"/>
    <row r="1284" s="97" customFormat="1"/>
    <row r="1285" s="97" customFormat="1"/>
    <row r="1286" s="97" customFormat="1"/>
    <row r="1287" s="97" customFormat="1"/>
    <row r="1288" s="97" customFormat="1"/>
    <row r="1289" s="97" customFormat="1"/>
    <row r="1290" s="97" customFormat="1"/>
    <row r="1291" s="97" customFormat="1"/>
    <row r="1292" s="97" customFormat="1"/>
    <row r="1293" s="97" customFormat="1"/>
    <row r="1294" s="97" customFormat="1"/>
    <row r="1295" s="97" customFormat="1"/>
    <row r="1296" s="97" customFormat="1"/>
    <row r="1297" s="97" customFormat="1"/>
    <row r="1298" s="97" customFormat="1"/>
    <row r="1299" s="97" customFormat="1"/>
    <row r="1300" s="97" customFormat="1"/>
    <row r="1301" s="97" customFormat="1"/>
    <row r="1302" s="97" customFormat="1"/>
    <row r="1303" s="97" customFormat="1"/>
    <row r="1304" s="97" customFormat="1"/>
    <row r="1305" s="97" customFormat="1"/>
    <row r="1306" s="97" customFormat="1"/>
    <row r="1307" s="97" customFormat="1"/>
    <row r="1308" s="97" customFormat="1"/>
    <row r="1309" s="97" customFormat="1"/>
    <row r="1310" s="97" customFormat="1"/>
    <row r="1311" s="97" customFormat="1"/>
    <row r="1312" s="97" customFormat="1"/>
    <row r="1313" s="97" customFormat="1"/>
    <row r="1314" s="97" customFormat="1"/>
    <row r="1315" s="97" customFormat="1"/>
    <row r="1316" s="97" customFormat="1"/>
    <row r="1317" s="97" customFormat="1"/>
    <row r="1318" s="97" customFormat="1"/>
    <row r="1319" s="97" customFormat="1"/>
    <row r="1320" s="97" customFormat="1"/>
    <row r="1321" s="97" customFormat="1"/>
    <row r="1322" s="97" customFormat="1"/>
    <row r="1323" s="97" customFormat="1"/>
    <row r="1324" s="97" customFormat="1"/>
    <row r="1325" s="97" customFormat="1"/>
    <row r="1326" s="97" customFormat="1"/>
    <row r="1327" s="97" customFormat="1"/>
    <row r="1328" s="97" customFormat="1"/>
    <row r="1329" s="97" customFormat="1"/>
    <row r="1330" s="97" customFormat="1"/>
    <row r="1331" s="97" customFormat="1"/>
    <row r="1332" s="97" customFormat="1"/>
    <row r="1333" s="97" customFormat="1"/>
    <row r="1334" s="97" customFormat="1"/>
    <row r="1335" s="97" customFormat="1"/>
    <row r="1336" s="97" customFormat="1"/>
    <row r="1337" s="97" customFormat="1"/>
    <row r="1338" s="97" customFormat="1"/>
    <row r="1339" s="97" customFormat="1"/>
    <row r="1340" s="97" customFormat="1"/>
    <row r="1341" s="97" customFormat="1"/>
    <row r="1342" s="97" customFormat="1"/>
    <row r="1343" s="97" customFormat="1"/>
    <row r="1344" s="97" customFormat="1"/>
    <row r="1345" s="97" customFormat="1"/>
    <row r="1346" s="97" customFormat="1"/>
    <row r="1347" s="97" customFormat="1"/>
  </sheetData>
  <sheetProtection algorithmName="SHA-512" hashValue="5lXx214qaI6YGG8WqoVTlFvnnQ1ufJKyO4VNqZ1zLDz4aLEZJr6ty0N5b5fFCOCuwsmgcvwSnb88hJPxNTCcIg==" saltValue="aCL8n+Tz6tt3yl8QXbCcTw==" spinCount="100000" sheet="1" selectLockedCells="1"/>
  <mergeCells count="11">
    <mergeCell ref="R23:S23"/>
    <mergeCell ref="M23:N23"/>
    <mergeCell ref="U19:V19"/>
    <mergeCell ref="C24:C25"/>
    <mergeCell ref="D18:D19"/>
    <mergeCell ref="C22:C23"/>
    <mergeCell ref="B3:C3"/>
    <mergeCell ref="C18:C19"/>
    <mergeCell ref="C20:C21"/>
    <mergeCell ref="B2:AF2"/>
    <mergeCell ref="D3:I4"/>
  </mergeCells>
  <dataValidations disablePrompts="1" count="1">
    <dataValidation type="list" allowBlank="1" showInputMessage="1" showErrorMessage="1" sqref="D8:D15" xr:uid="{00000000-0002-0000-0A00-000000000000}">
      <formula1>$P$24:$P$25</formula1>
    </dataValidation>
  </dataValidations>
  <hyperlinks>
    <hyperlink ref="B3" location="'Calculator Index'!A1" display="Return to Index" xr:uid="{00000000-0004-0000-0A00-000000000000}"/>
    <hyperlink ref="B3:C3" location="'Project Summary'!A1" display="Return to Project Summary" xr:uid="{00000000-0004-0000-0A00-000001000000}"/>
  </hyperlink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EM1373"/>
  <sheetViews>
    <sheetView zoomScale="90" zoomScaleNormal="90" workbookViewId="0">
      <selection activeCell="B3" sqref="B3:C3"/>
    </sheetView>
  </sheetViews>
  <sheetFormatPr defaultRowHeight="15"/>
  <cols>
    <col min="1" max="1" width="3.7109375" customWidth="1"/>
    <col min="2" max="2" width="6.28515625" customWidth="1"/>
    <col min="3" max="3" width="18.85546875" bestFit="1" customWidth="1"/>
    <col min="4" max="4" width="19" customWidth="1"/>
    <col min="5" max="5" width="22.85546875" customWidth="1"/>
    <col min="6" max="8" width="27.28515625" customWidth="1"/>
    <col min="9" max="9" width="12.7109375" customWidth="1"/>
    <col min="10" max="10" width="14" customWidth="1"/>
    <col min="11" max="11" width="14" hidden="1" customWidth="1"/>
    <col min="12" max="13" width="12.28515625" hidden="1" customWidth="1"/>
    <col min="14" max="14" width="10" hidden="1" customWidth="1"/>
    <col min="15" max="15" width="8.85546875" hidden="1" customWidth="1"/>
    <col min="16" max="17" width="10" hidden="1" customWidth="1"/>
    <col min="18" max="18" width="12.85546875" hidden="1" customWidth="1"/>
    <col min="19" max="21" width="12.140625" hidden="1" customWidth="1"/>
    <col min="22" max="22" width="17.5703125" customWidth="1"/>
    <col min="23" max="23" width="15.28515625" customWidth="1"/>
    <col min="24" max="24" width="13.42578125" customWidth="1"/>
    <col min="25" max="26" width="13.42578125" hidden="1" customWidth="1"/>
    <col min="27" max="27" width="31.85546875" hidden="1" customWidth="1"/>
    <col min="28" max="28" width="7.42578125" style="97" customWidth="1"/>
    <col min="29" max="143" width="9.140625" style="97"/>
  </cols>
  <sheetData>
    <row r="1" spans="1:28" ht="19.5" customHeight="1">
      <c r="A1" s="41"/>
      <c r="B1" s="41"/>
      <c r="C1" s="41"/>
      <c r="D1" s="41"/>
      <c r="E1" s="41"/>
      <c r="F1" s="41"/>
      <c r="G1" s="41"/>
      <c r="H1" s="41"/>
      <c r="I1" s="41"/>
      <c r="J1" s="41"/>
      <c r="K1" s="41"/>
      <c r="L1" s="28"/>
      <c r="M1" s="28"/>
      <c r="N1" s="28"/>
      <c r="O1" s="28"/>
      <c r="P1" s="28"/>
      <c r="Q1" s="28"/>
      <c r="R1" s="28"/>
      <c r="S1" s="28"/>
      <c r="T1" s="28"/>
      <c r="U1" s="28"/>
      <c r="V1" s="41"/>
      <c r="W1" s="41"/>
      <c r="X1" s="41"/>
      <c r="Y1" s="41"/>
      <c r="Z1" s="28" t="s">
        <v>116</v>
      </c>
      <c r="AA1" s="28" t="s">
        <v>518</v>
      </c>
      <c r="AB1" s="98"/>
    </row>
    <row r="2" spans="1:28" ht="27" customHeight="1">
      <c r="A2" s="41"/>
      <c r="B2" s="415" t="s">
        <v>519</v>
      </c>
      <c r="C2" s="416"/>
      <c r="D2" s="416"/>
      <c r="E2" s="416"/>
      <c r="F2" s="416"/>
      <c r="G2" s="416"/>
      <c r="H2" s="416"/>
      <c r="I2" s="416"/>
      <c r="J2" s="416"/>
      <c r="K2" s="416"/>
      <c r="L2" s="416"/>
      <c r="M2" s="416"/>
      <c r="N2" s="416"/>
      <c r="O2" s="416"/>
      <c r="P2" s="416"/>
      <c r="Q2" s="416"/>
      <c r="R2" s="416"/>
      <c r="S2" s="416"/>
      <c r="T2" s="416"/>
      <c r="U2" s="416"/>
      <c r="V2" s="416"/>
      <c r="W2" s="416"/>
      <c r="X2" s="416"/>
      <c r="Y2" s="260"/>
      <c r="Z2" s="28"/>
      <c r="AA2" s="28"/>
      <c r="AB2" s="98"/>
    </row>
    <row r="3" spans="1:28" ht="23.25" customHeight="1">
      <c r="A3" s="41"/>
      <c r="B3" s="393" t="s">
        <v>119</v>
      </c>
      <c r="C3" s="394"/>
      <c r="D3" s="401" t="s">
        <v>520</v>
      </c>
      <c r="E3" s="401"/>
      <c r="F3" s="401"/>
      <c r="G3" s="401"/>
      <c r="H3" s="401"/>
      <c r="I3" s="401"/>
      <c r="J3" s="41"/>
      <c r="K3" s="41"/>
      <c r="L3" s="28"/>
      <c r="M3" s="28"/>
      <c r="N3" s="28"/>
      <c r="O3" s="28"/>
      <c r="P3" s="28"/>
      <c r="Q3" s="28"/>
      <c r="R3" s="28"/>
      <c r="S3" s="28"/>
      <c r="T3" s="28"/>
      <c r="U3" s="28"/>
      <c r="V3" s="41"/>
      <c r="W3" s="41"/>
      <c r="X3" s="41"/>
      <c r="Y3" s="41"/>
      <c r="Z3" s="28"/>
      <c r="AA3" s="28"/>
      <c r="AB3" s="98"/>
    </row>
    <row r="4" spans="1:28">
      <c r="A4" s="41"/>
      <c r="B4" s="41"/>
      <c r="C4" s="41"/>
      <c r="D4" s="401"/>
      <c r="E4" s="401"/>
      <c r="F4" s="401"/>
      <c r="G4" s="401"/>
      <c r="H4" s="401"/>
      <c r="I4" s="401"/>
      <c r="J4" s="41"/>
      <c r="K4" s="41"/>
      <c r="L4" s="28"/>
      <c r="M4" s="28"/>
      <c r="N4" s="28"/>
      <c r="O4" s="28"/>
      <c r="P4" s="28"/>
      <c r="Q4" s="28"/>
      <c r="R4" s="28"/>
      <c r="S4" s="28"/>
      <c r="T4" s="28"/>
      <c r="U4" s="28"/>
      <c r="V4" s="41"/>
      <c r="W4" s="41"/>
      <c r="X4" s="41"/>
      <c r="Y4" s="41"/>
      <c r="Z4" s="28"/>
      <c r="AA4" s="28"/>
      <c r="AB4" s="98"/>
    </row>
    <row r="5" spans="1:28" ht="12.75" customHeight="1">
      <c r="A5" s="41"/>
      <c r="B5" s="41"/>
      <c r="C5" s="41"/>
      <c r="D5" s="41"/>
      <c r="E5" s="41"/>
      <c r="F5" s="41"/>
      <c r="G5" s="41"/>
      <c r="H5" s="41"/>
      <c r="I5" s="41"/>
      <c r="J5" s="41"/>
      <c r="K5" s="28"/>
      <c r="L5" s="28"/>
      <c r="M5" s="28"/>
      <c r="N5" s="28"/>
      <c r="O5" s="28"/>
      <c r="P5" s="28"/>
      <c r="Q5" s="28"/>
      <c r="R5" s="28"/>
      <c r="S5" s="28"/>
      <c r="T5" s="28"/>
      <c r="U5" s="28"/>
      <c r="V5" s="41"/>
      <c r="W5" s="41"/>
      <c r="X5" s="41"/>
      <c r="Y5" s="41"/>
      <c r="Z5" s="28"/>
      <c r="AA5" s="28"/>
      <c r="AB5" s="98"/>
    </row>
    <row r="6" spans="1:28" ht="31.5" customHeight="1">
      <c r="A6" s="41"/>
      <c r="B6" s="179" t="s">
        <v>234</v>
      </c>
      <c r="C6" s="179" t="s">
        <v>122</v>
      </c>
      <c r="D6" s="180" t="s">
        <v>123</v>
      </c>
      <c r="E6" s="180" t="s">
        <v>126</v>
      </c>
      <c r="F6" s="180" t="s">
        <v>127</v>
      </c>
      <c r="G6" s="180" t="s">
        <v>235</v>
      </c>
      <c r="H6" s="180" t="s">
        <v>521</v>
      </c>
      <c r="I6" s="180" t="s">
        <v>522</v>
      </c>
      <c r="J6" s="180" t="s">
        <v>53</v>
      </c>
      <c r="K6" s="180" t="s">
        <v>124</v>
      </c>
      <c r="L6" s="180" t="s">
        <v>523</v>
      </c>
      <c r="M6" s="180" t="s">
        <v>524</v>
      </c>
      <c r="N6" s="180" t="s">
        <v>525</v>
      </c>
      <c r="O6" s="180" t="s">
        <v>526</v>
      </c>
      <c r="P6" s="180" t="s">
        <v>527</v>
      </c>
      <c r="Q6" s="180" t="s">
        <v>528</v>
      </c>
      <c r="R6" s="180" t="s">
        <v>133</v>
      </c>
      <c r="S6" s="180" t="s">
        <v>244</v>
      </c>
      <c r="T6" s="180" t="s">
        <v>245</v>
      </c>
      <c r="U6" s="180" t="s">
        <v>255</v>
      </c>
      <c r="V6" s="180" t="s">
        <v>54</v>
      </c>
      <c r="W6" s="180" t="s">
        <v>55</v>
      </c>
      <c r="X6" s="180" t="s">
        <v>56</v>
      </c>
      <c r="Y6" s="279" t="s">
        <v>137</v>
      </c>
      <c r="Z6" s="279" t="s">
        <v>384</v>
      </c>
      <c r="AA6" s="279" t="s">
        <v>78</v>
      </c>
      <c r="AB6" s="98"/>
    </row>
    <row r="7" spans="1:28" ht="31.5" hidden="1" customHeight="1">
      <c r="A7" s="41"/>
      <c r="B7" s="274" t="s">
        <v>140</v>
      </c>
      <c r="C7" s="274"/>
      <c r="D7" s="273" t="s">
        <v>141</v>
      </c>
      <c r="E7" s="273" t="s">
        <v>144</v>
      </c>
      <c r="F7" s="273" t="s">
        <v>145</v>
      </c>
      <c r="G7" s="273" t="s">
        <v>258</v>
      </c>
      <c r="H7" s="273" t="s">
        <v>143</v>
      </c>
      <c r="I7" s="273" t="s">
        <v>529</v>
      </c>
      <c r="J7" s="273" t="s">
        <v>53</v>
      </c>
      <c r="K7" s="273" t="s">
        <v>142</v>
      </c>
      <c r="L7" s="273"/>
      <c r="M7" s="273"/>
      <c r="N7" s="273"/>
      <c r="O7" s="273"/>
      <c r="P7" s="273"/>
      <c r="Q7" s="273"/>
      <c r="R7" s="273"/>
      <c r="S7" s="273"/>
      <c r="T7" s="273"/>
      <c r="U7" s="273" t="s">
        <v>148</v>
      </c>
      <c r="V7" s="273" t="s">
        <v>149</v>
      </c>
      <c r="W7" s="273" t="s">
        <v>150</v>
      </c>
      <c r="X7" s="273" t="s">
        <v>151</v>
      </c>
      <c r="Y7" s="280" t="s">
        <v>152</v>
      </c>
      <c r="Z7" s="280" t="s">
        <v>154</v>
      </c>
      <c r="AA7" s="280" t="s">
        <v>153</v>
      </c>
      <c r="AB7" s="98"/>
    </row>
    <row r="8" spans="1:28" ht="20.25" customHeight="1">
      <c r="A8" s="41"/>
      <c r="B8" s="248">
        <v>1</v>
      </c>
      <c r="C8" s="9" t="s">
        <v>66</v>
      </c>
      <c r="D8" s="11"/>
      <c r="E8" s="44"/>
      <c r="F8" s="11"/>
      <c r="G8" s="11"/>
      <c r="H8" s="11"/>
      <c r="I8" s="11"/>
      <c r="J8" s="11"/>
      <c r="K8" s="107" t="str">
        <f t="shared" ref="K8:K15" si="0">IF(D8=$F$28,$G$28,IF(D8=$F$29,$G$29,""))</f>
        <v/>
      </c>
      <c r="L8" s="107" t="str">
        <f>IF(I8="", "", IF(I8=$C$24, $D$20, $F$20))</f>
        <v/>
      </c>
      <c r="M8" s="107" t="str">
        <f t="shared" ref="M8:M15" si="1">IF(I8="", "", IF(I8=$C$24, $E$20, $G$20))</f>
        <v/>
      </c>
      <c r="N8" s="113" t="str">
        <f>IF(I8="", "", IF(I8=$C$24, $D$21, $F$21))</f>
        <v/>
      </c>
      <c r="O8" s="113" t="str">
        <f t="shared" ref="O8:O15" si="2">IF(I8="", "", IF(I8=$C$24, $E$21, $G$21))</f>
        <v/>
      </c>
      <c r="P8" s="114" t="str">
        <f>IF(I8="", "", IF(I8=$C$24, $D$22, $F$22))</f>
        <v/>
      </c>
      <c r="Q8" s="114" t="str">
        <f t="shared" ref="Q8:Q15" si="3">IF(I8="", "", IF(I8=$C$24, $E$22, $G$22))</f>
        <v/>
      </c>
      <c r="R8" s="107">
        <f>$P$20</f>
        <v>0.9</v>
      </c>
      <c r="S8" s="114" t="e">
        <f>(($M$20*($N$20/N8))+L8*($L$20-($M$20/P8)))*$O$20</f>
        <v>#VALUE!</v>
      </c>
      <c r="T8" s="114" t="e">
        <f>(($M$20*($N$20/O8))+M8*($L$20-($M$20/Q8)))*$O$20</f>
        <v>#VALUE!</v>
      </c>
      <c r="U8" s="114" t="str">
        <f t="shared" ref="U8:U15" si="4">IFERROR(ROUND(IF(W8="", "", (W8/(12*365))),6),"")</f>
        <v/>
      </c>
      <c r="V8" s="108" t="str">
        <f>IFERROR(ROUND(IF(W8="", "", (W8/(12*365))*R8),6),"")</f>
        <v/>
      </c>
      <c r="W8" s="108" t="str">
        <f>IFERROR(ROUND(IF(J8="", "", (S8-T8)*J8),4),"")</f>
        <v/>
      </c>
      <c r="X8" s="42" t="str">
        <f>IF(AND(I8="", J8=""), "", $C$28*J8)</f>
        <v/>
      </c>
      <c r="Y8" s="286">
        <f t="shared" ref="Y8:Y15" si="5">H8</f>
        <v>0</v>
      </c>
      <c r="Z8" s="286" t="str">
        <f t="shared" ref="Z8:Z15" si="6">IF(W8&gt;0,"Yes","No")</f>
        <v>Yes</v>
      </c>
      <c r="AA8" s="286" t="s">
        <v>530</v>
      </c>
      <c r="AB8" s="98"/>
    </row>
    <row r="9" spans="1:28" ht="21" customHeight="1">
      <c r="A9" s="41"/>
      <c r="B9" s="248">
        <v>2</v>
      </c>
      <c r="C9" s="9" t="s">
        <v>66</v>
      </c>
      <c r="D9" s="11"/>
      <c r="E9" s="44"/>
      <c r="F9" s="11"/>
      <c r="G9" s="11"/>
      <c r="H9" s="11"/>
      <c r="I9" s="11"/>
      <c r="J9" s="11"/>
      <c r="K9" s="107" t="str">
        <f t="shared" si="0"/>
        <v/>
      </c>
      <c r="L9" s="107" t="str">
        <f t="shared" ref="L9:L15" si="7">IF(I9="", "", IF(I9=$C$24, $D$20, $F$20))</f>
        <v/>
      </c>
      <c r="M9" s="107" t="str">
        <f t="shared" si="1"/>
        <v/>
      </c>
      <c r="N9" s="113" t="str">
        <f t="shared" ref="N9:N15" si="8">IF(I9="", "", IF(I9=$C$24, $D$21, $F$21))</f>
        <v/>
      </c>
      <c r="O9" s="113" t="str">
        <f t="shared" si="2"/>
        <v/>
      </c>
      <c r="P9" s="114" t="str">
        <f t="shared" ref="P9:P15" si="9">IF(I9="", "", IF(I9=$C$24, $D$22, $F$22))</f>
        <v/>
      </c>
      <c r="Q9" s="114" t="str">
        <f t="shared" si="3"/>
        <v/>
      </c>
      <c r="R9" s="107">
        <f t="shared" ref="R9:R15" si="10">$P$20</f>
        <v>0.9</v>
      </c>
      <c r="S9" s="114" t="e">
        <f t="shared" ref="S9:S15" si="11">(($M$20*($N$20/N9))+L9*($L$20-($M$20/P9)))*$O$20</f>
        <v>#VALUE!</v>
      </c>
      <c r="T9" s="114" t="e">
        <f t="shared" ref="T9:T15" si="12">(($M$20*($N$20/O9))+M9*($L$20-($M$20/Q9)))*$O$20</f>
        <v>#VALUE!</v>
      </c>
      <c r="U9" s="114" t="str">
        <f t="shared" si="4"/>
        <v/>
      </c>
      <c r="V9" s="108" t="str">
        <f>IFERROR(ROUND(IF(W9="", "", (W9/(12*365))*R9),6),"")</f>
        <v/>
      </c>
      <c r="W9" s="108" t="str">
        <f t="shared" ref="W9:W15" si="13">IFERROR(ROUND(IF(J9="", "", (S9-T9)*J9),4),"")</f>
        <v/>
      </c>
      <c r="X9" s="42" t="str">
        <f t="shared" ref="X9:X15" si="14">IF(AND(I9="", J9=""), "", $C$28*J9)</f>
        <v/>
      </c>
      <c r="Y9" s="286">
        <f t="shared" si="5"/>
        <v>0</v>
      </c>
      <c r="Z9" s="286" t="str">
        <f t="shared" si="6"/>
        <v>Yes</v>
      </c>
      <c r="AA9" s="286" t="s">
        <v>530</v>
      </c>
      <c r="AB9" s="98"/>
    </row>
    <row r="10" spans="1:28" ht="21" customHeight="1">
      <c r="A10" s="41"/>
      <c r="B10" s="248">
        <v>3</v>
      </c>
      <c r="C10" s="9" t="s">
        <v>66</v>
      </c>
      <c r="D10" s="11"/>
      <c r="E10" s="44"/>
      <c r="F10" s="11"/>
      <c r="G10" s="11"/>
      <c r="H10" s="11"/>
      <c r="I10" s="11"/>
      <c r="J10" s="11"/>
      <c r="K10" s="107" t="str">
        <f t="shared" si="0"/>
        <v/>
      </c>
      <c r="L10" s="107" t="str">
        <f t="shared" si="7"/>
        <v/>
      </c>
      <c r="M10" s="107" t="str">
        <f t="shared" si="1"/>
        <v/>
      </c>
      <c r="N10" s="113" t="str">
        <f t="shared" si="8"/>
        <v/>
      </c>
      <c r="O10" s="113" t="str">
        <f t="shared" si="2"/>
        <v/>
      </c>
      <c r="P10" s="114" t="str">
        <f t="shared" si="9"/>
        <v/>
      </c>
      <c r="Q10" s="114" t="str">
        <f t="shared" si="3"/>
        <v/>
      </c>
      <c r="R10" s="107">
        <f t="shared" si="10"/>
        <v>0.9</v>
      </c>
      <c r="S10" s="114" t="e">
        <f t="shared" si="11"/>
        <v>#VALUE!</v>
      </c>
      <c r="T10" s="114" t="e">
        <f t="shared" si="12"/>
        <v>#VALUE!</v>
      </c>
      <c r="U10" s="114" t="str">
        <f t="shared" si="4"/>
        <v/>
      </c>
      <c r="V10" s="108" t="str">
        <f>IFERROR(ROUND(IF(W10="", "", (W10/(12*365))*R10),6),"")</f>
        <v/>
      </c>
      <c r="W10" s="108" t="str">
        <f t="shared" si="13"/>
        <v/>
      </c>
      <c r="X10" s="42" t="str">
        <f t="shared" si="14"/>
        <v/>
      </c>
      <c r="Y10" s="286">
        <f t="shared" si="5"/>
        <v>0</v>
      </c>
      <c r="Z10" s="286" t="str">
        <f t="shared" si="6"/>
        <v>Yes</v>
      </c>
      <c r="AA10" s="286" t="s">
        <v>530</v>
      </c>
      <c r="AB10" s="98"/>
    </row>
    <row r="11" spans="1:28" ht="21" customHeight="1">
      <c r="A11" s="41"/>
      <c r="B11" s="248">
        <v>4</v>
      </c>
      <c r="C11" s="9" t="s">
        <v>66</v>
      </c>
      <c r="D11" s="11"/>
      <c r="E11" s="44"/>
      <c r="F11" s="11"/>
      <c r="G11" s="11"/>
      <c r="H11" s="11"/>
      <c r="I11" s="11"/>
      <c r="J11" s="11"/>
      <c r="K11" s="107" t="str">
        <f t="shared" si="0"/>
        <v/>
      </c>
      <c r="L11" s="107" t="str">
        <f t="shared" si="7"/>
        <v/>
      </c>
      <c r="M11" s="107" t="str">
        <f t="shared" si="1"/>
        <v/>
      </c>
      <c r="N11" s="113" t="str">
        <f t="shared" si="8"/>
        <v/>
      </c>
      <c r="O11" s="113" t="str">
        <f t="shared" si="2"/>
        <v/>
      </c>
      <c r="P11" s="114" t="str">
        <f t="shared" si="9"/>
        <v/>
      </c>
      <c r="Q11" s="114" t="str">
        <f t="shared" si="3"/>
        <v/>
      </c>
      <c r="R11" s="107">
        <f t="shared" si="10"/>
        <v>0.9</v>
      </c>
      <c r="S11" s="114" t="e">
        <f t="shared" si="11"/>
        <v>#VALUE!</v>
      </c>
      <c r="T11" s="114" t="e">
        <f t="shared" si="12"/>
        <v>#VALUE!</v>
      </c>
      <c r="U11" s="114" t="str">
        <f t="shared" si="4"/>
        <v/>
      </c>
      <c r="V11" s="108" t="str">
        <f>IFERROR(ROUND(IF(W11="", "", (W11/(12*365))*R11),6),"")</f>
        <v/>
      </c>
      <c r="W11" s="108" t="str">
        <f t="shared" si="13"/>
        <v/>
      </c>
      <c r="X11" s="42" t="str">
        <f t="shared" si="14"/>
        <v/>
      </c>
      <c r="Y11" s="286">
        <f t="shared" si="5"/>
        <v>0</v>
      </c>
      <c r="Z11" s="286" t="str">
        <f t="shared" si="6"/>
        <v>Yes</v>
      </c>
      <c r="AA11" s="286" t="s">
        <v>530</v>
      </c>
      <c r="AB11" s="98"/>
    </row>
    <row r="12" spans="1:28" ht="21" customHeight="1">
      <c r="A12" s="41"/>
      <c r="B12" s="248">
        <v>5</v>
      </c>
      <c r="C12" s="9" t="s">
        <v>66</v>
      </c>
      <c r="D12" s="11"/>
      <c r="E12" s="44"/>
      <c r="F12" s="11"/>
      <c r="G12" s="11"/>
      <c r="H12" s="11"/>
      <c r="I12" s="11"/>
      <c r="J12" s="11"/>
      <c r="K12" s="107" t="str">
        <f t="shared" si="0"/>
        <v/>
      </c>
      <c r="L12" s="107" t="str">
        <f t="shared" si="7"/>
        <v/>
      </c>
      <c r="M12" s="107" t="str">
        <f t="shared" si="1"/>
        <v/>
      </c>
      <c r="N12" s="113" t="str">
        <f t="shared" si="8"/>
        <v/>
      </c>
      <c r="O12" s="113" t="str">
        <f t="shared" si="2"/>
        <v/>
      </c>
      <c r="P12" s="114" t="str">
        <f t="shared" si="9"/>
        <v/>
      </c>
      <c r="Q12" s="114" t="str">
        <f t="shared" si="3"/>
        <v/>
      </c>
      <c r="R12" s="107">
        <f t="shared" si="10"/>
        <v>0.9</v>
      </c>
      <c r="S12" s="114" t="e">
        <f t="shared" si="11"/>
        <v>#VALUE!</v>
      </c>
      <c r="T12" s="114" t="e">
        <f t="shared" si="12"/>
        <v>#VALUE!</v>
      </c>
      <c r="U12" s="114" t="str">
        <f t="shared" si="4"/>
        <v/>
      </c>
      <c r="V12" s="108" t="str">
        <f t="shared" ref="V12:V15" si="15">IFERROR(ROUND(IF(W12="", "", (W12/(12*365))*R12),6),"")</f>
        <v/>
      </c>
      <c r="W12" s="108" t="str">
        <f t="shared" si="13"/>
        <v/>
      </c>
      <c r="X12" s="42" t="str">
        <f t="shared" si="14"/>
        <v/>
      </c>
      <c r="Y12" s="286">
        <f t="shared" si="5"/>
        <v>0</v>
      </c>
      <c r="Z12" s="286" t="str">
        <f t="shared" si="6"/>
        <v>Yes</v>
      </c>
      <c r="AA12" s="286" t="s">
        <v>530</v>
      </c>
      <c r="AB12" s="98"/>
    </row>
    <row r="13" spans="1:28" ht="21" customHeight="1">
      <c r="A13" s="41"/>
      <c r="B13" s="248">
        <v>6</v>
      </c>
      <c r="C13" s="9" t="s">
        <v>66</v>
      </c>
      <c r="D13" s="11"/>
      <c r="E13" s="44"/>
      <c r="F13" s="11"/>
      <c r="G13" s="11"/>
      <c r="H13" s="11"/>
      <c r="I13" s="11"/>
      <c r="J13" s="11"/>
      <c r="K13" s="107" t="str">
        <f t="shared" si="0"/>
        <v/>
      </c>
      <c r="L13" s="107" t="str">
        <f t="shared" si="7"/>
        <v/>
      </c>
      <c r="M13" s="107" t="str">
        <f t="shared" si="1"/>
        <v/>
      </c>
      <c r="N13" s="113" t="str">
        <f t="shared" si="8"/>
        <v/>
      </c>
      <c r="O13" s="113" t="str">
        <f t="shared" si="2"/>
        <v/>
      </c>
      <c r="P13" s="114" t="str">
        <f t="shared" si="9"/>
        <v/>
      </c>
      <c r="Q13" s="114" t="str">
        <f t="shared" si="3"/>
        <v/>
      </c>
      <c r="R13" s="107">
        <f t="shared" si="10"/>
        <v>0.9</v>
      </c>
      <c r="S13" s="114" t="e">
        <f t="shared" si="11"/>
        <v>#VALUE!</v>
      </c>
      <c r="T13" s="114" t="e">
        <f t="shared" si="12"/>
        <v>#VALUE!</v>
      </c>
      <c r="U13" s="114" t="str">
        <f t="shared" si="4"/>
        <v/>
      </c>
      <c r="V13" s="108" t="str">
        <f t="shared" si="15"/>
        <v/>
      </c>
      <c r="W13" s="108" t="str">
        <f t="shared" si="13"/>
        <v/>
      </c>
      <c r="X13" s="42" t="str">
        <f t="shared" si="14"/>
        <v/>
      </c>
      <c r="Y13" s="286">
        <f t="shared" si="5"/>
        <v>0</v>
      </c>
      <c r="Z13" s="286" t="str">
        <f t="shared" si="6"/>
        <v>Yes</v>
      </c>
      <c r="AA13" s="286" t="s">
        <v>530</v>
      </c>
      <c r="AB13" s="98"/>
    </row>
    <row r="14" spans="1:28" ht="21" customHeight="1">
      <c r="A14" s="41"/>
      <c r="B14" s="248">
        <v>7</v>
      </c>
      <c r="C14" s="9" t="s">
        <v>66</v>
      </c>
      <c r="D14" s="11"/>
      <c r="E14" s="44"/>
      <c r="F14" s="11"/>
      <c r="G14" s="11"/>
      <c r="H14" s="11"/>
      <c r="I14" s="11"/>
      <c r="J14" s="11"/>
      <c r="K14" s="107" t="str">
        <f t="shared" si="0"/>
        <v/>
      </c>
      <c r="L14" s="107" t="str">
        <f t="shared" si="7"/>
        <v/>
      </c>
      <c r="M14" s="107" t="str">
        <f t="shared" si="1"/>
        <v/>
      </c>
      <c r="N14" s="113" t="str">
        <f t="shared" si="8"/>
        <v/>
      </c>
      <c r="O14" s="113" t="str">
        <f t="shared" si="2"/>
        <v/>
      </c>
      <c r="P14" s="114" t="str">
        <f t="shared" si="9"/>
        <v/>
      </c>
      <c r="Q14" s="114" t="str">
        <f t="shared" si="3"/>
        <v/>
      </c>
      <c r="R14" s="107">
        <f t="shared" si="10"/>
        <v>0.9</v>
      </c>
      <c r="S14" s="114" t="e">
        <f t="shared" si="11"/>
        <v>#VALUE!</v>
      </c>
      <c r="T14" s="114" t="e">
        <f t="shared" si="12"/>
        <v>#VALUE!</v>
      </c>
      <c r="U14" s="114" t="str">
        <f t="shared" si="4"/>
        <v/>
      </c>
      <c r="V14" s="108" t="str">
        <f t="shared" si="15"/>
        <v/>
      </c>
      <c r="W14" s="108" t="str">
        <f t="shared" si="13"/>
        <v/>
      </c>
      <c r="X14" s="42" t="str">
        <f t="shared" si="14"/>
        <v/>
      </c>
      <c r="Y14" s="286">
        <f t="shared" si="5"/>
        <v>0</v>
      </c>
      <c r="Z14" s="286" t="str">
        <f t="shared" si="6"/>
        <v>Yes</v>
      </c>
      <c r="AA14" s="286" t="s">
        <v>530</v>
      </c>
      <c r="AB14" s="98"/>
    </row>
    <row r="15" spans="1:28" ht="21" customHeight="1">
      <c r="A15" s="41"/>
      <c r="B15" s="248">
        <v>8</v>
      </c>
      <c r="C15" s="9" t="s">
        <v>66</v>
      </c>
      <c r="D15" s="11"/>
      <c r="E15" s="44"/>
      <c r="F15" s="11"/>
      <c r="G15" s="11"/>
      <c r="H15" s="11"/>
      <c r="I15" s="11"/>
      <c r="J15" s="11"/>
      <c r="K15" s="107" t="str">
        <f t="shared" si="0"/>
        <v/>
      </c>
      <c r="L15" s="107" t="str">
        <f t="shared" si="7"/>
        <v/>
      </c>
      <c r="M15" s="107" t="str">
        <f t="shared" si="1"/>
        <v/>
      </c>
      <c r="N15" s="113" t="str">
        <f t="shared" si="8"/>
        <v/>
      </c>
      <c r="O15" s="113" t="str">
        <f t="shared" si="2"/>
        <v/>
      </c>
      <c r="P15" s="114" t="str">
        <f t="shared" si="9"/>
        <v/>
      </c>
      <c r="Q15" s="114" t="str">
        <f t="shared" si="3"/>
        <v/>
      </c>
      <c r="R15" s="107">
        <f t="shared" si="10"/>
        <v>0.9</v>
      </c>
      <c r="S15" s="114" t="e">
        <f t="shared" si="11"/>
        <v>#VALUE!</v>
      </c>
      <c r="T15" s="114" t="e">
        <f t="shared" si="12"/>
        <v>#VALUE!</v>
      </c>
      <c r="U15" s="114" t="str">
        <f t="shared" si="4"/>
        <v/>
      </c>
      <c r="V15" s="108" t="str">
        <f t="shared" si="15"/>
        <v/>
      </c>
      <c r="W15" s="108" t="str">
        <f t="shared" si="13"/>
        <v/>
      </c>
      <c r="X15" s="42" t="str">
        <f t="shared" si="14"/>
        <v/>
      </c>
      <c r="Y15" s="286">
        <f t="shared" si="5"/>
        <v>0</v>
      </c>
      <c r="Z15" s="286" t="str">
        <f t="shared" si="6"/>
        <v>Yes</v>
      </c>
      <c r="AA15" s="286" t="s">
        <v>530</v>
      </c>
      <c r="AB15" s="98"/>
    </row>
    <row r="16" spans="1:28" hidden="1">
      <c r="AB16" s="98"/>
    </row>
    <row r="17" spans="1:28" hidden="1">
      <c r="AB17" s="98"/>
    </row>
    <row r="18" spans="1:28" hidden="1">
      <c r="A18" s="28"/>
      <c r="C18" s="421" t="s">
        <v>500</v>
      </c>
      <c r="D18" s="432" t="s">
        <v>531</v>
      </c>
      <c r="E18" s="432"/>
      <c r="F18" s="433" t="s">
        <v>532</v>
      </c>
      <c r="G18" s="434"/>
      <c r="H18" s="435"/>
      <c r="AB18" s="98"/>
    </row>
    <row r="19" spans="1:28" ht="44.25" hidden="1" customHeight="1">
      <c r="A19" s="28"/>
      <c r="C19" s="421"/>
      <c r="D19" s="250" t="s">
        <v>501</v>
      </c>
      <c r="E19" s="250" t="s">
        <v>502</v>
      </c>
      <c r="F19" s="250" t="s">
        <v>501</v>
      </c>
      <c r="G19" s="250" t="s">
        <v>502</v>
      </c>
      <c r="H19" s="250"/>
      <c r="L19" s="250" t="s">
        <v>505</v>
      </c>
      <c r="M19" s="250" t="s">
        <v>481</v>
      </c>
      <c r="N19" s="250" t="s">
        <v>533</v>
      </c>
      <c r="O19" s="250" t="s">
        <v>506</v>
      </c>
      <c r="P19" s="250" t="s">
        <v>133</v>
      </c>
      <c r="AB19" s="98"/>
    </row>
    <row r="20" spans="1:28" hidden="1">
      <c r="A20" s="28"/>
      <c r="C20" s="120" t="s">
        <v>510</v>
      </c>
      <c r="D20" s="6">
        <v>1.03</v>
      </c>
      <c r="E20" s="6">
        <v>1</v>
      </c>
      <c r="F20" s="6">
        <v>2</v>
      </c>
      <c r="G20" s="6">
        <v>1.6</v>
      </c>
      <c r="H20" s="6"/>
      <c r="L20" s="6">
        <v>12</v>
      </c>
      <c r="M20" s="6">
        <v>100</v>
      </c>
      <c r="N20" s="6">
        <v>7.3200000000000001E-2</v>
      </c>
      <c r="O20" s="6">
        <v>365</v>
      </c>
      <c r="P20" s="6">
        <v>0.9</v>
      </c>
      <c r="AB20" s="98"/>
    </row>
    <row r="21" spans="1:28" hidden="1">
      <c r="A21" s="28"/>
      <c r="C21" s="120" t="s">
        <v>515</v>
      </c>
      <c r="D21" s="6">
        <v>0.68</v>
      </c>
      <c r="E21" s="6">
        <v>0.71</v>
      </c>
      <c r="F21" s="6">
        <v>0.65</v>
      </c>
      <c r="G21" s="6">
        <v>0.71</v>
      </c>
      <c r="H21" s="6"/>
      <c r="AB21" s="98"/>
    </row>
    <row r="22" spans="1:28" hidden="1">
      <c r="A22" s="28"/>
      <c r="C22" s="6" t="s">
        <v>516</v>
      </c>
      <c r="D22" s="6">
        <v>45</v>
      </c>
      <c r="E22" s="6">
        <v>50</v>
      </c>
      <c r="F22" s="6">
        <v>90</v>
      </c>
      <c r="G22" s="6">
        <v>90</v>
      </c>
      <c r="H22" s="6"/>
      <c r="AB22" s="98"/>
    </row>
    <row r="23" spans="1:28" hidden="1">
      <c r="A23" s="28"/>
      <c r="AB23" s="98"/>
    </row>
    <row r="24" spans="1:28" hidden="1">
      <c r="A24" s="28"/>
      <c r="C24" t="s">
        <v>531</v>
      </c>
      <c r="AB24" s="98"/>
    </row>
    <row r="25" spans="1:28" hidden="1">
      <c r="A25" s="28"/>
      <c r="C25" t="s">
        <v>532</v>
      </c>
      <c r="AB25" s="98"/>
    </row>
    <row r="26" spans="1:28" hidden="1">
      <c r="A26" s="28"/>
      <c r="AB26" s="98"/>
    </row>
    <row r="27" spans="1:28" hidden="1">
      <c r="A27" s="28"/>
      <c r="C27" s="249" t="s">
        <v>56</v>
      </c>
      <c r="F27" s="14" t="s">
        <v>123</v>
      </c>
      <c r="G27" s="295" t="s">
        <v>124</v>
      </c>
      <c r="H27" s="295"/>
      <c r="AB27" s="98"/>
    </row>
    <row r="28" spans="1:28" hidden="1">
      <c r="A28" s="28"/>
      <c r="C28" s="121">
        <v>350</v>
      </c>
      <c r="D28" s="6" t="s">
        <v>517</v>
      </c>
      <c r="F28" s="19" t="s">
        <v>164</v>
      </c>
      <c r="G28" s="19" t="s">
        <v>164</v>
      </c>
      <c r="H28" s="29"/>
      <c r="AB28" s="98"/>
    </row>
    <row r="29" spans="1:28" hidden="1">
      <c r="A29" s="28"/>
      <c r="F29" s="19" t="s">
        <v>169</v>
      </c>
      <c r="G29" s="19" t="s">
        <v>170</v>
      </c>
      <c r="H29" s="29"/>
      <c r="AB29" s="98"/>
    </row>
    <row r="30" spans="1:28" hidden="1">
      <c r="A30" s="28"/>
      <c r="C30" s="48" t="s">
        <v>308</v>
      </c>
      <c r="AB30" s="98"/>
    </row>
    <row r="31" spans="1:28" hidden="1">
      <c r="A31" s="28"/>
      <c r="C31" s="5">
        <v>12</v>
      </c>
      <c r="D31" t="s">
        <v>458</v>
      </c>
      <c r="AB31" s="98"/>
    </row>
    <row r="32" spans="1:28" s="97" customFormat="1">
      <c r="A32" s="98"/>
      <c r="B32" s="98"/>
      <c r="C32" s="98"/>
      <c r="D32" s="98"/>
      <c r="E32" s="98"/>
      <c r="F32" s="98"/>
      <c r="G32" s="98"/>
      <c r="H32" s="98"/>
      <c r="I32" s="98"/>
      <c r="J32" s="98"/>
      <c r="K32" s="98"/>
      <c r="L32" s="98"/>
      <c r="M32" s="98"/>
      <c r="N32" s="98"/>
      <c r="O32" s="98"/>
      <c r="P32" s="98"/>
      <c r="Q32" s="98"/>
      <c r="R32" s="98"/>
      <c r="S32" s="98"/>
      <c r="T32" s="98"/>
      <c r="U32" s="98"/>
      <c r="V32" s="98"/>
      <c r="W32" s="98"/>
      <c r="X32" s="98"/>
      <c r="Y32" s="98"/>
      <c r="Z32" s="98"/>
      <c r="AB32" s="98"/>
    </row>
    <row r="33" spans="1:28" s="97" customFormat="1">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c r="AB33" s="98"/>
    </row>
    <row r="34" spans="1:28" s="97" customFormat="1"/>
    <row r="35" spans="1:28" s="97" customFormat="1"/>
    <row r="36" spans="1:28" s="97" customFormat="1"/>
    <row r="37" spans="1:28" s="97" customFormat="1"/>
    <row r="38" spans="1:28" s="97" customFormat="1"/>
    <row r="39" spans="1:28" s="97" customFormat="1"/>
    <row r="40" spans="1:28" s="97" customFormat="1"/>
    <row r="41" spans="1:28" s="97" customFormat="1"/>
    <row r="42" spans="1:28" s="97" customFormat="1"/>
    <row r="43" spans="1:28" s="97" customFormat="1"/>
    <row r="44" spans="1:28" s="97" customFormat="1"/>
    <row r="45" spans="1:28" s="97" customFormat="1"/>
    <row r="46" spans="1:28" s="97" customFormat="1"/>
    <row r="47" spans="1:28" s="97" customFormat="1"/>
    <row r="48" spans="1:2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row r="1198" s="97" customFormat="1"/>
    <row r="1199" s="97" customFormat="1"/>
    <row r="1200" s="97" customFormat="1"/>
    <row r="1201" s="97" customFormat="1"/>
    <row r="1202" s="97" customFormat="1"/>
    <row r="1203" s="97" customFormat="1"/>
    <row r="1204" s="97" customFormat="1"/>
    <row r="1205" s="97" customFormat="1"/>
    <row r="1206" s="97" customFormat="1"/>
    <row r="1207" s="97" customFormat="1"/>
    <row r="1208" s="97" customFormat="1"/>
    <row r="1209" s="97" customFormat="1"/>
    <row r="1210" s="97" customFormat="1"/>
    <row r="1211" s="97" customFormat="1"/>
    <row r="1212" s="97" customFormat="1"/>
    <row r="1213" s="97" customFormat="1"/>
    <row r="1214" s="97" customFormat="1"/>
    <row r="1215" s="97" customFormat="1"/>
    <row r="1216" s="97" customFormat="1"/>
    <row r="1217" s="97" customFormat="1"/>
    <row r="1218" s="97" customFormat="1"/>
    <row r="1219" s="97" customFormat="1"/>
    <row r="1220" s="97" customFormat="1"/>
    <row r="1221" s="97" customFormat="1"/>
    <row r="1222" s="97" customFormat="1"/>
    <row r="1223" s="97" customFormat="1"/>
    <row r="1224" s="97" customFormat="1"/>
    <row r="1225" s="97" customFormat="1"/>
    <row r="1226" s="97" customFormat="1"/>
    <row r="1227" s="97" customFormat="1"/>
    <row r="1228" s="97" customFormat="1"/>
    <row r="1229" s="97" customFormat="1"/>
    <row r="1230" s="97" customFormat="1"/>
    <row r="1231" s="97" customFormat="1"/>
    <row r="1232" s="97" customFormat="1"/>
    <row r="1233" s="97" customFormat="1"/>
    <row r="1234" s="97" customFormat="1"/>
    <row r="1235" s="97" customFormat="1"/>
    <row r="1236" s="97" customFormat="1"/>
    <row r="1237" s="97" customFormat="1"/>
    <row r="1238" s="97" customFormat="1"/>
    <row r="1239" s="97" customFormat="1"/>
    <row r="1240" s="97" customFormat="1"/>
    <row r="1241" s="97" customFormat="1"/>
    <row r="1242" s="97" customFormat="1"/>
    <row r="1243" s="97" customFormat="1"/>
    <row r="1244" s="97" customFormat="1"/>
    <row r="1245" s="97" customFormat="1"/>
    <row r="1246" s="97" customFormat="1"/>
    <row r="1247" s="97" customFormat="1"/>
    <row r="1248" s="97" customFormat="1"/>
    <row r="1249" s="97" customFormat="1"/>
    <row r="1250" s="97" customFormat="1"/>
    <row r="1251" s="97" customFormat="1"/>
    <row r="1252" s="97" customFormat="1"/>
    <row r="1253" s="97" customFormat="1"/>
    <row r="1254" s="97" customFormat="1"/>
    <row r="1255" s="97" customFormat="1"/>
    <row r="1256" s="97" customFormat="1"/>
    <row r="1257" s="97" customFormat="1"/>
    <row r="1258" s="97" customFormat="1"/>
    <row r="1259" s="97" customFormat="1"/>
    <row r="1260" s="97" customFormat="1"/>
    <row r="1261" s="97" customFormat="1"/>
    <row r="1262" s="97" customFormat="1"/>
    <row r="1263" s="97" customFormat="1"/>
    <row r="1264" s="97" customFormat="1"/>
    <row r="1265" s="97" customFormat="1"/>
    <row r="1266" s="97" customFormat="1"/>
    <row r="1267" s="97" customFormat="1"/>
    <row r="1268" s="97" customFormat="1"/>
    <row r="1269" s="97" customFormat="1"/>
    <row r="1270" s="97" customFormat="1"/>
    <row r="1271" s="97" customFormat="1"/>
    <row r="1272" s="97" customFormat="1"/>
    <row r="1273" s="97" customFormat="1"/>
    <row r="1274" s="97" customFormat="1"/>
    <row r="1275" s="97" customFormat="1"/>
    <row r="1276" s="97" customFormat="1"/>
    <row r="1277" s="97" customFormat="1"/>
    <row r="1278" s="97" customFormat="1"/>
    <row r="1279" s="97" customFormat="1"/>
    <row r="1280" s="97" customFormat="1"/>
    <row r="1281" s="97" customFormat="1"/>
    <row r="1282" s="97" customFormat="1"/>
    <row r="1283" s="97" customFormat="1"/>
    <row r="1284" s="97" customFormat="1"/>
    <row r="1285" s="97" customFormat="1"/>
    <row r="1286" s="97" customFormat="1"/>
    <row r="1287" s="97" customFormat="1"/>
    <row r="1288" s="97" customFormat="1"/>
    <row r="1289" s="97" customFormat="1"/>
    <row r="1290" s="97" customFormat="1"/>
    <row r="1291" s="97" customFormat="1"/>
    <row r="1292" s="97" customFormat="1"/>
    <row r="1293" s="97" customFormat="1"/>
    <row r="1294" s="97" customFormat="1"/>
    <row r="1295" s="97" customFormat="1"/>
    <row r="1296" s="97" customFormat="1"/>
    <row r="1297" s="97" customFormat="1"/>
    <row r="1298" s="97" customFormat="1"/>
    <row r="1299" s="97" customFormat="1"/>
    <row r="1300" s="97" customFormat="1"/>
    <row r="1301" s="97" customFormat="1"/>
    <row r="1302" s="97" customFormat="1"/>
    <row r="1303" s="97" customFormat="1"/>
    <row r="1304" s="97" customFormat="1"/>
    <row r="1305" s="97" customFormat="1"/>
    <row r="1306" s="97" customFormat="1"/>
    <row r="1307" s="97" customFormat="1"/>
    <row r="1308" s="97" customFormat="1"/>
    <row r="1309" s="97" customFormat="1"/>
    <row r="1310" s="97" customFormat="1"/>
    <row r="1311" s="97" customFormat="1"/>
    <row r="1312" s="97" customFormat="1"/>
    <row r="1313" s="97" customFormat="1"/>
    <row r="1314" s="97" customFormat="1"/>
    <row r="1315" s="97" customFormat="1"/>
    <row r="1316" s="97" customFormat="1"/>
    <row r="1317" s="97" customFormat="1"/>
    <row r="1318" s="97" customFormat="1"/>
    <row r="1319" s="97" customFormat="1"/>
    <row r="1320" s="97" customFormat="1"/>
    <row r="1321" s="97" customFormat="1"/>
    <row r="1322" s="97" customFormat="1"/>
    <row r="1323" s="97" customFormat="1"/>
    <row r="1324" s="97" customFormat="1"/>
    <row r="1325" s="97" customFormat="1"/>
    <row r="1326" s="97" customFormat="1"/>
    <row r="1327" s="97" customFormat="1"/>
    <row r="1328" s="97" customFormat="1"/>
    <row r="1329" s="97" customFormat="1"/>
    <row r="1330" s="97" customFormat="1"/>
    <row r="1331" s="97" customFormat="1"/>
    <row r="1332" s="97" customFormat="1"/>
    <row r="1333" s="97" customFormat="1"/>
    <row r="1334" s="97" customFormat="1"/>
    <row r="1335" s="97" customFormat="1"/>
    <row r="1336" s="97" customFormat="1"/>
    <row r="1337" s="97" customFormat="1"/>
    <row r="1338" s="97" customFormat="1"/>
    <row r="1339" s="97" customFormat="1"/>
    <row r="1340" s="97" customFormat="1"/>
    <row r="1341" s="97" customFormat="1"/>
    <row r="1342" s="97" customFormat="1"/>
    <row r="1343" s="97" customFormat="1"/>
    <row r="1344" s="97" customFormat="1"/>
    <row r="1345" s="97" customFormat="1"/>
    <row r="1346" s="97" customFormat="1"/>
    <row r="1347" s="97" customFormat="1"/>
    <row r="1348" s="97" customFormat="1"/>
    <row r="1349" s="97" customFormat="1"/>
    <row r="1350" s="97" customFormat="1"/>
    <row r="1351" s="97" customFormat="1"/>
    <row r="1352" s="97" customFormat="1"/>
    <row r="1353" s="97" customFormat="1"/>
    <row r="1354" s="97" customFormat="1"/>
    <row r="1355" s="97" customFormat="1"/>
    <row r="1356" s="97" customFormat="1"/>
    <row r="1357" s="97" customFormat="1"/>
    <row r="1358" s="97" customFormat="1"/>
    <row r="1359" s="97" customFormat="1"/>
    <row r="1360" s="97" customFormat="1"/>
    <row r="1361" s="97" customFormat="1"/>
    <row r="1362" s="97" customFormat="1"/>
    <row r="1363" s="97" customFormat="1"/>
    <row r="1364" s="97" customFormat="1"/>
    <row r="1365" s="97" customFormat="1"/>
    <row r="1366" s="97" customFormat="1"/>
    <row r="1367" s="97" customFormat="1"/>
    <row r="1368" s="97" customFormat="1"/>
    <row r="1369" s="97" customFormat="1"/>
    <row r="1370" s="97" customFormat="1"/>
    <row r="1371" s="97" customFormat="1"/>
    <row r="1372" s="97" customFormat="1"/>
    <row r="1373" s="97" customFormat="1"/>
  </sheetData>
  <sheetProtection algorithmName="SHA-512" hashValue="3v6wB8ZDFSe3RfwdpVmmHtPsaNGztta1yaBzmVgjzWv2sTYqdSoHE86a5V5EnMBqOSRvcfli2VcAA3A2n/+Kug==" saltValue="RkOpxvrT6wBMRu45L1SozA==" spinCount="100000" sheet="1" selectLockedCells="1"/>
  <mergeCells count="6">
    <mergeCell ref="B3:C3"/>
    <mergeCell ref="C18:C19"/>
    <mergeCell ref="D18:E18"/>
    <mergeCell ref="B2:X2"/>
    <mergeCell ref="D3:I4"/>
    <mergeCell ref="F18:H18"/>
  </mergeCells>
  <phoneticPr fontId="39" type="noConversion"/>
  <dataValidations disablePrompts="1" count="2">
    <dataValidation type="list" allowBlank="1" showInputMessage="1" showErrorMessage="1" sqref="I8:I15" xr:uid="{00000000-0002-0000-0B00-000000000000}">
      <formula1>$C$24:$C$25</formula1>
    </dataValidation>
    <dataValidation type="list" allowBlank="1" showInputMessage="1" showErrorMessage="1" sqref="D8:D15" xr:uid="{00000000-0002-0000-0B00-000001000000}">
      <formula1>$F$28:$F$29</formula1>
    </dataValidation>
  </dataValidations>
  <hyperlinks>
    <hyperlink ref="B3" location="'Calculator Index'!A1" display="Return to Index" xr:uid="{00000000-0004-0000-0B00-000000000000}"/>
    <hyperlink ref="B3:C3" location="'Project Summary'!A1" display="Return to Project Summary" xr:uid="{00000000-0004-0000-0B00-000001000000}"/>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S1172"/>
  <sheetViews>
    <sheetView zoomScale="90" zoomScaleNormal="90" workbookViewId="0">
      <selection activeCell="B3" sqref="B3:C3"/>
    </sheetView>
  </sheetViews>
  <sheetFormatPr defaultRowHeight="15"/>
  <cols>
    <col min="1" max="1" width="3.7109375" customWidth="1"/>
    <col min="2" max="2" width="5.5703125" customWidth="1"/>
    <col min="3" max="3" width="25" customWidth="1"/>
    <col min="4" max="4" width="19" customWidth="1"/>
    <col min="5" max="5" width="21.42578125" customWidth="1"/>
    <col min="6" max="6" width="20.5703125" customWidth="1"/>
    <col min="7" max="8" width="13.42578125" customWidth="1"/>
    <col min="9" max="9" width="16.85546875" customWidth="1"/>
    <col min="10" max="10" width="10.7109375" customWidth="1"/>
    <col min="11" max="11" width="10.7109375" hidden="1" customWidth="1"/>
    <col min="12" max="12" width="11.85546875" hidden="1" customWidth="1"/>
    <col min="13" max="13" width="16.140625" hidden="1" customWidth="1"/>
    <col min="14" max="15" width="12.42578125" hidden="1" customWidth="1"/>
    <col min="16" max="16" width="13.85546875" hidden="1" customWidth="1"/>
    <col min="17" max="17" width="14.42578125" hidden="1" customWidth="1"/>
    <col min="18" max="18" width="22.5703125" hidden="1" customWidth="1"/>
    <col min="19" max="20" width="10.140625" hidden="1" customWidth="1"/>
    <col min="21" max="22" width="11.28515625" hidden="1" customWidth="1"/>
    <col min="23" max="24" width="10" hidden="1" customWidth="1"/>
    <col min="25" max="26" width="29.85546875" hidden="1" customWidth="1"/>
    <col min="27" max="27" width="16.5703125" customWidth="1"/>
    <col min="28" max="31" width="16.5703125" hidden="1" customWidth="1"/>
    <col min="32" max="32" width="16.5703125" customWidth="1"/>
    <col min="33" max="33" width="13.140625" customWidth="1"/>
    <col min="34" max="34" width="14.7109375" hidden="1" customWidth="1"/>
    <col min="35" max="35" width="9.140625" hidden="1" customWidth="1"/>
    <col min="36" max="36" width="7.5703125" style="97" customWidth="1"/>
    <col min="37" max="175" width="9.140625" style="97"/>
  </cols>
  <sheetData>
    <row r="1" spans="1:36" ht="19.5" customHeight="1">
      <c r="A1" s="41"/>
      <c r="B1" s="41"/>
      <c r="C1" s="41"/>
      <c r="D1" s="41"/>
      <c r="E1" s="41"/>
      <c r="F1" s="41"/>
      <c r="G1" s="41"/>
      <c r="H1" s="41"/>
      <c r="I1" s="41"/>
      <c r="J1" s="41"/>
      <c r="K1" s="41"/>
      <c r="L1" s="28"/>
      <c r="M1" s="28"/>
      <c r="N1" s="28"/>
      <c r="O1" s="28"/>
      <c r="P1" s="28"/>
      <c r="Q1" s="28"/>
      <c r="R1" s="28"/>
      <c r="S1" s="28"/>
      <c r="T1" s="28"/>
      <c r="U1" s="28"/>
      <c r="V1" s="28"/>
      <c r="W1" s="28"/>
      <c r="X1" s="28"/>
      <c r="Y1" s="28"/>
      <c r="Z1" s="28"/>
      <c r="AA1" s="41"/>
      <c r="AB1" s="28"/>
      <c r="AC1" s="28"/>
      <c r="AD1" s="28"/>
      <c r="AE1" s="28"/>
      <c r="AF1" s="41"/>
      <c r="AG1" s="41"/>
      <c r="AH1" s="28" t="s">
        <v>116</v>
      </c>
      <c r="AI1" s="28" t="s">
        <v>534</v>
      </c>
      <c r="AJ1" s="98"/>
    </row>
    <row r="2" spans="1:36" ht="27" customHeight="1">
      <c r="A2" s="41"/>
      <c r="B2" s="418" t="s">
        <v>535</v>
      </c>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28"/>
      <c r="AI2" s="28"/>
      <c r="AJ2" s="98"/>
    </row>
    <row r="3" spans="1:36" ht="23.25" customHeight="1">
      <c r="A3" s="41"/>
      <c r="B3" s="393" t="s">
        <v>119</v>
      </c>
      <c r="C3" s="394"/>
      <c r="D3" s="417" t="s">
        <v>536</v>
      </c>
      <c r="E3" s="417"/>
      <c r="F3" s="417"/>
      <c r="G3" s="417"/>
      <c r="H3" s="296"/>
      <c r="I3" s="296"/>
      <c r="J3" s="41"/>
      <c r="K3" s="41"/>
      <c r="L3" s="28"/>
      <c r="M3" s="28"/>
      <c r="N3" s="28"/>
      <c r="O3" s="28"/>
      <c r="P3" s="28"/>
      <c r="Q3" s="28"/>
      <c r="R3" s="28"/>
      <c r="S3" s="28"/>
      <c r="T3" s="28"/>
      <c r="U3" s="28"/>
      <c r="V3" s="28"/>
      <c r="W3" s="28"/>
      <c r="X3" s="28"/>
      <c r="Y3" s="28"/>
      <c r="Z3" s="28"/>
      <c r="AA3" s="41"/>
      <c r="AB3" s="28"/>
      <c r="AC3" s="28"/>
      <c r="AD3" s="28"/>
      <c r="AE3" s="28"/>
      <c r="AF3" s="41"/>
      <c r="AG3" s="41"/>
      <c r="AH3" s="28"/>
      <c r="AI3" s="28"/>
      <c r="AJ3" s="98"/>
    </row>
    <row r="4" spans="1:36" ht="10.5" customHeight="1">
      <c r="A4" s="41"/>
      <c r="B4" s="41"/>
      <c r="C4" s="41"/>
      <c r="D4" s="401"/>
      <c r="E4" s="401"/>
      <c r="F4" s="401"/>
      <c r="G4" s="401"/>
      <c r="H4" s="296"/>
      <c r="I4" s="296"/>
      <c r="J4" s="41"/>
      <c r="K4" s="41"/>
      <c r="L4" s="28"/>
      <c r="M4" s="28"/>
      <c r="N4" s="28"/>
      <c r="O4" s="28"/>
      <c r="P4" s="28"/>
      <c r="Q4" s="28"/>
      <c r="R4" s="28"/>
      <c r="S4" s="28"/>
      <c r="T4" s="28"/>
      <c r="U4" s="28"/>
      <c r="V4" s="28"/>
      <c r="W4" s="28"/>
      <c r="X4" s="28"/>
      <c r="Y4" s="28"/>
      <c r="Z4" s="28"/>
      <c r="AA4" s="41"/>
      <c r="AB4" s="28"/>
      <c r="AC4" s="28"/>
      <c r="AD4" s="28"/>
      <c r="AE4" s="28"/>
      <c r="AF4" s="41"/>
      <c r="AG4" s="41"/>
      <c r="AH4" s="28"/>
      <c r="AI4" s="28"/>
      <c r="AJ4" s="98"/>
    </row>
    <row r="5" spans="1:36" ht="12.75" customHeight="1">
      <c r="A5" s="41"/>
      <c r="B5" s="41"/>
      <c r="C5" s="41"/>
      <c r="D5" s="41"/>
      <c r="E5" s="41"/>
      <c r="F5" s="41"/>
      <c r="G5" s="41"/>
      <c r="H5" s="41"/>
      <c r="I5" s="41"/>
      <c r="J5" s="41"/>
      <c r="K5" s="41"/>
      <c r="L5" s="28"/>
      <c r="M5" s="28"/>
      <c r="N5" s="28"/>
      <c r="O5" s="28"/>
      <c r="P5" s="28"/>
      <c r="Q5" s="28"/>
      <c r="R5" s="28"/>
      <c r="S5" s="28"/>
      <c r="T5" s="28"/>
      <c r="U5" s="28"/>
      <c r="V5" s="28"/>
      <c r="W5" s="28"/>
      <c r="X5" s="28"/>
      <c r="Y5" s="28"/>
      <c r="Z5" s="28"/>
      <c r="AA5" s="41"/>
      <c r="AB5" s="28"/>
      <c r="AC5" s="28"/>
      <c r="AD5" s="28"/>
      <c r="AE5" s="28"/>
      <c r="AF5" s="41"/>
      <c r="AG5" s="41"/>
      <c r="AH5" s="28"/>
      <c r="AI5" s="28"/>
      <c r="AJ5" s="98"/>
    </row>
    <row r="6" spans="1:36" ht="30">
      <c r="A6" s="41"/>
      <c r="B6" s="180" t="s">
        <v>234</v>
      </c>
      <c r="C6" s="180" t="s">
        <v>122</v>
      </c>
      <c r="D6" s="180" t="s">
        <v>123</v>
      </c>
      <c r="E6" s="180" t="s">
        <v>126</v>
      </c>
      <c r="F6" s="180" t="s">
        <v>127</v>
      </c>
      <c r="G6" s="180" t="s">
        <v>480</v>
      </c>
      <c r="H6" s="180" t="s">
        <v>235</v>
      </c>
      <c r="I6" s="180" t="s">
        <v>537</v>
      </c>
      <c r="J6" s="180" t="s">
        <v>53</v>
      </c>
      <c r="K6" s="180" t="s">
        <v>124</v>
      </c>
      <c r="L6" s="180" t="s">
        <v>538</v>
      </c>
      <c r="M6" s="180" t="s">
        <v>539</v>
      </c>
      <c r="N6" s="180" t="s">
        <v>540</v>
      </c>
      <c r="O6" s="180" t="s">
        <v>541</v>
      </c>
      <c r="P6" s="180" t="s">
        <v>542</v>
      </c>
      <c r="Q6" s="180" t="s">
        <v>543</v>
      </c>
      <c r="R6" s="180" t="s">
        <v>544</v>
      </c>
      <c r="S6" s="180" t="s">
        <v>545</v>
      </c>
      <c r="T6" s="180" t="s">
        <v>546</v>
      </c>
      <c r="U6" s="180" t="s">
        <v>547</v>
      </c>
      <c r="V6" s="180" t="s">
        <v>548</v>
      </c>
      <c r="W6" s="180" t="s">
        <v>387</v>
      </c>
      <c r="X6" s="180" t="s">
        <v>133</v>
      </c>
      <c r="Y6" s="180" t="s">
        <v>78</v>
      </c>
      <c r="Z6" s="180" t="s">
        <v>255</v>
      </c>
      <c r="AA6" s="180" t="s">
        <v>549</v>
      </c>
      <c r="AB6" s="180" t="s">
        <v>550</v>
      </c>
      <c r="AC6" s="180" t="s">
        <v>551</v>
      </c>
      <c r="AD6" s="180" t="s">
        <v>552</v>
      </c>
      <c r="AE6" s="180" t="s">
        <v>553</v>
      </c>
      <c r="AF6" s="180" t="s">
        <v>554</v>
      </c>
      <c r="AG6" s="180" t="s">
        <v>56</v>
      </c>
      <c r="AH6" s="180" t="s">
        <v>137</v>
      </c>
      <c r="AJ6" s="98"/>
    </row>
    <row r="7" spans="1:36" ht="23.25" hidden="1" customHeight="1">
      <c r="A7" s="41"/>
      <c r="B7" s="273" t="s">
        <v>140</v>
      </c>
      <c r="C7" s="273"/>
      <c r="D7" s="273" t="s">
        <v>141</v>
      </c>
      <c r="E7" s="273" t="s">
        <v>144</v>
      </c>
      <c r="F7" s="273" t="s">
        <v>145</v>
      </c>
      <c r="G7" s="273" t="s">
        <v>498</v>
      </c>
      <c r="H7" s="273" t="s">
        <v>258</v>
      </c>
      <c r="I7" s="273" t="s">
        <v>143</v>
      </c>
      <c r="J7" s="273" t="s">
        <v>53</v>
      </c>
      <c r="K7" s="273" t="s">
        <v>142</v>
      </c>
      <c r="L7" s="273"/>
      <c r="M7" s="273"/>
      <c r="N7" s="273"/>
      <c r="O7" s="273"/>
      <c r="P7" s="273"/>
      <c r="Q7" s="273"/>
      <c r="R7" s="273"/>
      <c r="S7" s="273"/>
      <c r="T7" s="273"/>
      <c r="U7" s="273"/>
      <c r="V7" s="273"/>
      <c r="W7" s="273"/>
      <c r="X7" s="273"/>
      <c r="Y7" s="273" t="s">
        <v>153</v>
      </c>
      <c r="Z7" s="273" t="s">
        <v>148</v>
      </c>
      <c r="AA7" s="273" t="s">
        <v>149</v>
      </c>
      <c r="AB7" s="273"/>
      <c r="AC7" s="273"/>
      <c r="AD7" s="273"/>
      <c r="AE7" s="273"/>
      <c r="AF7" s="273" t="s">
        <v>150</v>
      </c>
      <c r="AG7" s="273" t="s">
        <v>151</v>
      </c>
      <c r="AH7" s="273" t="s">
        <v>152</v>
      </c>
      <c r="AJ7" s="98"/>
    </row>
    <row r="8" spans="1:36" ht="21" customHeight="1">
      <c r="A8" s="41"/>
      <c r="B8" s="248">
        <v>1</v>
      </c>
      <c r="C8" s="248" t="s">
        <v>555</v>
      </c>
      <c r="D8" s="44"/>
      <c r="E8" s="44"/>
      <c r="F8" s="11"/>
      <c r="G8" s="44"/>
      <c r="H8" s="44"/>
      <c r="I8" s="44"/>
      <c r="J8" s="44"/>
      <c r="K8" s="44" t="str">
        <f t="shared" ref="K8:K15" si="0">IF(D8=$C$27,$D$27,IF(D8=$C$28,$D$28,""))</f>
        <v/>
      </c>
      <c r="L8" s="15" t="str">
        <f t="shared" ref="L8:L15" si="1">IFERROR(VLOOKUP(G8, $C$20:$M$23, 4, FALSE), "")</f>
        <v/>
      </c>
      <c r="M8" s="15">
        <v>3.0800000000000001E-2</v>
      </c>
      <c r="N8" s="122" t="str">
        <f t="shared" ref="N8:N15" si="2">IFERROR(VLOOKUP(G8, $C$20:$M$23, 9, FALSE), "")</f>
        <v/>
      </c>
      <c r="O8" s="122" t="str">
        <f t="shared" ref="O8:O15" si="3">IFERROR(VLOOKUP(G8, $C$20:$M$23, 5, FALSE), "")</f>
        <v/>
      </c>
      <c r="P8" s="123" t="str">
        <f t="shared" ref="P8:P15" si="4">IFERROR(VLOOKUP(G8, $C$20:$M$23, 2, FALSE), "")</f>
        <v/>
      </c>
      <c r="Q8" s="124" t="str">
        <f t="shared" ref="Q8:Q15" si="5">IFERROR(VLOOKUP(G8, $C$20:$M$23, 6, FALSE), "")</f>
        <v/>
      </c>
      <c r="R8" s="122">
        <v>0.4</v>
      </c>
      <c r="S8" s="15">
        <v>12</v>
      </c>
      <c r="T8" s="15">
        <v>0.25</v>
      </c>
      <c r="U8" s="125" t="str">
        <f t="shared" ref="U8:U15" si="6">IFERROR(VLOOKUP(G8, $C$20:$M$23, 3, FALSE), "")</f>
        <v/>
      </c>
      <c r="V8" s="15" t="str">
        <f t="shared" ref="V8:V15" si="7">IFERROR(VLOOKUP(G8, $C$20:$M$23, 7, FALSE), "")</f>
        <v/>
      </c>
      <c r="W8" s="15">
        <v>4380</v>
      </c>
      <c r="X8" s="126">
        <f>$J$27</f>
        <v>0.9</v>
      </c>
      <c r="Y8" s="126" t="str">
        <f t="shared" ref="Y8:Y15" si="8">IFERROR(VLOOKUP(G8, $C$20:$O$23, 13, FALSE), "")</f>
        <v/>
      </c>
      <c r="Z8" s="126" t="str">
        <f t="shared" ref="Z8:Z15" si="9">IFERROR(ROUND(IF(J8="", "", (AF8/W8)),6), "")</f>
        <v/>
      </c>
      <c r="AA8" s="127" t="str">
        <f>IFERROR(ROUND(IF(J8="", "", (AF8/W8)*X8),6), "")</f>
        <v/>
      </c>
      <c r="AB8" s="127" t="str">
        <f>IFERROR(L8*M8*(1/O8-1/N8), "")</f>
        <v/>
      </c>
      <c r="AC8" s="127" t="str">
        <f>IFERROR((P8*(1-R8)+R8*U8*G8*(M8/O8))*(S8-(L8/(U8*G8))), "")</f>
        <v/>
      </c>
      <c r="AD8" s="127" t="str">
        <f>IFERROR((Q8*(1-R8)+R8*V8*G8*(M8/N8))*(S8-(L8/(V8*G8))), "")</f>
        <v/>
      </c>
      <c r="AE8" s="127" t="str">
        <f>IFERROR(AC8-AD8, "")</f>
        <v/>
      </c>
      <c r="AF8" s="127" t="str">
        <f>IFERROR(ROUND((AB8+AE8)*365,4), "")</f>
        <v/>
      </c>
      <c r="AG8" s="128" t="str">
        <f t="shared" ref="AG8:AG15" si="10">IFERROR(IF(J8="", "", VLOOKUP(G8, $C$20:$N$23, 12, FALSE)*J8), "")</f>
        <v/>
      </c>
      <c r="AH8" s="128">
        <f>I8</f>
        <v>0</v>
      </c>
      <c r="AJ8" s="98"/>
    </row>
    <row r="9" spans="1:36" ht="21" customHeight="1">
      <c r="A9" s="41"/>
      <c r="B9" s="248">
        <v>2</v>
      </c>
      <c r="C9" s="248" t="s">
        <v>555</v>
      </c>
      <c r="D9" s="44"/>
      <c r="E9" s="44"/>
      <c r="F9" s="11"/>
      <c r="G9" s="44"/>
      <c r="H9" s="44"/>
      <c r="I9" s="44"/>
      <c r="J9" s="44"/>
      <c r="K9" s="44" t="str">
        <f t="shared" si="0"/>
        <v/>
      </c>
      <c r="L9" s="15" t="str">
        <f t="shared" si="1"/>
        <v/>
      </c>
      <c r="M9" s="15">
        <v>3.0800000000000001E-2</v>
      </c>
      <c r="N9" s="122" t="str">
        <f t="shared" si="2"/>
        <v/>
      </c>
      <c r="O9" s="122" t="str">
        <f t="shared" si="3"/>
        <v/>
      </c>
      <c r="P9" s="123" t="str">
        <f t="shared" si="4"/>
        <v/>
      </c>
      <c r="Q9" s="124" t="str">
        <f t="shared" si="5"/>
        <v/>
      </c>
      <c r="R9" s="122">
        <v>0.4</v>
      </c>
      <c r="S9" s="15">
        <v>12</v>
      </c>
      <c r="T9" s="15">
        <v>0.25</v>
      </c>
      <c r="U9" s="125" t="str">
        <f t="shared" si="6"/>
        <v/>
      </c>
      <c r="V9" s="15" t="str">
        <f t="shared" si="7"/>
        <v/>
      </c>
      <c r="W9" s="15">
        <v>4380</v>
      </c>
      <c r="X9" s="126">
        <f t="shared" ref="X9:X15" si="11">$J$27</f>
        <v>0.9</v>
      </c>
      <c r="Y9" s="126" t="str">
        <f t="shared" si="8"/>
        <v/>
      </c>
      <c r="Z9" s="126" t="str">
        <f t="shared" si="9"/>
        <v/>
      </c>
      <c r="AA9" s="127" t="str">
        <f t="shared" ref="AA9:AA15" si="12">IFERROR(ROUND(IF(J9="", "", (AF9/W9)*X9),6), "")</f>
        <v/>
      </c>
      <c r="AB9" s="127" t="str">
        <f t="shared" ref="AB9:AB15" si="13">IFERROR(L9*M9*(1/O9-1/N9), "")</f>
        <v/>
      </c>
      <c r="AC9" s="127" t="str">
        <f t="shared" ref="AC9:AC15" si="14">IFERROR((P9*(1-R9)+R9*U9*G9*(M9/O9))*(S9-(L9/(U9*G9))), "")</f>
        <v/>
      </c>
      <c r="AD9" s="127" t="str">
        <f t="shared" ref="AD9:AD15" si="15">IFERROR((Q9*(1-R9)+R9*V9*G9*(M9/N9))*(S9-(L9/(V9*G9))), "")</f>
        <v/>
      </c>
      <c r="AE9" s="127" t="str">
        <f t="shared" ref="AE9:AE15" si="16">IFERROR(AC9-AD9, "")</f>
        <v/>
      </c>
      <c r="AF9" s="127" t="str">
        <f t="shared" ref="AF9:AF15" si="17">IFERROR(ROUND((AB9+AE9)*365,4), "")</f>
        <v/>
      </c>
      <c r="AG9" s="128" t="str">
        <f t="shared" si="10"/>
        <v/>
      </c>
      <c r="AH9" s="128">
        <f t="shared" ref="AH9:AH15" si="18">I9</f>
        <v>0</v>
      </c>
      <c r="AJ9" s="98"/>
    </row>
    <row r="10" spans="1:36" ht="21" customHeight="1">
      <c r="A10" s="41"/>
      <c r="B10" s="248">
        <v>3</v>
      </c>
      <c r="C10" s="248" t="s">
        <v>555</v>
      </c>
      <c r="D10" s="44"/>
      <c r="E10" s="44"/>
      <c r="F10" s="11"/>
      <c r="G10" s="44"/>
      <c r="H10" s="44"/>
      <c r="I10" s="44"/>
      <c r="J10" s="44"/>
      <c r="K10" s="44" t="str">
        <f t="shared" si="0"/>
        <v/>
      </c>
      <c r="L10" s="15" t="str">
        <f t="shared" si="1"/>
        <v/>
      </c>
      <c r="M10" s="15">
        <v>3.0800000000000001E-2</v>
      </c>
      <c r="N10" s="122" t="str">
        <f t="shared" si="2"/>
        <v/>
      </c>
      <c r="O10" s="122" t="str">
        <f t="shared" si="3"/>
        <v/>
      </c>
      <c r="P10" s="123" t="str">
        <f t="shared" si="4"/>
        <v/>
      </c>
      <c r="Q10" s="124" t="str">
        <f t="shared" si="5"/>
        <v/>
      </c>
      <c r="R10" s="122">
        <v>0.4</v>
      </c>
      <c r="S10" s="15">
        <v>12</v>
      </c>
      <c r="T10" s="15">
        <v>0.25</v>
      </c>
      <c r="U10" s="125" t="str">
        <f t="shared" si="6"/>
        <v/>
      </c>
      <c r="V10" s="15" t="str">
        <f t="shared" si="7"/>
        <v/>
      </c>
      <c r="W10" s="15">
        <v>4380</v>
      </c>
      <c r="X10" s="126">
        <f t="shared" si="11"/>
        <v>0.9</v>
      </c>
      <c r="Y10" s="126" t="str">
        <f t="shared" si="8"/>
        <v/>
      </c>
      <c r="Z10" s="126" t="str">
        <f t="shared" si="9"/>
        <v/>
      </c>
      <c r="AA10" s="127" t="str">
        <f t="shared" si="12"/>
        <v/>
      </c>
      <c r="AB10" s="127" t="str">
        <f t="shared" si="13"/>
        <v/>
      </c>
      <c r="AC10" s="127" t="str">
        <f t="shared" si="14"/>
        <v/>
      </c>
      <c r="AD10" s="127" t="str">
        <f t="shared" si="15"/>
        <v/>
      </c>
      <c r="AE10" s="127" t="str">
        <f t="shared" si="16"/>
        <v/>
      </c>
      <c r="AF10" s="127" t="str">
        <f t="shared" si="17"/>
        <v/>
      </c>
      <c r="AG10" s="128" t="str">
        <f t="shared" si="10"/>
        <v/>
      </c>
      <c r="AH10" s="128">
        <f t="shared" si="18"/>
        <v>0</v>
      </c>
      <c r="AJ10" s="98"/>
    </row>
    <row r="11" spans="1:36" ht="21" customHeight="1">
      <c r="A11" s="41"/>
      <c r="B11" s="248">
        <v>4</v>
      </c>
      <c r="C11" s="248" t="s">
        <v>555</v>
      </c>
      <c r="D11" s="44"/>
      <c r="E11" s="44"/>
      <c r="F11" s="11"/>
      <c r="G11" s="44"/>
      <c r="H11" s="44"/>
      <c r="I11" s="44"/>
      <c r="J11" s="44"/>
      <c r="K11" s="44" t="str">
        <f t="shared" si="0"/>
        <v/>
      </c>
      <c r="L11" s="15" t="str">
        <f t="shared" si="1"/>
        <v/>
      </c>
      <c r="M11" s="15">
        <v>3.0800000000000001E-2</v>
      </c>
      <c r="N11" s="122" t="str">
        <f t="shared" si="2"/>
        <v/>
      </c>
      <c r="O11" s="122" t="str">
        <f t="shared" si="3"/>
        <v/>
      </c>
      <c r="P11" s="123" t="str">
        <f t="shared" si="4"/>
        <v/>
      </c>
      <c r="Q11" s="124" t="str">
        <f t="shared" si="5"/>
        <v/>
      </c>
      <c r="R11" s="122">
        <v>0.4</v>
      </c>
      <c r="S11" s="15">
        <v>12</v>
      </c>
      <c r="T11" s="15">
        <v>0.25</v>
      </c>
      <c r="U11" s="125" t="str">
        <f t="shared" si="6"/>
        <v/>
      </c>
      <c r="V11" s="15" t="str">
        <f t="shared" si="7"/>
        <v/>
      </c>
      <c r="W11" s="15">
        <v>4380</v>
      </c>
      <c r="X11" s="126">
        <f t="shared" si="11"/>
        <v>0.9</v>
      </c>
      <c r="Y11" s="126" t="str">
        <f t="shared" si="8"/>
        <v/>
      </c>
      <c r="Z11" s="126" t="str">
        <f t="shared" si="9"/>
        <v/>
      </c>
      <c r="AA11" s="127" t="str">
        <f t="shared" si="12"/>
        <v/>
      </c>
      <c r="AB11" s="127" t="str">
        <f t="shared" si="13"/>
        <v/>
      </c>
      <c r="AC11" s="127" t="str">
        <f t="shared" si="14"/>
        <v/>
      </c>
      <c r="AD11" s="127" t="str">
        <f t="shared" si="15"/>
        <v/>
      </c>
      <c r="AE11" s="127" t="str">
        <f t="shared" si="16"/>
        <v/>
      </c>
      <c r="AF11" s="127" t="str">
        <f t="shared" si="17"/>
        <v/>
      </c>
      <c r="AG11" s="128" t="str">
        <f t="shared" si="10"/>
        <v/>
      </c>
      <c r="AH11" s="128">
        <f t="shared" si="18"/>
        <v>0</v>
      </c>
      <c r="AJ11" s="98"/>
    </row>
    <row r="12" spans="1:36" ht="21" customHeight="1">
      <c r="A12" s="41"/>
      <c r="B12" s="248">
        <v>5</v>
      </c>
      <c r="C12" s="248" t="s">
        <v>555</v>
      </c>
      <c r="D12" s="44"/>
      <c r="E12" s="44"/>
      <c r="F12" s="11"/>
      <c r="G12" s="44"/>
      <c r="H12" s="44"/>
      <c r="I12" s="44"/>
      <c r="J12" s="44"/>
      <c r="K12" s="44" t="str">
        <f t="shared" si="0"/>
        <v/>
      </c>
      <c r="L12" s="15" t="str">
        <f t="shared" si="1"/>
        <v/>
      </c>
      <c r="M12" s="15">
        <v>3.0800000000000001E-2</v>
      </c>
      <c r="N12" s="122" t="str">
        <f t="shared" si="2"/>
        <v/>
      </c>
      <c r="O12" s="122" t="str">
        <f t="shared" si="3"/>
        <v/>
      </c>
      <c r="P12" s="123" t="str">
        <f t="shared" si="4"/>
        <v/>
      </c>
      <c r="Q12" s="124" t="str">
        <f t="shared" si="5"/>
        <v/>
      </c>
      <c r="R12" s="122">
        <v>0.4</v>
      </c>
      <c r="S12" s="15">
        <v>12</v>
      </c>
      <c r="T12" s="15">
        <v>0.25</v>
      </c>
      <c r="U12" s="125" t="str">
        <f t="shared" si="6"/>
        <v/>
      </c>
      <c r="V12" s="15" t="str">
        <f t="shared" si="7"/>
        <v/>
      </c>
      <c r="W12" s="15">
        <v>4380</v>
      </c>
      <c r="X12" s="126">
        <f t="shared" si="11"/>
        <v>0.9</v>
      </c>
      <c r="Y12" s="126" t="str">
        <f t="shared" si="8"/>
        <v/>
      </c>
      <c r="Z12" s="126" t="str">
        <f t="shared" si="9"/>
        <v/>
      </c>
      <c r="AA12" s="127" t="str">
        <f t="shared" si="12"/>
        <v/>
      </c>
      <c r="AB12" s="127" t="str">
        <f t="shared" si="13"/>
        <v/>
      </c>
      <c r="AC12" s="127" t="str">
        <f t="shared" si="14"/>
        <v/>
      </c>
      <c r="AD12" s="127" t="str">
        <f t="shared" si="15"/>
        <v/>
      </c>
      <c r="AE12" s="127" t="str">
        <f t="shared" si="16"/>
        <v/>
      </c>
      <c r="AF12" s="127" t="str">
        <f t="shared" si="17"/>
        <v/>
      </c>
      <c r="AG12" s="128" t="str">
        <f t="shared" si="10"/>
        <v/>
      </c>
      <c r="AH12" s="128">
        <f t="shared" si="18"/>
        <v>0</v>
      </c>
      <c r="AJ12" s="98"/>
    </row>
    <row r="13" spans="1:36" ht="21" customHeight="1">
      <c r="A13" s="41"/>
      <c r="B13" s="248">
        <v>6</v>
      </c>
      <c r="C13" s="248" t="s">
        <v>555</v>
      </c>
      <c r="D13" s="44"/>
      <c r="E13" s="44"/>
      <c r="F13" s="11"/>
      <c r="G13" s="44"/>
      <c r="H13" s="44"/>
      <c r="I13" s="44"/>
      <c r="J13" s="44"/>
      <c r="K13" s="44" t="str">
        <f t="shared" si="0"/>
        <v/>
      </c>
      <c r="L13" s="15" t="str">
        <f t="shared" si="1"/>
        <v/>
      </c>
      <c r="M13" s="15">
        <v>3.0800000000000001E-2</v>
      </c>
      <c r="N13" s="122" t="str">
        <f t="shared" si="2"/>
        <v/>
      </c>
      <c r="O13" s="122" t="str">
        <f t="shared" si="3"/>
        <v/>
      </c>
      <c r="P13" s="123" t="str">
        <f t="shared" si="4"/>
        <v/>
      </c>
      <c r="Q13" s="124" t="str">
        <f t="shared" si="5"/>
        <v/>
      </c>
      <c r="R13" s="122">
        <v>0.4</v>
      </c>
      <c r="S13" s="15">
        <v>12</v>
      </c>
      <c r="T13" s="15">
        <v>0.25</v>
      </c>
      <c r="U13" s="125" t="str">
        <f t="shared" si="6"/>
        <v/>
      </c>
      <c r="V13" s="15" t="str">
        <f t="shared" si="7"/>
        <v/>
      </c>
      <c r="W13" s="15">
        <v>4380</v>
      </c>
      <c r="X13" s="126">
        <f t="shared" si="11"/>
        <v>0.9</v>
      </c>
      <c r="Y13" s="126" t="str">
        <f t="shared" si="8"/>
        <v/>
      </c>
      <c r="Z13" s="126" t="str">
        <f t="shared" si="9"/>
        <v/>
      </c>
      <c r="AA13" s="127" t="str">
        <f t="shared" si="12"/>
        <v/>
      </c>
      <c r="AB13" s="127" t="str">
        <f t="shared" si="13"/>
        <v/>
      </c>
      <c r="AC13" s="127" t="str">
        <f t="shared" si="14"/>
        <v/>
      </c>
      <c r="AD13" s="127" t="str">
        <f t="shared" si="15"/>
        <v/>
      </c>
      <c r="AE13" s="127" t="str">
        <f t="shared" si="16"/>
        <v/>
      </c>
      <c r="AF13" s="127" t="str">
        <f t="shared" si="17"/>
        <v/>
      </c>
      <c r="AG13" s="128" t="str">
        <f t="shared" si="10"/>
        <v/>
      </c>
      <c r="AH13" s="128">
        <f t="shared" si="18"/>
        <v>0</v>
      </c>
      <c r="AJ13" s="98"/>
    </row>
    <row r="14" spans="1:36" ht="21" customHeight="1">
      <c r="A14" s="41"/>
      <c r="B14" s="248">
        <v>7</v>
      </c>
      <c r="C14" s="248" t="s">
        <v>555</v>
      </c>
      <c r="D14" s="44"/>
      <c r="E14" s="44"/>
      <c r="F14" s="11"/>
      <c r="G14" s="44"/>
      <c r="H14" s="44"/>
      <c r="I14" s="44"/>
      <c r="J14" s="44"/>
      <c r="K14" s="44" t="str">
        <f t="shared" si="0"/>
        <v/>
      </c>
      <c r="L14" s="15" t="str">
        <f t="shared" si="1"/>
        <v/>
      </c>
      <c r="M14" s="15">
        <v>3.0800000000000001E-2</v>
      </c>
      <c r="N14" s="122" t="str">
        <f t="shared" si="2"/>
        <v/>
      </c>
      <c r="O14" s="122" t="str">
        <f t="shared" si="3"/>
        <v/>
      </c>
      <c r="P14" s="123" t="str">
        <f t="shared" si="4"/>
        <v/>
      </c>
      <c r="Q14" s="124" t="str">
        <f t="shared" si="5"/>
        <v/>
      </c>
      <c r="R14" s="122">
        <v>0.4</v>
      </c>
      <c r="S14" s="15">
        <v>12</v>
      </c>
      <c r="T14" s="15">
        <v>0.25</v>
      </c>
      <c r="U14" s="125" t="str">
        <f t="shared" si="6"/>
        <v/>
      </c>
      <c r="V14" s="15" t="str">
        <f t="shared" si="7"/>
        <v/>
      </c>
      <c r="W14" s="15">
        <v>4380</v>
      </c>
      <c r="X14" s="126">
        <f t="shared" si="11"/>
        <v>0.9</v>
      </c>
      <c r="Y14" s="126" t="str">
        <f t="shared" si="8"/>
        <v/>
      </c>
      <c r="Z14" s="126" t="str">
        <f t="shared" si="9"/>
        <v/>
      </c>
      <c r="AA14" s="127" t="str">
        <f t="shared" si="12"/>
        <v/>
      </c>
      <c r="AB14" s="127" t="str">
        <f t="shared" si="13"/>
        <v/>
      </c>
      <c r="AC14" s="127" t="str">
        <f t="shared" si="14"/>
        <v/>
      </c>
      <c r="AD14" s="127" t="str">
        <f t="shared" si="15"/>
        <v/>
      </c>
      <c r="AE14" s="127" t="str">
        <f t="shared" si="16"/>
        <v/>
      </c>
      <c r="AF14" s="127" t="str">
        <f t="shared" si="17"/>
        <v/>
      </c>
      <c r="AG14" s="128" t="str">
        <f t="shared" si="10"/>
        <v/>
      </c>
      <c r="AH14" s="128">
        <f t="shared" si="18"/>
        <v>0</v>
      </c>
      <c r="AJ14" s="98"/>
    </row>
    <row r="15" spans="1:36" ht="21" customHeight="1">
      <c r="A15" s="41"/>
      <c r="B15" s="248">
        <v>8</v>
      </c>
      <c r="C15" s="248" t="s">
        <v>555</v>
      </c>
      <c r="D15" s="44"/>
      <c r="E15" s="44"/>
      <c r="F15" s="11"/>
      <c r="G15" s="44"/>
      <c r="H15" s="44"/>
      <c r="I15" s="44"/>
      <c r="J15" s="44"/>
      <c r="K15" s="44" t="str">
        <f t="shared" si="0"/>
        <v/>
      </c>
      <c r="L15" s="15" t="str">
        <f t="shared" si="1"/>
        <v/>
      </c>
      <c r="M15" s="15">
        <v>3.0800000000000001E-2</v>
      </c>
      <c r="N15" s="122" t="str">
        <f t="shared" si="2"/>
        <v/>
      </c>
      <c r="O15" s="122" t="str">
        <f t="shared" si="3"/>
        <v/>
      </c>
      <c r="P15" s="123" t="str">
        <f t="shared" si="4"/>
        <v/>
      </c>
      <c r="Q15" s="124" t="str">
        <f t="shared" si="5"/>
        <v/>
      </c>
      <c r="R15" s="122">
        <v>0.4</v>
      </c>
      <c r="S15" s="15">
        <v>12</v>
      </c>
      <c r="T15" s="15">
        <v>0.25</v>
      </c>
      <c r="U15" s="125" t="str">
        <f t="shared" si="6"/>
        <v/>
      </c>
      <c r="V15" s="15" t="str">
        <f t="shared" si="7"/>
        <v/>
      </c>
      <c r="W15" s="15">
        <v>4380</v>
      </c>
      <c r="X15" s="126">
        <f t="shared" si="11"/>
        <v>0.9</v>
      </c>
      <c r="Y15" s="126" t="str">
        <f t="shared" si="8"/>
        <v/>
      </c>
      <c r="Z15" s="126" t="str">
        <f t="shared" si="9"/>
        <v/>
      </c>
      <c r="AA15" s="127" t="str">
        <f t="shared" si="12"/>
        <v/>
      </c>
      <c r="AB15" s="127" t="str">
        <f t="shared" si="13"/>
        <v/>
      </c>
      <c r="AC15" s="127" t="str">
        <f t="shared" si="14"/>
        <v/>
      </c>
      <c r="AD15" s="127" t="str">
        <f t="shared" si="15"/>
        <v/>
      </c>
      <c r="AE15" s="127" t="str">
        <f t="shared" si="16"/>
        <v/>
      </c>
      <c r="AF15" s="127" t="str">
        <f t="shared" si="17"/>
        <v/>
      </c>
      <c r="AG15" s="128" t="str">
        <f t="shared" si="10"/>
        <v/>
      </c>
      <c r="AH15" s="128">
        <f t="shared" si="18"/>
        <v>0</v>
      </c>
      <c r="AJ15" s="98"/>
    </row>
    <row r="16" spans="1:36" hidden="1">
      <c r="A16" s="28"/>
      <c r="AJ16" s="98"/>
    </row>
    <row r="17" spans="1:36" hidden="1">
      <c r="A17" s="28"/>
      <c r="AJ17" s="98"/>
    </row>
    <row r="18" spans="1:36" hidden="1">
      <c r="A18" s="28"/>
      <c r="D18" s="432" t="s">
        <v>501</v>
      </c>
      <c r="E18" s="432"/>
      <c r="F18" s="432"/>
      <c r="G18" s="432"/>
      <c r="H18" s="433" t="s">
        <v>556</v>
      </c>
      <c r="I18" s="434"/>
      <c r="J18" s="434"/>
      <c r="K18" s="434"/>
      <c r="L18" s="261" t="s">
        <v>557</v>
      </c>
      <c r="M18" s="261"/>
      <c r="N18" s="259"/>
      <c r="AJ18" s="98"/>
    </row>
    <row r="19" spans="1:36" ht="45" hidden="1">
      <c r="A19" s="28"/>
      <c r="C19" s="250" t="s">
        <v>480</v>
      </c>
      <c r="D19" s="250" t="s">
        <v>558</v>
      </c>
      <c r="E19" s="250" t="s">
        <v>559</v>
      </c>
      <c r="F19" s="250" t="s">
        <v>560</v>
      </c>
      <c r="G19" s="129" t="s">
        <v>561</v>
      </c>
      <c r="H19" s="250" t="s">
        <v>558</v>
      </c>
      <c r="I19" s="250" t="s">
        <v>559</v>
      </c>
      <c r="J19" s="250" t="s">
        <v>560</v>
      </c>
      <c r="K19" s="250" t="s">
        <v>562</v>
      </c>
      <c r="L19" s="250" t="s">
        <v>563</v>
      </c>
      <c r="M19" s="250" t="s">
        <v>564</v>
      </c>
      <c r="N19" s="250" t="s">
        <v>56</v>
      </c>
      <c r="O19" s="250" t="s">
        <v>565</v>
      </c>
      <c r="AJ19" s="98"/>
    </row>
    <row r="20" spans="1:36" hidden="1">
      <c r="A20" s="28"/>
      <c r="C20" s="6">
        <v>3</v>
      </c>
      <c r="D20" s="23">
        <v>1</v>
      </c>
      <c r="E20" s="193">
        <v>23.3</v>
      </c>
      <c r="F20" s="31">
        <v>100</v>
      </c>
      <c r="G20" s="194">
        <v>0.3</v>
      </c>
      <c r="H20" s="192">
        <v>0.4</v>
      </c>
      <c r="I20" s="193">
        <v>16.7</v>
      </c>
      <c r="J20" s="6">
        <v>100</v>
      </c>
      <c r="K20" s="191">
        <v>0.5</v>
      </c>
      <c r="L20" s="190">
        <v>1.95</v>
      </c>
      <c r="M20" s="190">
        <v>9504</v>
      </c>
      <c r="N20" s="83">
        <v>125</v>
      </c>
      <c r="O20" s="4" t="s">
        <v>566</v>
      </c>
      <c r="AJ20" s="98"/>
    </row>
    <row r="21" spans="1:36" hidden="1">
      <c r="A21" s="28"/>
      <c r="C21" s="6">
        <v>4</v>
      </c>
      <c r="D21" s="23">
        <v>1.325</v>
      </c>
      <c r="E21" s="193">
        <v>23.3</v>
      </c>
      <c r="F21" s="31">
        <v>128</v>
      </c>
      <c r="G21" s="194">
        <v>0.3</v>
      </c>
      <c r="H21" s="192">
        <v>0.53</v>
      </c>
      <c r="I21" s="193">
        <v>16.7</v>
      </c>
      <c r="J21" s="6">
        <v>128</v>
      </c>
      <c r="K21" s="191">
        <v>0.5</v>
      </c>
      <c r="L21" s="190">
        <v>2.59</v>
      </c>
      <c r="M21" s="190">
        <v>12619</v>
      </c>
      <c r="N21" s="83">
        <v>185</v>
      </c>
      <c r="O21" s="4" t="s">
        <v>566</v>
      </c>
      <c r="AJ21" s="98"/>
    </row>
    <row r="22" spans="1:36" hidden="1">
      <c r="A22" s="28"/>
      <c r="C22" s="6">
        <v>5</v>
      </c>
      <c r="D22" s="23">
        <v>1.675</v>
      </c>
      <c r="E22" s="193">
        <v>23.3</v>
      </c>
      <c r="F22" s="31">
        <v>160</v>
      </c>
      <c r="G22" s="194">
        <v>0.3</v>
      </c>
      <c r="H22" s="192">
        <v>0.67</v>
      </c>
      <c r="I22" s="193">
        <v>16.7</v>
      </c>
      <c r="J22" s="6">
        <v>160</v>
      </c>
      <c r="K22" s="191">
        <v>0.5</v>
      </c>
      <c r="L22" s="190">
        <v>3.25</v>
      </c>
      <c r="M22" s="190">
        <v>15801</v>
      </c>
      <c r="N22" s="83">
        <v>250</v>
      </c>
      <c r="O22" s="4" t="s">
        <v>566</v>
      </c>
      <c r="AJ22" s="98"/>
    </row>
    <row r="23" spans="1:36" hidden="1">
      <c r="A23" s="28"/>
      <c r="C23" s="6">
        <v>6</v>
      </c>
      <c r="D23" s="23">
        <v>2</v>
      </c>
      <c r="E23" s="193">
        <v>23.3</v>
      </c>
      <c r="F23" s="31">
        <v>192</v>
      </c>
      <c r="G23" s="194">
        <v>0.3</v>
      </c>
      <c r="H23" s="192">
        <v>0.8</v>
      </c>
      <c r="I23" s="193">
        <v>16.7</v>
      </c>
      <c r="J23" s="6">
        <v>192</v>
      </c>
      <c r="K23" s="191">
        <v>0.5</v>
      </c>
      <c r="L23" s="190">
        <v>3.89</v>
      </c>
      <c r="M23" s="190">
        <v>18497</v>
      </c>
      <c r="N23" s="83">
        <v>300</v>
      </c>
      <c r="O23" s="4" t="s">
        <v>566</v>
      </c>
      <c r="AJ23" s="98"/>
    </row>
    <row r="24" spans="1:36" hidden="1">
      <c r="A24" s="28"/>
      <c r="AJ24" s="98"/>
    </row>
    <row r="25" spans="1:36" hidden="1">
      <c r="A25" s="28"/>
      <c r="AJ25" s="98"/>
    </row>
    <row r="26" spans="1:36" hidden="1">
      <c r="A26" s="28"/>
      <c r="C26" s="14" t="s">
        <v>123</v>
      </c>
      <c r="D26" s="14" t="s">
        <v>124</v>
      </c>
      <c r="F26" s="297" t="s">
        <v>308</v>
      </c>
      <c r="G26" s="298"/>
      <c r="J26" s="14" t="s">
        <v>133</v>
      </c>
      <c r="K26" s="295"/>
      <c r="AJ26" s="98"/>
    </row>
    <row r="27" spans="1:36" hidden="1">
      <c r="A27" s="28"/>
      <c r="C27" s="19" t="s">
        <v>164</v>
      </c>
      <c r="D27" s="19" t="s">
        <v>164</v>
      </c>
      <c r="F27" s="5">
        <v>12</v>
      </c>
      <c r="G27" s="5" t="s">
        <v>458</v>
      </c>
      <c r="J27" s="19">
        <v>0.9</v>
      </c>
      <c r="K27" s="29"/>
      <c r="AJ27" s="98"/>
    </row>
    <row r="28" spans="1:36" hidden="1">
      <c r="A28" s="28"/>
      <c r="C28" s="19" t="s">
        <v>169</v>
      </c>
      <c r="D28" s="19" t="s">
        <v>170</v>
      </c>
      <c r="AJ28" s="98"/>
    </row>
    <row r="29" spans="1:36" s="97" customFormat="1">
      <c r="A29" s="98"/>
      <c r="B29" s="98"/>
      <c r="C29" s="98"/>
      <c r="D29" s="98"/>
      <c r="E29" s="98"/>
      <c r="F29" s="98"/>
      <c r="G29" s="98"/>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J29" s="98"/>
    </row>
    <row r="30" spans="1:36" s="97" customFormat="1">
      <c r="A30" s="98"/>
      <c r="B30" s="98"/>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J30" s="98"/>
    </row>
    <row r="31" spans="1:36" s="97" customFormat="1"/>
    <row r="32" spans="1:36" s="97" customFormat="1"/>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sheetData>
  <sheetProtection algorithmName="SHA-512" hashValue="xj/jPhIqIQw0iJTUq7GM7aEQ9cmTdoL4CW7j3/oKACgj/pJSEFJCk/e8Al5nO4N7GLJ06xVeKzsZeGjIFaGabg==" saltValue="QJLLbOaRGWWU3qeB0p6yxg==" spinCount="100000" sheet="1" selectLockedCells="1"/>
  <mergeCells count="5">
    <mergeCell ref="B2:AG2"/>
    <mergeCell ref="D3:G4"/>
    <mergeCell ref="B3:C3"/>
    <mergeCell ref="D18:G18"/>
    <mergeCell ref="H18:K18"/>
  </mergeCells>
  <dataValidations count="2">
    <dataValidation type="list" allowBlank="1" showInputMessage="1" showErrorMessage="1" sqref="G8:I15" xr:uid="{00000000-0002-0000-0C00-000000000000}">
      <formula1>$C$20:$C$23</formula1>
    </dataValidation>
    <dataValidation type="list" allowBlank="1" showInputMessage="1" showErrorMessage="1" sqref="D8:D15" xr:uid="{00000000-0002-0000-0C00-000001000000}">
      <formula1>$C$27:$C$28</formula1>
    </dataValidation>
  </dataValidations>
  <hyperlinks>
    <hyperlink ref="B3" location="'Calculator Index'!A1" display="Return to Index" xr:uid="{00000000-0004-0000-0C00-000000000000}"/>
    <hyperlink ref="B3:C3" location="'Project Summary'!A1" display="Return to Project Summary" xr:uid="{00000000-0004-0000-0C00-000001000000}"/>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FI1180"/>
  <sheetViews>
    <sheetView zoomScale="90" zoomScaleNormal="90" workbookViewId="0">
      <selection activeCell="B3" sqref="B3:C3"/>
    </sheetView>
  </sheetViews>
  <sheetFormatPr defaultColWidth="9.140625" defaultRowHeight="15"/>
  <cols>
    <col min="1" max="1" width="3.7109375" customWidth="1"/>
    <col min="2" max="2" width="5.85546875" customWidth="1"/>
    <col min="3" max="3" width="22.42578125" bestFit="1" customWidth="1"/>
    <col min="4" max="4" width="20.7109375" customWidth="1"/>
    <col min="5" max="5" width="25.7109375" customWidth="1"/>
    <col min="6" max="9" width="24.7109375" customWidth="1"/>
    <col min="10" max="10" width="24.7109375" hidden="1" customWidth="1"/>
    <col min="11" max="11" width="18.28515625" hidden="1" customWidth="1"/>
    <col min="12" max="12" width="15" hidden="1" customWidth="1"/>
    <col min="13" max="13" width="23.5703125" hidden="1" customWidth="1"/>
    <col min="14" max="14" width="11.42578125" hidden="1" customWidth="1"/>
    <col min="15" max="15" width="8.42578125" hidden="1" customWidth="1"/>
    <col min="16" max="16" width="10.140625" hidden="1" customWidth="1"/>
    <col min="17" max="17" width="10" hidden="1" customWidth="1"/>
    <col min="18" max="18" width="11.85546875" customWidth="1"/>
    <col min="19" max="20" width="12.42578125" hidden="1" customWidth="1"/>
    <col min="21" max="22" width="15.42578125" hidden="1" customWidth="1"/>
    <col min="23" max="23" width="16" hidden="1" customWidth="1"/>
    <col min="24" max="24" width="17.140625" customWidth="1"/>
    <col min="25" max="25" width="18" customWidth="1"/>
    <col min="26" max="26" width="14.140625" customWidth="1"/>
    <col min="27" max="28" width="14.140625" hidden="1" customWidth="1"/>
    <col min="29" max="29" width="32.140625" hidden="1" customWidth="1"/>
    <col min="30" max="30" width="7.7109375" style="97" customWidth="1"/>
    <col min="31" max="165" width="9.140625" style="97"/>
  </cols>
  <sheetData>
    <row r="1" spans="1:30" ht="19.5" customHeight="1">
      <c r="A1" s="41"/>
      <c r="B1" s="41"/>
      <c r="C1" s="41"/>
      <c r="D1" s="41"/>
      <c r="E1" s="41"/>
      <c r="F1" s="41"/>
      <c r="G1" s="41"/>
      <c r="H1" s="41"/>
      <c r="I1" s="41"/>
      <c r="J1" s="28"/>
      <c r="K1" s="28"/>
      <c r="L1" s="28"/>
      <c r="M1" s="28"/>
      <c r="N1" s="28"/>
      <c r="O1" s="28"/>
      <c r="P1" s="28"/>
      <c r="Q1" s="28"/>
      <c r="R1" s="41"/>
      <c r="S1" s="28"/>
      <c r="T1" s="28"/>
      <c r="U1" s="28"/>
      <c r="V1" s="28"/>
      <c r="W1" s="28"/>
      <c r="X1" s="41"/>
      <c r="Y1" s="41"/>
      <c r="Z1" s="41"/>
      <c r="AA1" s="41"/>
      <c r="AB1" s="28" t="s">
        <v>116</v>
      </c>
      <c r="AC1" s="28" t="s">
        <v>567</v>
      </c>
      <c r="AD1" s="98"/>
    </row>
    <row r="2" spans="1:30" ht="27" customHeight="1">
      <c r="A2" s="41"/>
      <c r="B2" s="418" t="s">
        <v>568</v>
      </c>
      <c r="C2" s="418"/>
      <c r="D2" s="418"/>
      <c r="E2" s="418"/>
      <c r="F2" s="418"/>
      <c r="G2" s="418"/>
      <c r="H2" s="418"/>
      <c r="I2" s="418"/>
      <c r="J2" s="418"/>
      <c r="K2" s="418"/>
      <c r="L2" s="418"/>
      <c r="M2" s="418"/>
      <c r="N2" s="418"/>
      <c r="O2" s="418"/>
      <c r="P2" s="418"/>
      <c r="Q2" s="418"/>
      <c r="R2" s="418"/>
      <c r="S2" s="418"/>
      <c r="T2" s="418"/>
      <c r="U2" s="418"/>
      <c r="V2" s="418"/>
      <c r="W2" s="418"/>
      <c r="X2" s="418"/>
      <c r="Y2" s="418"/>
      <c r="Z2" s="418"/>
      <c r="AA2" s="260"/>
      <c r="AB2" s="28"/>
      <c r="AC2" s="28"/>
      <c r="AD2" s="98"/>
    </row>
    <row r="3" spans="1:30" ht="23.25" customHeight="1">
      <c r="A3" s="41"/>
      <c r="B3" s="393" t="s">
        <v>569</v>
      </c>
      <c r="C3" s="394"/>
      <c r="D3" s="417" t="s">
        <v>570</v>
      </c>
      <c r="E3" s="417"/>
      <c r="F3" s="417"/>
      <c r="G3" s="296"/>
      <c r="H3" s="296"/>
      <c r="I3" s="41"/>
      <c r="J3" s="28"/>
      <c r="K3" s="130"/>
      <c r="L3" s="28"/>
      <c r="M3" s="28"/>
      <c r="N3" s="28"/>
      <c r="O3" s="28"/>
      <c r="P3" s="28"/>
      <c r="Q3" s="28"/>
      <c r="R3" s="41"/>
      <c r="S3" s="28"/>
      <c r="T3" s="28"/>
      <c r="U3" s="28"/>
      <c r="V3" s="28"/>
      <c r="W3" s="28"/>
      <c r="X3" s="41"/>
      <c r="Y3" s="41"/>
      <c r="Z3" s="41"/>
      <c r="AA3" s="41"/>
      <c r="AB3" s="28"/>
      <c r="AC3" s="28"/>
      <c r="AD3" s="98"/>
    </row>
    <row r="4" spans="1:30" ht="24.75" customHeight="1">
      <c r="A4" s="41"/>
      <c r="B4" s="41"/>
      <c r="C4" s="41"/>
      <c r="D4" s="401"/>
      <c r="E4" s="401"/>
      <c r="F4" s="401"/>
      <c r="G4" s="296"/>
      <c r="H4" s="296"/>
      <c r="I4" s="41"/>
      <c r="J4" s="28"/>
      <c r="K4" s="28"/>
      <c r="L4" s="28"/>
      <c r="M4" s="28"/>
      <c r="N4" s="28"/>
      <c r="O4" s="28"/>
      <c r="P4" s="28"/>
      <c r="Q4" s="28"/>
      <c r="R4" s="41"/>
      <c r="S4" s="28"/>
      <c r="T4" s="28"/>
      <c r="U4" s="28"/>
      <c r="V4" s="28"/>
      <c r="W4" s="28"/>
      <c r="X4" s="41"/>
      <c r="Y4" s="41"/>
      <c r="Z4" s="41"/>
      <c r="AA4" s="41"/>
      <c r="AB4" s="28"/>
      <c r="AC4" s="28"/>
      <c r="AD4" s="98"/>
    </row>
    <row r="5" spans="1:30" ht="12.75" customHeight="1">
      <c r="A5" s="41"/>
      <c r="B5" s="41"/>
      <c r="C5" s="41"/>
      <c r="D5" s="41"/>
      <c r="E5" s="41"/>
      <c r="F5" s="41"/>
      <c r="G5" s="41"/>
      <c r="H5" s="41"/>
      <c r="I5" s="41"/>
      <c r="J5" s="28"/>
      <c r="K5" s="28"/>
      <c r="L5" s="28"/>
      <c r="M5" s="28"/>
      <c r="N5" s="28"/>
      <c r="O5" s="28"/>
      <c r="P5" s="28"/>
      <c r="Q5" s="28"/>
      <c r="R5" s="41"/>
      <c r="S5" s="28"/>
      <c r="T5" s="28"/>
      <c r="U5" s="28"/>
      <c r="V5" s="28"/>
      <c r="W5" s="28"/>
      <c r="X5" s="41"/>
      <c r="Y5" s="41"/>
      <c r="Z5" s="41"/>
      <c r="AA5" s="41"/>
      <c r="AB5" s="28"/>
      <c r="AC5" s="28"/>
      <c r="AD5" s="98"/>
    </row>
    <row r="6" spans="1:30" ht="32.25" customHeight="1">
      <c r="A6" s="41"/>
      <c r="B6" s="180" t="s">
        <v>234</v>
      </c>
      <c r="C6" s="180" t="s">
        <v>122</v>
      </c>
      <c r="D6" s="180" t="s">
        <v>123</v>
      </c>
      <c r="E6" s="180" t="s">
        <v>126</v>
      </c>
      <c r="F6" s="180" t="s">
        <v>127</v>
      </c>
      <c r="G6" s="180" t="s">
        <v>235</v>
      </c>
      <c r="H6" s="180" t="s">
        <v>236</v>
      </c>
      <c r="I6" s="180" t="s">
        <v>571</v>
      </c>
      <c r="J6" s="180" t="s">
        <v>124</v>
      </c>
      <c r="K6" s="180" t="s">
        <v>572</v>
      </c>
      <c r="L6" s="180" t="s">
        <v>573</v>
      </c>
      <c r="M6" s="180" t="s">
        <v>574</v>
      </c>
      <c r="N6" s="180" t="s">
        <v>575</v>
      </c>
      <c r="O6" s="180" t="s">
        <v>576</v>
      </c>
      <c r="P6" s="180" t="s">
        <v>133</v>
      </c>
      <c r="Q6" s="180" t="s">
        <v>387</v>
      </c>
      <c r="R6" s="180" t="s">
        <v>53</v>
      </c>
      <c r="S6" s="180" t="s">
        <v>577</v>
      </c>
      <c r="T6" s="180" t="s">
        <v>578</v>
      </c>
      <c r="U6" s="180" t="s">
        <v>554</v>
      </c>
      <c r="V6" s="180" t="s">
        <v>255</v>
      </c>
      <c r="W6" s="180" t="s">
        <v>549</v>
      </c>
      <c r="X6" s="180" t="s">
        <v>424</v>
      </c>
      <c r="Y6" s="180" t="s">
        <v>136</v>
      </c>
      <c r="Z6" s="180" t="s">
        <v>56</v>
      </c>
      <c r="AA6" s="181" t="s">
        <v>137</v>
      </c>
      <c r="AB6" s="181" t="s">
        <v>257</v>
      </c>
      <c r="AC6" s="181" t="s">
        <v>78</v>
      </c>
      <c r="AD6" s="98"/>
    </row>
    <row r="7" spans="1:30" ht="26.25" hidden="1" customHeight="1">
      <c r="A7" s="41"/>
      <c r="B7" s="273" t="s">
        <v>140</v>
      </c>
      <c r="C7" s="273"/>
      <c r="D7" s="273" t="s">
        <v>141</v>
      </c>
      <c r="E7" s="273" t="s">
        <v>144</v>
      </c>
      <c r="F7" s="273" t="s">
        <v>145</v>
      </c>
      <c r="G7" s="273" t="s">
        <v>258</v>
      </c>
      <c r="H7" s="273" t="s">
        <v>143</v>
      </c>
      <c r="I7" s="273" t="s">
        <v>579</v>
      </c>
      <c r="J7" s="273" t="s">
        <v>142</v>
      </c>
      <c r="K7" s="273"/>
      <c r="L7" s="273"/>
      <c r="M7" s="273"/>
      <c r="N7" s="273"/>
      <c r="O7" s="273"/>
      <c r="P7" s="273"/>
      <c r="Q7" s="273"/>
      <c r="R7" s="273" t="s">
        <v>53</v>
      </c>
      <c r="S7" s="273"/>
      <c r="T7" s="273"/>
      <c r="U7" s="273"/>
      <c r="V7" s="273" t="s">
        <v>148</v>
      </c>
      <c r="W7" s="273"/>
      <c r="X7" s="273" t="s">
        <v>149</v>
      </c>
      <c r="Y7" s="273" t="s">
        <v>150</v>
      </c>
      <c r="Z7" s="273" t="s">
        <v>151</v>
      </c>
      <c r="AA7" s="273" t="s">
        <v>152</v>
      </c>
      <c r="AB7" s="273" t="s">
        <v>154</v>
      </c>
      <c r="AC7" s="273" t="s">
        <v>153</v>
      </c>
      <c r="AD7" s="98"/>
    </row>
    <row r="8" spans="1:30" ht="18.75" customHeight="1">
      <c r="A8" s="41"/>
      <c r="B8" s="248">
        <v>1</v>
      </c>
      <c r="C8" s="248" t="s">
        <v>580</v>
      </c>
      <c r="D8" s="52"/>
      <c r="E8" s="44"/>
      <c r="F8" s="11"/>
      <c r="G8" s="11"/>
      <c r="H8" s="11"/>
      <c r="I8" s="11"/>
      <c r="J8" s="209" t="str">
        <f>IF(D8=$C$28,$D$28,IF(D8=$C$29,$D$29,""))</f>
        <v/>
      </c>
      <c r="K8" s="209" t="str">
        <f t="shared" ref="K8:K15" si="0">IF(I8="", "", IF(I8=$F$28, $D$19, $J$19))</f>
        <v/>
      </c>
      <c r="L8" s="18">
        <v>15</v>
      </c>
      <c r="M8" s="142">
        <v>0.16700000000000001</v>
      </c>
      <c r="N8" s="114">
        <v>150</v>
      </c>
      <c r="O8" s="114">
        <v>365</v>
      </c>
      <c r="P8" s="107">
        <f>$I$28</f>
        <v>0.9</v>
      </c>
      <c r="Q8" s="114" t="str">
        <f>IF(K8="", "", O8*K8)</f>
        <v/>
      </c>
      <c r="R8" s="52"/>
      <c r="S8" s="207" t="str">
        <f t="shared" ref="S8:S15" si="1">IF($R8="", "", IF($I8=$F$28, $R8*$O8*(($N8*$M8/$D$21)+($D$20*($K8-($N8/$D$22)))), $R8*$O8*(($N8*$M8/$J$21)+($J$20*($K8-($N8/$J$22))))))</f>
        <v/>
      </c>
      <c r="T8" s="207" t="str">
        <f t="shared" ref="T8:T15" si="2">IF($R8="", "", IF($I8=$C$17, $R8*$O8*(($N8*$M8/$E$21)+($E$20*($K8-($N8/$E$22)))), $R8*$O8*(($N8*$M8/$K$21)+($K$20*($K8-($N8/$K$22))))))</f>
        <v/>
      </c>
      <c r="U8" s="131" t="str">
        <f t="shared" ref="U8:U15" si="3">IFERROR(S8-T8,"")</f>
        <v/>
      </c>
      <c r="V8" s="131" t="str">
        <f>IFERROR(ROUND(IF(U8="", "", (U8/(K8*O8))*R8),6),"")</f>
        <v/>
      </c>
      <c r="W8" s="131" t="str">
        <f>IF(U8="", "", U8/(K8*O8)*P8)</f>
        <v/>
      </c>
      <c r="X8" s="108" t="str">
        <f>IFERROR(ROUND(IF($R8="","",$R8*$W8),6),"")</f>
        <v/>
      </c>
      <c r="Y8" s="108" t="str">
        <f>IFERROR(ROUND(IF($R8="","",$R8*$U8),4),"")</f>
        <v/>
      </c>
      <c r="Z8" s="132" t="str">
        <f>IF(R8="", "", $C$25*R8)</f>
        <v/>
      </c>
      <c r="AA8" s="132">
        <f t="shared" ref="AA8:AA15" si="4">H8</f>
        <v>0</v>
      </c>
      <c r="AB8" s="132" t="str">
        <f>IF(Y8&gt;0,"Yes","No")</f>
        <v>Yes</v>
      </c>
      <c r="AC8" s="59" t="s">
        <v>581</v>
      </c>
      <c r="AD8" s="98"/>
    </row>
    <row r="9" spans="1:30" ht="18.75" customHeight="1">
      <c r="A9" s="41"/>
      <c r="B9" s="248">
        <v>2</v>
      </c>
      <c r="C9" s="248" t="s">
        <v>580</v>
      </c>
      <c r="D9" s="52"/>
      <c r="E9" s="44"/>
      <c r="F9" s="11"/>
      <c r="G9" s="11"/>
      <c r="H9" s="11"/>
      <c r="I9" s="11"/>
      <c r="J9" s="209" t="str">
        <f t="shared" ref="J9:J15" si="5">IF(D9=$C$28,$D$28,IF(D9=$C$29,$D$29,""))</f>
        <v/>
      </c>
      <c r="K9" s="209" t="str">
        <f t="shared" si="0"/>
        <v/>
      </c>
      <c r="L9" s="18">
        <v>15</v>
      </c>
      <c r="M9" s="142">
        <v>0.16700000000000001</v>
      </c>
      <c r="N9" s="114">
        <v>150</v>
      </c>
      <c r="O9" s="114">
        <v>365</v>
      </c>
      <c r="P9" s="107">
        <f t="shared" ref="P9:P15" si="6">$I$28</f>
        <v>0.9</v>
      </c>
      <c r="Q9" s="114" t="str">
        <f t="shared" ref="Q9:Q15" si="7">IF(K9="", "", O9*K9)</f>
        <v/>
      </c>
      <c r="R9" s="52"/>
      <c r="S9" s="207" t="str">
        <f t="shared" si="1"/>
        <v/>
      </c>
      <c r="T9" s="207" t="str">
        <f t="shared" si="2"/>
        <v/>
      </c>
      <c r="U9" s="131" t="str">
        <f t="shared" si="3"/>
        <v/>
      </c>
      <c r="V9" s="131" t="str">
        <f t="shared" ref="V9:V15" si="8">IFERROR(ROUND(IF(U9="", "", (U9/(K9*O9))*R9),6),"")</f>
        <v/>
      </c>
      <c r="W9" s="131" t="str">
        <f t="shared" ref="W9:W15" si="9">IF(U9="", "", U9/(K9*O9)*P9)</f>
        <v/>
      </c>
      <c r="X9" s="108" t="str">
        <f t="shared" ref="X9:X15" si="10">IFERROR(ROUND(IF($R9="","",$R9*$W9),6),"")</f>
        <v/>
      </c>
      <c r="Y9" s="108" t="str">
        <f t="shared" ref="Y9:Y15" si="11">IFERROR(ROUND(IF($R9="","",$R9*$U9),4),"")</f>
        <v/>
      </c>
      <c r="Z9" s="132" t="str">
        <f t="shared" ref="Z9:Z15" si="12">IF(R9="", "", $C$25*R9)</f>
        <v/>
      </c>
      <c r="AA9" s="132">
        <f t="shared" si="4"/>
        <v>0</v>
      </c>
      <c r="AB9" s="132" t="str">
        <f t="shared" ref="AB9:AB15" si="13">IF(Y9&gt;0,"Yes","No")</f>
        <v>Yes</v>
      </c>
      <c r="AC9" s="59" t="s">
        <v>581</v>
      </c>
      <c r="AD9" s="98"/>
    </row>
    <row r="10" spans="1:30" ht="18.75" customHeight="1">
      <c r="A10" s="41"/>
      <c r="B10" s="248">
        <v>3</v>
      </c>
      <c r="C10" s="248" t="s">
        <v>580</v>
      </c>
      <c r="D10" s="52"/>
      <c r="E10" s="44"/>
      <c r="F10" s="11"/>
      <c r="G10" s="11"/>
      <c r="H10" s="11"/>
      <c r="I10" s="11"/>
      <c r="J10" s="209" t="str">
        <f t="shared" si="5"/>
        <v/>
      </c>
      <c r="K10" s="209" t="str">
        <f t="shared" si="0"/>
        <v/>
      </c>
      <c r="L10" s="18">
        <v>15</v>
      </c>
      <c r="M10" s="142">
        <v>0.16700000000000001</v>
      </c>
      <c r="N10" s="114">
        <v>150</v>
      </c>
      <c r="O10" s="114">
        <v>365</v>
      </c>
      <c r="P10" s="107">
        <f t="shared" si="6"/>
        <v>0.9</v>
      </c>
      <c r="Q10" s="114" t="str">
        <f t="shared" si="7"/>
        <v/>
      </c>
      <c r="R10" s="52"/>
      <c r="S10" s="115" t="str">
        <f t="shared" si="1"/>
        <v/>
      </c>
      <c r="T10" s="115" t="str">
        <f t="shared" si="2"/>
        <v/>
      </c>
      <c r="U10" s="131" t="str">
        <f t="shared" si="3"/>
        <v/>
      </c>
      <c r="V10" s="131" t="str">
        <f t="shared" si="8"/>
        <v/>
      </c>
      <c r="W10" s="131" t="str">
        <f t="shared" si="9"/>
        <v/>
      </c>
      <c r="X10" s="108" t="str">
        <f t="shared" si="10"/>
        <v/>
      </c>
      <c r="Y10" s="108" t="str">
        <f t="shared" si="11"/>
        <v/>
      </c>
      <c r="Z10" s="132" t="str">
        <f t="shared" si="12"/>
        <v/>
      </c>
      <c r="AA10" s="132">
        <f t="shared" si="4"/>
        <v>0</v>
      </c>
      <c r="AB10" s="132" t="str">
        <f t="shared" si="13"/>
        <v>Yes</v>
      </c>
      <c r="AC10" s="59" t="s">
        <v>581</v>
      </c>
      <c r="AD10" s="98"/>
    </row>
    <row r="11" spans="1:30" ht="18.75" customHeight="1">
      <c r="A11" s="41"/>
      <c r="B11" s="248">
        <v>4</v>
      </c>
      <c r="C11" s="248" t="s">
        <v>580</v>
      </c>
      <c r="D11" s="52"/>
      <c r="E11" s="44"/>
      <c r="F11" s="11"/>
      <c r="G11" s="11"/>
      <c r="H11" s="11"/>
      <c r="I11" s="11"/>
      <c r="J11" s="209" t="str">
        <f t="shared" si="5"/>
        <v/>
      </c>
      <c r="K11" s="209" t="str">
        <f t="shared" si="0"/>
        <v/>
      </c>
      <c r="L11" s="18">
        <v>15</v>
      </c>
      <c r="M11" s="142">
        <v>0.16700000000000001</v>
      </c>
      <c r="N11" s="114">
        <v>150</v>
      </c>
      <c r="O11" s="114">
        <v>365</v>
      </c>
      <c r="P11" s="107">
        <f t="shared" si="6"/>
        <v>0.9</v>
      </c>
      <c r="Q11" s="114" t="str">
        <f t="shared" si="7"/>
        <v/>
      </c>
      <c r="R11" s="52"/>
      <c r="S11" s="115" t="str">
        <f t="shared" si="1"/>
        <v/>
      </c>
      <c r="T11" s="115" t="str">
        <f t="shared" si="2"/>
        <v/>
      </c>
      <c r="U11" s="131" t="str">
        <f t="shared" si="3"/>
        <v/>
      </c>
      <c r="V11" s="131" t="str">
        <f t="shared" si="8"/>
        <v/>
      </c>
      <c r="W11" s="131" t="str">
        <f t="shared" si="9"/>
        <v/>
      </c>
      <c r="X11" s="108" t="str">
        <f t="shared" si="10"/>
        <v/>
      </c>
      <c r="Y11" s="108" t="str">
        <f t="shared" si="11"/>
        <v/>
      </c>
      <c r="Z11" s="132" t="str">
        <f t="shared" si="12"/>
        <v/>
      </c>
      <c r="AA11" s="132">
        <f t="shared" si="4"/>
        <v>0</v>
      </c>
      <c r="AB11" s="132" t="str">
        <f t="shared" si="13"/>
        <v>Yes</v>
      </c>
      <c r="AC11" s="59" t="s">
        <v>581</v>
      </c>
      <c r="AD11" s="98"/>
    </row>
    <row r="12" spans="1:30" ht="18.75" customHeight="1">
      <c r="A12" s="41"/>
      <c r="B12" s="248">
        <v>5</v>
      </c>
      <c r="C12" s="248" t="s">
        <v>580</v>
      </c>
      <c r="D12" s="52"/>
      <c r="E12" s="44"/>
      <c r="F12" s="11"/>
      <c r="G12" s="11"/>
      <c r="H12" s="11"/>
      <c r="I12" s="11"/>
      <c r="J12" s="209" t="str">
        <f t="shared" si="5"/>
        <v/>
      </c>
      <c r="K12" s="209" t="str">
        <f t="shared" si="0"/>
        <v/>
      </c>
      <c r="L12" s="18">
        <v>15</v>
      </c>
      <c r="M12" s="142">
        <v>0.16700000000000001</v>
      </c>
      <c r="N12" s="114">
        <v>150</v>
      </c>
      <c r="O12" s="114">
        <v>365</v>
      </c>
      <c r="P12" s="107">
        <f t="shared" si="6"/>
        <v>0.9</v>
      </c>
      <c r="Q12" s="114" t="str">
        <f t="shared" si="7"/>
        <v/>
      </c>
      <c r="R12" s="52"/>
      <c r="S12" s="115" t="str">
        <f t="shared" si="1"/>
        <v/>
      </c>
      <c r="T12" s="115" t="str">
        <f t="shared" si="2"/>
        <v/>
      </c>
      <c r="U12" s="131" t="str">
        <f t="shared" si="3"/>
        <v/>
      </c>
      <c r="V12" s="131" t="str">
        <f t="shared" si="8"/>
        <v/>
      </c>
      <c r="W12" s="131" t="str">
        <f t="shared" si="9"/>
        <v/>
      </c>
      <c r="X12" s="108" t="str">
        <f t="shared" si="10"/>
        <v/>
      </c>
      <c r="Y12" s="108" t="str">
        <f t="shared" si="11"/>
        <v/>
      </c>
      <c r="Z12" s="132" t="str">
        <f t="shared" si="12"/>
        <v/>
      </c>
      <c r="AA12" s="132">
        <f t="shared" si="4"/>
        <v>0</v>
      </c>
      <c r="AB12" s="132" t="str">
        <f t="shared" si="13"/>
        <v>Yes</v>
      </c>
      <c r="AC12" s="59" t="s">
        <v>581</v>
      </c>
      <c r="AD12" s="98"/>
    </row>
    <row r="13" spans="1:30" ht="18.75" customHeight="1">
      <c r="A13" s="41"/>
      <c r="B13" s="248">
        <v>6</v>
      </c>
      <c r="C13" s="248" t="s">
        <v>580</v>
      </c>
      <c r="D13" s="52"/>
      <c r="E13" s="44"/>
      <c r="F13" s="11"/>
      <c r="G13" s="11"/>
      <c r="H13" s="11"/>
      <c r="I13" s="11"/>
      <c r="J13" s="209" t="str">
        <f t="shared" si="5"/>
        <v/>
      </c>
      <c r="K13" s="209" t="str">
        <f t="shared" si="0"/>
        <v/>
      </c>
      <c r="L13" s="18">
        <v>15</v>
      </c>
      <c r="M13" s="142">
        <v>0.16700000000000001</v>
      </c>
      <c r="N13" s="114">
        <v>150</v>
      </c>
      <c r="O13" s="114">
        <v>365</v>
      </c>
      <c r="P13" s="107">
        <f t="shared" si="6"/>
        <v>0.9</v>
      </c>
      <c r="Q13" s="114" t="str">
        <f t="shared" si="7"/>
        <v/>
      </c>
      <c r="R13" s="52"/>
      <c r="S13" s="115" t="str">
        <f t="shared" si="1"/>
        <v/>
      </c>
      <c r="T13" s="115" t="str">
        <f t="shared" si="2"/>
        <v/>
      </c>
      <c r="U13" s="131" t="str">
        <f t="shared" si="3"/>
        <v/>
      </c>
      <c r="V13" s="131" t="str">
        <f t="shared" si="8"/>
        <v/>
      </c>
      <c r="W13" s="131" t="str">
        <f t="shared" si="9"/>
        <v/>
      </c>
      <c r="X13" s="108" t="str">
        <f t="shared" si="10"/>
        <v/>
      </c>
      <c r="Y13" s="108" t="str">
        <f t="shared" si="11"/>
        <v/>
      </c>
      <c r="Z13" s="132" t="str">
        <f t="shared" si="12"/>
        <v/>
      </c>
      <c r="AA13" s="132">
        <f t="shared" si="4"/>
        <v>0</v>
      </c>
      <c r="AB13" s="132" t="str">
        <f t="shared" si="13"/>
        <v>Yes</v>
      </c>
      <c r="AC13" s="59" t="s">
        <v>581</v>
      </c>
      <c r="AD13" s="98"/>
    </row>
    <row r="14" spans="1:30" ht="18.75" customHeight="1">
      <c r="A14" s="41"/>
      <c r="B14" s="248">
        <v>7</v>
      </c>
      <c r="C14" s="248" t="s">
        <v>580</v>
      </c>
      <c r="D14" s="52"/>
      <c r="E14" s="44"/>
      <c r="F14" s="11"/>
      <c r="G14" s="11"/>
      <c r="H14" s="11"/>
      <c r="I14" s="11"/>
      <c r="J14" s="209" t="str">
        <f t="shared" si="5"/>
        <v/>
      </c>
      <c r="K14" s="209" t="str">
        <f t="shared" si="0"/>
        <v/>
      </c>
      <c r="L14" s="18">
        <v>15</v>
      </c>
      <c r="M14" s="142">
        <v>0.16700000000000001</v>
      </c>
      <c r="N14" s="114">
        <v>150</v>
      </c>
      <c r="O14" s="114">
        <v>365</v>
      </c>
      <c r="P14" s="107">
        <f t="shared" si="6"/>
        <v>0.9</v>
      </c>
      <c r="Q14" s="114" t="str">
        <f t="shared" si="7"/>
        <v/>
      </c>
      <c r="R14" s="52"/>
      <c r="S14" s="115" t="str">
        <f t="shared" si="1"/>
        <v/>
      </c>
      <c r="T14" s="115" t="str">
        <f t="shared" si="2"/>
        <v/>
      </c>
      <c r="U14" s="131" t="str">
        <f t="shared" si="3"/>
        <v/>
      </c>
      <c r="V14" s="131" t="str">
        <f t="shared" si="8"/>
        <v/>
      </c>
      <c r="W14" s="131" t="str">
        <f t="shared" si="9"/>
        <v/>
      </c>
      <c r="X14" s="108" t="str">
        <f t="shared" si="10"/>
        <v/>
      </c>
      <c r="Y14" s="108" t="str">
        <f t="shared" si="11"/>
        <v/>
      </c>
      <c r="Z14" s="132" t="str">
        <f t="shared" si="12"/>
        <v/>
      </c>
      <c r="AA14" s="132">
        <f t="shared" si="4"/>
        <v>0</v>
      </c>
      <c r="AB14" s="132" t="str">
        <f t="shared" si="13"/>
        <v>Yes</v>
      </c>
      <c r="AC14" s="59" t="s">
        <v>581</v>
      </c>
      <c r="AD14" s="98"/>
    </row>
    <row r="15" spans="1:30" ht="18.75" customHeight="1">
      <c r="A15" s="41"/>
      <c r="B15" s="248">
        <v>8</v>
      </c>
      <c r="C15" s="248" t="s">
        <v>580</v>
      </c>
      <c r="D15" s="52"/>
      <c r="E15" s="44"/>
      <c r="F15" s="11"/>
      <c r="G15" s="11"/>
      <c r="H15" s="11"/>
      <c r="I15" s="11"/>
      <c r="J15" s="209" t="str">
        <f t="shared" si="5"/>
        <v/>
      </c>
      <c r="K15" s="209" t="str">
        <f t="shared" si="0"/>
        <v/>
      </c>
      <c r="L15" s="18">
        <v>15</v>
      </c>
      <c r="M15" s="142">
        <v>0.16700000000000001</v>
      </c>
      <c r="N15" s="114">
        <v>150</v>
      </c>
      <c r="O15" s="114">
        <v>365</v>
      </c>
      <c r="P15" s="107">
        <f t="shared" si="6"/>
        <v>0.9</v>
      </c>
      <c r="Q15" s="114" t="str">
        <f t="shared" si="7"/>
        <v/>
      </c>
      <c r="R15" s="52"/>
      <c r="S15" s="115" t="str">
        <f t="shared" si="1"/>
        <v/>
      </c>
      <c r="T15" s="115" t="str">
        <f t="shared" si="2"/>
        <v/>
      </c>
      <c r="U15" s="131" t="str">
        <f t="shared" si="3"/>
        <v/>
      </c>
      <c r="V15" s="131" t="str">
        <f t="shared" si="8"/>
        <v/>
      </c>
      <c r="W15" s="131" t="str">
        <f t="shared" si="9"/>
        <v/>
      </c>
      <c r="X15" s="108" t="str">
        <f t="shared" si="10"/>
        <v/>
      </c>
      <c r="Y15" s="108" t="str">
        <f t="shared" si="11"/>
        <v/>
      </c>
      <c r="Z15" s="132" t="str">
        <f t="shared" si="12"/>
        <v/>
      </c>
      <c r="AA15" s="132">
        <f t="shared" si="4"/>
        <v>0</v>
      </c>
      <c r="AB15" s="132" t="str">
        <f t="shared" si="13"/>
        <v>Yes</v>
      </c>
      <c r="AC15" s="59" t="s">
        <v>581</v>
      </c>
      <c r="AD15" s="98"/>
    </row>
    <row r="16" spans="1:30" hidden="1">
      <c r="A16" s="28"/>
      <c r="AD16" s="98"/>
    </row>
    <row r="17" spans="1:30" hidden="1">
      <c r="A17" s="28"/>
      <c r="C17" s="199" t="s">
        <v>582</v>
      </c>
      <c r="I17" s="199" t="s">
        <v>583</v>
      </c>
      <c r="J17" s="199"/>
      <c r="AD17" s="98"/>
    </row>
    <row r="18" spans="1:30" ht="30" hidden="1">
      <c r="A18" s="28"/>
      <c r="C18" s="250" t="s">
        <v>584</v>
      </c>
      <c r="D18" s="250" t="s">
        <v>501</v>
      </c>
      <c r="E18" s="250" t="s">
        <v>502</v>
      </c>
      <c r="I18" s="198" t="s">
        <v>584</v>
      </c>
      <c r="J18" s="198" t="s">
        <v>501</v>
      </c>
      <c r="K18" s="198" t="s">
        <v>502</v>
      </c>
      <c r="AD18" s="98"/>
    </row>
    <row r="19" spans="1:30" hidden="1">
      <c r="A19" s="28"/>
      <c r="C19" s="200" t="s">
        <v>585</v>
      </c>
      <c r="D19" s="200">
        <v>16</v>
      </c>
      <c r="E19" s="200">
        <v>16</v>
      </c>
      <c r="F19" s="201"/>
      <c r="G19" s="201"/>
      <c r="H19" s="201"/>
      <c r="I19" s="200" t="s">
        <v>585</v>
      </c>
      <c r="J19" s="200">
        <v>12</v>
      </c>
      <c r="K19" s="200">
        <v>12</v>
      </c>
      <c r="AD19" s="98"/>
    </row>
    <row r="20" spans="1:30" hidden="1">
      <c r="A20" s="28"/>
      <c r="C20" s="133" t="s">
        <v>586</v>
      </c>
      <c r="D20" s="4">
        <v>1.05</v>
      </c>
      <c r="E20" s="174">
        <v>0.8</v>
      </c>
      <c r="I20" s="195" t="s">
        <v>586</v>
      </c>
      <c r="J20" s="196">
        <v>1.35</v>
      </c>
      <c r="K20" s="196">
        <v>1.1000000000000001</v>
      </c>
      <c r="AD20" s="98"/>
    </row>
    <row r="21" spans="1:30" hidden="1">
      <c r="A21" s="28"/>
      <c r="C21" s="8" t="s">
        <v>515</v>
      </c>
      <c r="D21" s="134">
        <v>0.75</v>
      </c>
      <c r="E21" s="175">
        <v>0.83</v>
      </c>
      <c r="I21" s="195" t="s">
        <v>515</v>
      </c>
      <c r="J21" s="197">
        <v>0.7</v>
      </c>
      <c r="K21" s="197">
        <v>0.8</v>
      </c>
      <c r="AD21" s="98"/>
    </row>
    <row r="22" spans="1:30" hidden="1">
      <c r="A22" s="28"/>
      <c r="C22" s="8" t="s">
        <v>587</v>
      </c>
      <c r="D22" s="4">
        <v>65</v>
      </c>
      <c r="E22" s="4">
        <v>70</v>
      </c>
      <c r="I22" s="195" t="s">
        <v>587</v>
      </c>
      <c r="J22" s="196">
        <v>100</v>
      </c>
      <c r="K22" s="196">
        <v>110</v>
      </c>
      <c r="AD22" s="98"/>
    </row>
    <row r="23" spans="1:30" hidden="1">
      <c r="A23" s="28"/>
      <c r="D23" s="135"/>
      <c r="AD23" s="98"/>
    </row>
    <row r="24" spans="1:30" hidden="1">
      <c r="A24" s="28"/>
      <c r="C24" s="251" t="s">
        <v>56</v>
      </c>
      <c r="AD24" s="98"/>
    </row>
    <row r="25" spans="1:30" hidden="1">
      <c r="A25" s="28"/>
      <c r="C25" s="83">
        <v>150</v>
      </c>
      <c r="D25" s="4" t="s">
        <v>588</v>
      </c>
      <c r="AD25" s="98"/>
    </row>
    <row r="26" spans="1:30" hidden="1">
      <c r="A26" s="28"/>
      <c r="AD26" s="98"/>
    </row>
    <row r="27" spans="1:30" hidden="1">
      <c r="A27" s="28"/>
      <c r="C27" s="14" t="s">
        <v>123</v>
      </c>
      <c r="D27" s="14" t="s">
        <v>124</v>
      </c>
      <c r="F27" s="202" t="s">
        <v>571</v>
      </c>
      <c r="I27" s="202" t="s">
        <v>133</v>
      </c>
      <c r="J27" s="300"/>
      <c r="AD27" s="98"/>
    </row>
    <row r="28" spans="1:30" hidden="1">
      <c r="A28" s="28"/>
      <c r="C28" s="19" t="s">
        <v>164</v>
      </c>
      <c r="D28" s="19" t="s">
        <v>164</v>
      </c>
      <c r="F28" s="203" t="s">
        <v>582</v>
      </c>
      <c r="I28" s="203">
        <v>0.9</v>
      </c>
      <c r="J28" s="301"/>
      <c r="AD28" s="98"/>
    </row>
    <row r="29" spans="1:30" hidden="1">
      <c r="A29" s="28"/>
      <c r="C29" s="19" t="s">
        <v>169</v>
      </c>
      <c r="D29" s="19" t="s">
        <v>170</v>
      </c>
      <c r="F29" s="203" t="s">
        <v>583</v>
      </c>
      <c r="AD29" s="98"/>
    </row>
    <row r="30" spans="1:30" hidden="1">
      <c r="A30" s="28"/>
      <c r="AD30" s="98"/>
    </row>
    <row r="31" spans="1:30" hidden="1">
      <c r="A31" s="28"/>
      <c r="C31" s="48" t="s">
        <v>308</v>
      </c>
      <c r="AD31" s="98"/>
    </row>
    <row r="32" spans="1:30" hidden="1">
      <c r="A32" s="28"/>
      <c r="C32" s="5">
        <v>12</v>
      </c>
      <c r="D32" s="5" t="s">
        <v>458</v>
      </c>
      <c r="AD32" s="98"/>
    </row>
    <row r="33" spans="1:30" s="97" customFormat="1" ht="17.25" customHeight="1">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D33" s="98"/>
    </row>
    <row r="34" spans="1:30" s="97" customFormat="1" ht="17.25" customHeight="1">
      <c r="A34" s="98"/>
      <c r="B34" s="98"/>
      <c r="C34" s="98"/>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D34" s="98"/>
    </row>
    <row r="35" spans="1:30" s="97" customFormat="1"/>
    <row r="36" spans="1:30" s="97" customFormat="1"/>
    <row r="37" spans="1:30" s="97" customFormat="1"/>
    <row r="38" spans="1:30" s="97" customFormat="1"/>
    <row r="39" spans="1:30" s="97" customFormat="1"/>
    <row r="40" spans="1:30" s="97" customFormat="1"/>
    <row r="41" spans="1:30" s="97" customFormat="1"/>
    <row r="42" spans="1:30" s="97" customFormat="1"/>
    <row r="43" spans="1:30" s="97" customFormat="1"/>
    <row r="44" spans="1:30" s="97" customFormat="1"/>
    <row r="45" spans="1:30" s="97" customFormat="1"/>
    <row r="46" spans="1:30" s="97" customFormat="1"/>
    <row r="47" spans="1:30" s="97" customFormat="1"/>
    <row r="48" spans="1:30"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sheetData>
  <sheetProtection algorithmName="SHA-512" hashValue="O1YZgu+J0rXKMENGi9E38WrOmvorrrfJQiA1/ic6o6E8trcEdvgkoFXiakQprvOqduv4rnEXf34fP1crBMKJKQ==" saltValue="dbsrTT0Ks3pdQ6Rej/OfDQ==" spinCount="100000" sheet="1" selectLockedCells="1"/>
  <mergeCells count="3">
    <mergeCell ref="B3:C3"/>
    <mergeCell ref="B2:Z2"/>
    <mergeCell ref="D3:F4"/>
  </mergeCells>
  <phoneticPr fontId="39" type="noConversion"/>
  <dataValidations count="2">
    <dataValidation type="list" allowBlank="1" showInputMessage="1" showErrorMessage="1" sqref="D8:D15" xr:uid="{00000000-0002-0000-0D00-000000000000}">
      <formula1>$C$28:$C$29</formula1>
    </dataValidation>
    <dataValidation type="list" allowBlank="1" showInputMessage="1" showErrorMessage="1" sqref="I8:I15" xr:uid="{0DBB0965-BB7D-48AF-8023-43AEF45DB285}">
      <formula1>$F$28:$F$29</formula1>
    </dataValidation>
  </dataValidations>
  <hyperlinks>
    <hyperlink ref="B3" location="'Calculator Index'!A1" display="Return to Index" xr:uid="{00000000-0004-0000-0D00-000000000000}"/>
    <hyperlink ref="B3:C3" location="'Project Summary'!A1" display="Return to Project Summary" xr:uid="{00000000-0004-0000-0D00-000001000000}"/>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D1305"/>
  <sheetViews>
    <sheetView zoomScale="90" zoomScaleNormal="90" workbookViewId="0">
      <selection activeCell="B3" sqref="B3:C3"/>
    </sheetView>
  </sheetViews>
  <sheetFormatPr defaultRowHeight="15"/>
  <cols>
    <col min="1" max="1" width="3.7109375" customWidth="1"/>
    <col min="2" max="2" width="6.42578125" customWidth="1"/>
    <col min="3" max="3" width="19.42578125" customWidth="1"/>
    <col min="4" max="4" width="22.85546875" customWidth="1"/>
    <col min="5" max="5" width="26" customWidth="1"/>
    <col min="6" max="8" width="26.7109375" customWidth="1"/>
    <col min="9" max="9" width="16.42578125" customWidth="1"/>
    <col min="10" max="10" width="16.42578125" hidden="1" customWidth="1"/>
    <col min="11" max="11" width="16" hidden="1" customWidth="1"/>
    <col min="12" max="12" width="15.42578125" hidden="1" customWidth="1"/>
    <col min="13" max="15" width="13.7109375" hidden="1" customWidth="1"/>
    <col min="16" max="16" width="10.7109375" hidden="1" customWidth="1"/>
    <col min="17" max="18" width="10.5703125" hidden="1" customWidth="1"/>
    <col min="19" max="19" width="13.5703125" customWidth="1"/>
    <col min="20" max="20" width="19.28515625" hidden="1" customWidth="1"/>
    <col min="21" max="21" width="17.5703125" hidden="1" customWidth="1"/>
    <col min="22" max="22" width="19.85546875" hidden="1" customWidth="1"/>
    <col min="23" max="24" width="19.28515625" hidden="1" customWidth="1"/>
    <col min="25" max="26" width="18.28515625" customWidth="1"/>
    <col min="27" max="27" width="13.28515625" customWidth="1"/>
    <col min="28" max="28" width="13.28515625" hidden="1" customWidth="1"/>
    <col min="29" max="30" width="25.42578125" hidden="1" customWidth="1"/>
    <col min="31" max="31" width="7.5703125" customWidth="1"/>
    <col min="32" max="134" width="9.140625" style="97"/>
  </cols>
  <sheetData>
    <row r="1" spans="1:31" ht="19.5" customHeight="1">
      <c r="A1" s="41"/>
      <c r="B1" s="41"/>
      <c r="C1" s="41"/>
      <c r="D1" s="41"/>
      <c r="E1" s="41"/>
      <c r="F1" s="41"/>
      <c r="G1" s="41"/>
      <c r="H1" s="41"/>
      <c r="I1" s="41"/>
      <c r="J1" s="41"/>
      <c r="K1" s="28"/>
      <c r="L1" s="28"/>
      <c r="M1" s="28"/>
      <c r="N1" s="28"/>
      <c r="O1" s="28"/>
      <c r="P1" s="28"/>
      <c r="Q1" s="28"/>
      <c r="R1" s="28"/>
      <c r="S1" s="41"/>
      <c r="T1" s="28"/>
      <c r="U1" s="28"/>
      <c r="V1" s="28"/>
      <c r="W1" s="28"/>
      <c r="X1" s="28"/>
      <c r="Y1" s="41"/>
      <c r="Z1" s="41"/>
      <c r="AA1" s="41"/>
      <c r="AB1" s="28" t="s">
        <v>116</v>
      </c>
      <c r="AC1" s="28" t="s">
        <v>589</v>
      </c>
      <c r="AD1" s="28"/>
      <c r="AE1" s="98"/>
    </row>
    <row r="2" spans="1:31" ht="27" customHeight="1">
      <c r="A2" s="41"/>
      <c r="B2" s="415" t="s">
        <v>590</v>
      </c>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28"/>
      <c r="AC2" s="28"/>
      <c r="AD2" s="28"/>
      <c r="AE2" s="98"/>
    </row>
    <row r="3" spans="1:31" ht="23.25" customHeight="1">
      <c r="A3" s="41"/>
      <c r="B3" s="393" t="s">
        <v>119</v>
      </c>
      <c r="C3" s="394"/>
      <c r="D3" s="409" t="s">
        <v>591</v>
      </c>
      <c r="E3" s="410"/>
      <c r="F3" s="410"/>
      <c r="G3" s="410"/>
      <c r="H3" s="410"/>
      <c r="I3" s="411"/>
      <c r="J3" s="28"/>
      <c r="K3" s="28"/>
      <c r="L3" s="28"/>
      <c r="M3" s="28"/>
      <c r="N3" s="28"/>
      <c r="O3" s="28"/>
      <c r="P3" s="28"/>
      <c r="Q3" s="28"/>
      <c r="R3" s="28"/>
      <c r="S3" s="41"/>
      <c r="T3" s="28"/>
      <c r="U3" s="28"/>
      <c r="V3" s="28"/>
      <c r="W3" s="28"/>
      <c r="X3" s="28"/>
      <c r="Y3" s="41"/>
      <c r="Z3" s="41"/>
      <c r="AA3" s="41"/>
      <c r="AB3" s="28"/>
      <c r="AC3" s="28"/>
      <c r="AD3" s="28"/>
      <c r="AE3" s="98"/>
    </row>
    <row r="4" spans="1:31">
      <c r="A4" s="41"/>
      <c r="B4" s="41"/>
      <c r="C4" s="41"/>
      <c r="D4" s="412"/>
      <c r="E4" s="413"/>
      <c r="F4" s="413"/>
      <c r="G4" s="413"/>
      <c r="H4" s="413"/>
      <c r="I4" s="414"/>
      <c r="J4" s="28"/>
      <c r="K4" s="28"/>
      <c r="L4" s="28"/>
      <c r="M4" s="28"/>
      <c r="N4" s="28"/>
      <c r="O4" s="28"/>
      <c r="P4" s="28"/>
      <c r="Q4" s="28"/>
      <c r="R4" s="28"/>
      <c r="S4" s="41"/>
      <c r="T4" s="28"/>
      <c r="U4" s="28"/>
      <c r="V4" s="28"/>
      <c r="W4" s="28"/>
      <c r="X4" s="28"/>
      <c r="Y4" s="41"/>
      <c r="Z4" s="41"/>
      <c r="AA4" s="41"/>
      <c r="AB4" s="28"/>
      <c r="AC4" s="28"/>
      <c r="AD4" s="28"/>
      <c r="AE4" s="98"/>
    </row>
    <row r="5" spans="1:31" ht="12.75" customHeight="1">
      <c r="A5" s="41"/>
      <c r="B5" s="41"/>
      <c r="C5" s="41"/>
      <c r="D5" s="41"/>
      <c r="E5" s="41"/>
      <c r="F5" s="41"/>
      <c r="G5" s="41"/>
      <c r="H5" s="41"/>
      <c r="I5" s="41"/>
      <c r="J5" s="28"/>
      <c r="K5" s="28"/>
      <c r="L5" s="28"/>
      <c r="M5" s="28"/>
      <c r="N5" s="28"/>
      <c r="O5" s="28"/>
      <c r="P5" s="28"/>
      <c r="Q5" s="28"/>
      <c r="R5" s="28"/>
      <c r="S5" s="41"/>
      <c r="T5" s="28"/>
      <c r="U5" s="28"/>
      <c r="V5" s="28"/>
      <c r="W5" s="28"/>
      <c r="X5" s="28"/>
      <c r="Y5" s="41"/>
      <c r="Z5" s="41"/>
      <c r="AA5" s="41"/>
      <c r="AB5" s="28"/>
      <c r="AC5" s="28"/>
      <c r="AD5" s="28"/>
      <c r="AE5" s="98"/>
    </row>
    <row r="6" spans="1:31" ht="37.5" customHeight="1">
      <c r="A6" s="41"/>
      <c r="B6" s="180" t="s">
        <v>234</v>
      </c>
      <c r="C6" s="180" t="s">
        <v>122</v>
      </c>
      <c r="D6" s="180" t="s">
        <v>123</v>
      </c>
      <c r="E6" s="180" t="s">
        <v>126</v>
      </c>
      <c r="F6" s="180" t="s">
        <v>127</v>
      </c>
      <c r="G6" s="180" t="s">
        <v>235</v>
      </c>
      <c r="H6" s="180" t="s">
        <v>537</v>
      </c>
      <c r="I6" s="180" t="s">
        <v>592</v>
      </c>
      <c r="J6" s="180" t="s">
        <v>124</v>
      </c>
      <c r="K6" s="180" t="s">
        <v>572</v>
      </c>
      <c r="L6" s="180" t="s">
        <v>576</v>
      </c>
      <c r="M6" s="180" t="s">
        <v>573</v>
      </c>
      <c r="N6" s="204" t="s">
        <v>593</v>
      </c>
      <c r="O6" s="180" t="s">
        <v>574</v>
      </c>
      <c r="P6" s="180" t="s">
        <v>575</v>
      </c>
      <c r="Q6" s="180" t="s">
        <v>133</v>
      </c>
      <c r="R6" s="180" t="s">
        <v>387</v>
      </c>
      <c r="S6" s="180" t="s">
        <v>53</v>
      </c>
      <c r="T6" s="180" t="s">
        <v>577</v>
      </c>
      <c r="U6" s="180" t="s">
        <v>578</v>
      </c>
      <c r="V6" s="180" t="s">
        <v>594</v>
      </c>
      <c r="W6" s="180" t="s">
        <v>595</v>
      </c>
      <c r="X6" s="180" t="s">
        <v>255</v>
      </c>
      <c r="Y6" s="180" t="s">
        <v>424</v>
      </c>
      <c r="Z6" s="180" t="s">
        <v>136</v>
      </c>
      <c r="AA6" s="180" t="s">
        <v>56</v>
      </c>
      <c r="AB6" s="180" t="s">
        <v>137</v>
      </c>
      <c r="AC6" s="180" t="s">
        <v>257</v>
      </c>
      <c r="AD6" s="279" t="s">
        <v>78</v>
      </c>
      <c r="AE6" s="98"/>
    </row>
    <row r="7" spans="1:31" ht="37.5" hidden="1" customHeight="1">
      <c r="A7" s="41"/>
      <c r="B7" s="273" t="s">
        <v>140</v>
      </c>
      <c r="C7" s="273"/>
      <c r="D7" s="273" t="s">
        <v>141</v>
      </c>
      <c r="E7" s="273" t="s">
        <v>144</v>
      </c>
      <c r="F7" s="273" t="s">
        <v>145</v>
      </c>
      <c r="G7" s="273" t="s">
        <v>258</v>
      </c>
      <c r="H7" s="273" t="s">
        <v>143</v>
      </c>
      <c r="I7" s="273" t="s">
        <v>596</v>
      </c>
      <c r="J7" s="273" t="s">
        <v>142</v>
      </c>
      <c r="K7" s="273"/>
      <c r="L7" s="273"/>
      <c r="M7" s="273"/>
      <c r="N7" s="299"/>
      <c r="O7" s="273"/>
      <c r="P7" s="273"/>
      <c r="Q7" s="273"/>
      <c r="R7" s="273"/>
      <c r="S7" s="273" t="s">
        <v>53</v>
      </c>
      <c r="T7" s="273"/>
      <c r="U7" s="273"/>
      <c r="V7" s="273"/>
      <c r="W7" s="273"/>
      <c r="X7" s="273" t="s">
        <v>148</v>
      </c>
      <c r="Y7" s="273" t="s">
        <v>149</v>
      </c>
      <c r="Z7" s="273" t="s">
        <v>150</v>
      </c>
      <c r="AA7" s="273" t="s">
        <v>151</v>
      </c>
      <c r="AB7" s="273" t="s">
        <v>152</v>
      </c>
      <c r="AC7" s="273" t="s">
        <v>154</v>
      </c>
      <c r="AD7" s="280" t="s">
        <v>153</v>
      </c>
      <c r="AE7" s="98"/>
    </row>
    <row r="8" spans="1:31" ht="18" customHeight="1">
      <c r="A8" s="41"/>
      <c r="B8" s="248">
        <v>1</v>
      </c>
      <c r="C8" s="248" t="s">
        <v>597</v>
      </c>
      <c r="D8" s="52"/>
      <c r="E8" s="44"/>
      <c r="F8" s="11"/>
      <c r="G8" s="11"/>
      <c r="H8" s="11"/>
      <c r="I8" s="11"/>
      <c r="J8" s="102" t="str">
        <f>IF(D8=$C$23,$D$23,IF(D8=$C$24,$D$24,""))</f>
        <v/>
      </c>
      <c r="K8" s="102">
        <v>12</v>
      </c>
      <c r="L8" s="114">
        <v>365</v>
      </c>
      <c r="M8" s="18">
        <v>15</v>
      </c>
      <c r="N8" s="205">
        <v>1</v>
      </c>
      <c r="O8" s="142">
        <v>0.13900000000000001</v>
      </c>
      <c r="P8" s="114">
        <v>100</v>
      </c>
      <c r="Q8" s="107">
        <f>$F$25</f>
        <v>0.9</v>
      </c>
      <c r="R8" s="114">
        <f t="shared" ref="R8:R15" si="0">L8*K8</f>
        <v>4380</v>
      </c>
      <c r="S8" s="52"/>
      <c r="T8" s="206" t="str">
        <f t="shared" ref="T8:T15" si="1">IF(I8="","",S8*(L8*((P8*O8/$G$20)+($G$19*I8*(K8-(P8/($G$21*I8))-(N8*M8/60)))+(N8*M8/60*I8*$G$22))))</f>
        <v/>
      </c>
      <c r="U8" s="206" t="str">
        <f t="shared" ref="U8:U15" si="2">IF(I8="","",S8*(L8*((P8*O8/$H$20)+($H$19*I8*(K8-(P8/($H$21*I8))-(N8*M8/60)))+(N8*M8/60*I8*$H$22))))</f>
        <v/>
      </c>
      <c r="V8" s="131" t="str">
        <f>IFERROR(T8-U8,"")</f>
        <v/>
      </c>
      <c r="W8" s="131" t="str">
        <f>IFERROR((V8/R8)*Q8,"")</f>
        <v/>
      </c>
      <c r="X8" s="131" t="str">
        <f>IFERROR(ROUND((V8/R8)*S8,6),"")</f>
        <v/>
      </c>
      <c r="Y8" s="108" t="str">
        <f>IFERROR(ROUND(IF(S8="","",$Q8*$W8*S8),6),"")</f>
        <v/>
      </c>
      <c r="Z8" s="108" t="str">
        <f>IFERROR(ROUND(IF($S8="","",$S8*$V8),4),"")</f>
        <v/>
      </c>
      <c r="AA8" s="132" t="str">
        <f>IF(S8="", "", S8*$C$19)</f>
        <v/>
      </c>
      <c r="AB8" s="132" t="str">
        <f>IF(T8="", "", T8*$C$19)</f>
        <v/>
      </c>
      <c r="AC8" s="59" t="str">
        <f>IF(Z8&gt;0,"Yes","No")</f>
        <v>Yes</v>
      </c>
      <c r="AD8" s="59" t="s">
        <v>598</v>
      </c>
      <c r="AE8" s="98"/>
    </row>
    <row r="9" spans="1:31" ht="18" customHeight="1">
      <c r="A9" s="41"/>
      <c r="B9" s="248">
        <v>2</v>
      </c>
      <c r="C9" s="248" t="s">
        <v>597</v>
      </c>
      <c r="D9" s="52"/>
      <c r="E9" s="44"/>
      <c r="F9" s="11"/>
      <c r="G9" s="11"/>
      <c r="H9" s="11"/>
      <c r="I9" s="11"/>
      <c r="J9" s="102" t="str">
        <f t="shared" ref="J9:J15" si="3">IF(D9=$C$23,$D$23,IF(D9=$C$24,$D$24,""))</f>
        <v/>
      </c>
      <c r="K9" s="102">
        <v>12</v>
      </c>
      <c r="L9" s="114">
        <v>365</v>
      </c>
      <c r="M9" s="18">
        <v>15</v>
      </c>
      <c r="N9" s="205">
        <v>1</v>
      </c>
      <c r="O9" s="142">
        <v>0.13900000000000001</v>
      </c>
      <c r="P9" s="114">
        <v>100</v>
      </c>
      <c r="Q9" s="107">
        <f t="shared" ref="Q9:Q15" si="4">$F$25</f>
        <v>0.9</v>
      </c>
      <c r="R9" s="114">
        <f t="shared" si="0"/>
        <v>4380</v>
      </c>
      <c r="S9" s="52"/>
      <c r="T9" s="206" t="str">
        <f t="shared" si="1"/>
        <v/>
      </c>
      <c r="U9" s="206" t="str">
        <f t="shared" si="2"/>
        <v/>
      </c>
      <c r="V9" s="131" t="str">
        <f t="shared" ref="V9:V15" si="5">IFERROR(T9-U9,"")</f>
        <v/>
      </c>
      <c r="W9" s="131" t="str">
        <f t="shared" ref="W9:W15" si="6">IFERROR((V9/R9)*Q9,"")</f>
        <v/>
      </c>
      <c r="X9" s="131" t="str">
        <f t="shared" ref="X9:X15" si="7">IFERROR(ROUND((V9/R9)*S9,6),"")</f>
        <v/>
      </c>
      <c r="Y9" s="108" t="str">
        <f t="shared" ref="Y9:Y15" si="8">IFERROR(ROUND(IF(S9="","",$Q9*$W9*S9),6),"")</f>
        <v/>
      </c>
      <c r="Z9" s="108" t="str">
        <f t="shared" ref="Z9:Z15" si="9">IFERROR(ROUND(IF($S9="","",$S9*$V9),4),"")</f>
        <v/>
      </c>
      <c r="AA9" s="132" t="str">
        <f t="shared" ref="AA9:AB15" si="10">IF(S9="", "", S9*$C$19)</f>
        <v/>
      </c>
      <c r="AB9" s="132" t="str">
        <f t="shared" si="10"/>
        <v/>
      </c>
      <c r="AC9" s="59" t="str">
        <f t="shared" ref="AC9:AC15" si="11">IF(Z9&gt;0,"Yes","No")</f>
        <v>Yes</v>
      </c>
      <c r="AD9" s="59" t="s">
        <v>598</v>
      </c>
      <c r="AE9" s="98"/>
    </row>
    <row r="10" spans="1:31" ht="18" customHeight="1">
      <c r="A10" s="41"/>
      <c r="B10" s="248">
        <v>3</v>
      </c>
      <c r="C10" s="248" t="s">
        <v>597</v>
      </c>
      <c r="D10" s="52"/>
      <c r="E10" s="44"/>
      <c r="F10" s="11"/>
      <c r="G10" s="11"/>
      <c r="H10" s="11"/>
      <c r="I10" s="11"/>
      <c r="J10" s="102" t="str">
        <f t="shared" si="3"/>
        <v/>
      </c>
      <c r="K10" s="102">
        <v>12</v>
      </c>
      <c r="L10" s="114">
        <v>365</v>
      </c>
      <c r="M10" s="18">
        <v>15</v>
      </c>
      <c r="N10" s="205">
        <v>1</v>
      </c>
      <c r="O10" s="142">
        <v>0.13900000000000001</v>
      </c>
      <c r="P10" s="114">
        <v>100</v>
      </c>
      <c r="Q10" s="107">
        <f t="shared" si="4"/>
        <v>0.9</v>
      </c>
      <c r="R10" s="114">
        <f t="shared" si="0"/>
        <v>4380</v>
      </c>
      <c r="S10" s="52"/>
      <c r="T10" s="206" t="str">
        <f t="shared" si="1"/>
        <v/>
      </c>
      <c r="U10" s="206" t="str">
        <f t="shared" si="2"/>
        <v/>
      </c>
      <c r="V10" s="131" t="str">
        <f t="shared" si="5"/>
        <v/>
      </c>
      <c r="W10" s="131" t="str">
        <f t="shared" si="6"/>
        <v/>
      </c>
      <c r="X10" s="131" t="str">
        <f t="shared" si="7"/>
        <v/>
      </c>
      <c r="Y10" s="108" t="str">
        <f t="shared" si="8"/>
        <v/>
      </c>
      <c r="Z10" s="108" t="str">
        <f t="shared" si="9"/>
        <v/>
      </c>
      <c r="AA10" s="132" t="str">
        <f t="shared" si="10"/>
        <v/>
      </c>
      <c r="AB10" s="132" t="str">
        <f t="shared" si="10"/>
        <v/>
      </c>
      <c r="AC10" s="59" t="str">
        <f t="shared" si="11"/>
        <v>Yes</v>
      </c>
      <c r="AD10" s="59" t="s">
        <v>598</v>
      </c>
      <c r="AE10" s="98"/>
    </row>
    <row r="11" spans="1:31" ht="18" customHeight="1">
      <c r="A11" s="41"/>
      <c r="B11" s="248">
        <v>4</v>
      </c>
      <c r="C11" s="248" t="s">
        <v>597</v>
      </c>
      <c r="D11" s="52"/>
      <c r="E11" s="44"/>
      <c r="F11" s="11"/>
      <c r="G11" s="11"/>
      <c r="H11" s="11"/>
      <c r="I11" s="11"/>
      <c r="J11" s="102" t="str">
        <f t="shared" si="3"/>
        <v/>
      </c>
      <c r="K11" s="102">
        <v>12</v>
      </c>
      <c r="L11" s="114">
        <v>365</v>
      </c>
      <c r="M11" s="18">
        <v>15</v>
      </c>
      <c r="N11" s="205">
        <v>1</v>
      </c>
      <c r="O11" s="142">
        <v>0.13900000000000001</v>
      </c>
      <c r="P11" s="114">
        <v>100</v>
      </c>
      <c r="Q11" s="107">
        <f t="shared" si="4"/>
        <v>0.9</v>
      </c>
      <c r="R11" s="114">
        <f t="shared" si="0"/>
        <v>4380</v>
      </c>
      <c r="S11" s="52"/>
      <c r="T11" s="206" t="str">
        <f t="shared" si="1"/>
        <v/>
      </c>
      <c r="U11" s="206" t="str">
        <f t="shared" si="2"/>
        <v/>
      </c>
      <c r="V11" s="131" t="str">
        <f t="shared" si="5"/>
        <v/>
      </c>
      <c r="W11" s="131" t="str">
        <f t="shared" si="6"/>
        <v/>
      </c>
      <c r="X11" s="131" t="str">
        <f t="shared" si="7"/>
        <v/>
      </c>
      <c r="Y11" s="108" t="str">
        <f t="shared" si="8"/>
        <v/>
      </c>
      <c r="Z11" s="108" t="str">
        <f t="shared" si="9"/>
        <v/>
      </c>
      <c r="AA11" s="132" t="str">
        <f t="shared" si="10"/>
        <v/>
      </c>
      <c r="AB11" s="132" t="str">
        <f t="shared" si="10"/>
        <v/>
      </c>
      <c r="AC11" s="59" t="str">
        <f t="shared" si="11"/>
        <v>Yes</v>
      </c>
      <c r="AD11" s="59" t="s">
        <v>598</v>
      </c>
      <c r="AE11" s="98"/>
    </row>
    <row r="12" spans="1:31" ht="18" customHeight="1">
      <c r="A12" s="41"/>
      <c r="B12" s="248">
        <v>5</v>
      </c>
      <c r="C12" s="248" t="s">
        <v>597</v>
      </c>
      <c r="D12" s="52"/>
      <c r="E12" s="44"/>
      <c r="F12" s="11"/>
      <c r="G12" s="11"/>
      <c r="H12" s="11"/>
      <c r="I12" s="11"/>
      <c r="J12" s="102" t="str">
        <f t="shared" si="3"/>
        <v/>
      </c>
      <c r="K12" s="102">
        <v>12</v>
      </c>
      <c r="L12" s="114">
        <v>365</v>
      </c>
      <c r="M12" s="18">
        <v>15</v>
      </c>
      <c r="N12" s="205">
        <v>1</v>
      </c>
      <c r="O12" s="142">
        <v>0.13900000000000001</v>
      </c>
      <c r="P12" s="114">
        <v>100</v>
      </c>
      <c r="Q12" s="107">
        <f t="shared" si="4"/>
        <v>0.9</v>
      </c>
      <c r="R12" s="114">
        <f t="shared" si="0"/>
        <v>4380</v>
      </c>
      <c r="S12" s="52"/>
      <c r="T12" s="206" t="str">
        <f t="shared" si="1"/>
        <v/>
      </c>
      <c r="U12" s="206" t="str">
        <f t="shared" si="2"/>
        <v/>
      </c>
      <c r="V12" s="131" t="str">
        <f t="shared" si="5"/>
        <v/>
      </c>
      <c r="W12" s="131" t="str">
        <f t="shared" si="6"/>
        <v/>
      </c>
      <c r="X12" s="131" t="str">
        <f t="shared" si="7"/>
        <v/>
      </c>
      <c r="Y12" s="108" t="str">
        <f t="shared" si="8"/>
        <v/>
      </c>
      <c r="Z12" s="108" t="str">
        <f t="shared" si="9"/>
        <v/>
      </c>
      <c r="AA12" s="132" t="str">
        <f t="shared" si="10"/>
        <v/>
      </c>
      <c r="AB12" s="132" t="str">
        <f t="shared" si="10"/>
        <v/>
      </c>
      <c r="AC12" s="59" t="str">
        <f t="shared" si="11"/>
        <v>Yes</v>
      </c>
      <c r="AD12" s="59" t="s">
        <v>598</v>
      </c>
      <c r="AE12" s="98"/>
    </row>
    <row r="13" spans="1:31" ht="18" customHeight="1">
      <c r="A13" s="41"/>
      <c r="B13" s="248">
        <v>6</v>
      </c>
      <c r="C13" s="248" t="s">
        <v>597</v>
      </c>
      <c r="D13" s="52"/>
      <c r="E13" s="44"/>
      <c r="F13" s="11"/>
      <c r="G13" s="11"/>
      <c r="H13" s="11"/>
      <c r="I13" s="11"/>
      <c r="J13" s="102" t="str">
        <f t="shared" si="3"/>
        <v/>
      </c>
      <c r="K13" s="102">
        <v>12</v>
      </c>
      <c r="L13" s="114">
        <v>365</v>
      </c>
      <c r="M13" s="18">
        <v>15</v>
      </c>
      <c r="N13" s="205">
        <v>1</v>
      </c>
      <c r="O13" s="142">
        <v>0.13900000000000001</v>
      </c>
      <c r="P13" s="114">
        <v>100</v>
      </c>
      <c r="Q13" s="107">
        <f t="shared" si="4"/>
        <v>0.9</v>
      </c>
      <c r="R13" s="114">
        <f t="shared" si="0"/>
        <v>4380</v>
      </c>
      <c r="S13" s="52"/>
      <c r="T13" s="206" t="str">
        <f t="shared" si="1"/>
        <v/>
      </c>
      <c r="U13" s="206" t="str">
        <f t="shared" si="2"/>
        <v/>
      </c>
      <c r="V13" s="131" t="str">
        <f t="shared" si="5"/>
        <v/>
      </c>
      <c r="W13" s="131" t="str">
        <f t="shared" si="6"/>
        <v/>
      </c>
      <c r="X13" s="131" t="str">
        <f t="shared" si="7"/>
        <v/>
      </c>
      <c r="Y13" s="108" t="str">
        <f t="shared" si="8"/>
        <v/>
      </c>
      <c r="Z13" s="108" t="str">
        <f t="shared" si="9"/>
        <v/>
      </c>
      <c r="AA13" s="132" t="str">
        <f t="shared" si="10"/>
        <v/>
      </c>
      <c r="AB13" s="132" t="str">
        <f t="shared" si="10"/>
        <v/>
      </c>
      <c r="AC13" s="59" t="str">
        <f t="shared" si="11"/>
        <v>Yes</v>
      </c>
      <c r="AD13" s="59" t="s">
        <v>598</v>
      </c>
      <c r="AE13" s="98"/>
    </row>
    <row r="14" spans="1:31" ht="18" customHeight="1">
      <c r="A14" s="41"/>
      <c r="B14" s="248">
        <v>7</v>
      </c>
      <c r="C14" s="248" t="s">
        <v>597</v>
      </c>
      <c r="D14" s="52"/>
      <c r="E14" s="44"/>
      <c r="F14" s="11"/>
      <c r="G14" s="11"/>
      <c r="H14" s="11"/>
      <c r="I14" s="11"/>
      <c r="J14" s="102" t="str">
        <f t="shared" si="3"/>
        <v/>
      </c>
      <c r="K14" s="102">
        <v>12</v>
      </c>
      <c r="L14" s="114">
        <v>365</v>
      </c>
      <c r="M14" s="18">
        <v>15</v>
      </c>
      <c r="N14" s="205">
        <v>1</v>
      </c>
      <c r="O14" s="142">
        <v>0.13900000000000001</v>
      </c>
      <c r="P14" s="114">
        <v>100</v>
      </c>
      <c r="Q14" s="107">
        <f t="shared" si="4"/>
        <v>0.9</v>
      </c>
      <c r="R14" s="114">
        <f t="shared" si="0"/>
        <v>4380</v>
      </c>
      <c r="S14" s="52"/>
      <c r="T14" s="206" t="str">
        <f t="shared" si="1"/>
        <v/>
      </c>
      <c r="U14" s="206" t="str">
        <f t="shared" si="2"/>
        <v/>
      </c>
      <c r="V14" s="131" t="str">
        <f t="shared" si="5"/>
        <v/>
      </c>
      <c r="W14" s="131" t="str">
        <f t="shared" si="6"/>
        <v/>
      </c>
      <c r="X14" s="131" t="str">
        <f t="shared" si="7"/>
        <v/>
      </c>
      <c r="Y14" s="108" t="str">
        <f t="shared" si="8"/>
        <v/>
      </c>
      <c r="Z14" s="108" t="str">
        <f t="shared" si="9"/>
        <v/>
      </c>
      <c r="AA14" s="132" t="str">
        <f t="shared" si="10"/>
        <v/>
      </c>
      <c r="AB14" s="132" t="str">
        <f t="shared" si="10"/>
        <v/>
      </c>
      <c r="AC14" s="59" t="str">
        <f t="shared" si="11"/>
        <v>Yes</v>
      </c>
      <c r="AD14" s="59" t="s">
        <v>598</v>
      </c>
      <c r="AE14" s="98"/>
    </row>
    <row r="15" spans="1:31" ht="18" customHeight="1">
      <c r="A15" s="41"/>
      <c r="B15" s="248">
        <v>8</v>
      </c>
      <c r="C15" s="248" t="s">
        <v>597</v>
      </c>
      <c r="D15" s="52"/>
      <c r="E15" s="44"/>
      <c r="F15" s="11"/>
      <c r="G15" s="11"/>
      <c r="H15" s="11"/>
      <c r="I15" s="11"/>
      <c r="J15" s="102" t="str">
        <f t="shared" si="3"/>
        <v/>
      </c>
      <c r="K15" s="102">
        <v>12</v>
      </c>
      <c r="L15" s="114">
        <v>365</v>
      </c>
      <c r="M15" s="18">
        <v>15</v>
      </c>
      <c r="N15" s="205">
        <v>1</v>
      </c>
      <c r="O15" s="142">
        <v>0.13900000000000001</v>
      </c>
      <c r="P15" s="114">
        <v>100</v>
      </c>
      <c r="Q15" s="107">
        <f t="shared" si="4"/>
        <v>0.9</v>
      </c>
      <c r="R15" s="114">
        <f t="shared" si="0"/>
        <v>4380</v>
      </c>
      <c r="S15" s="52"/>
      <c r="T15" s="206" t="str">
        <f t="shared" si="1"/>
        <v/>
      </c>
      <c r="U15" s="206" t="str">
        <f t="shared" si="2"/>
        <v/>
      </c>
      <c r="V15" s="131" t="str">
        <f t="shared" si="5"/>
        <v/>
      </c>
      <c r="W15" s="131" t="str">
        <f t="shared" si="6"/>
        <v/>
      </c>
      <c r="X15" s="131" t="str">
        <f t="shared" si="7"/>
        <v/>
      </c>
      <c r="Y15" s="108" t="str">
        <f t="shared" si="8"/>
        <v/>
      </c>
      <c r="Z15" s="108" t="str">
        <f t="shared" si="9"/>
        <v/>
      </c>
      <c r="AA15" s="132" t="str">
        <f t="shared" si="10"/>
        <v/>
      </c>
      <c r="AB15" s="132" t="str">
        <f t="shared" si="10"/>
        <v/>
      </c>
      <c r="AC15" s="59" t="str">
        <f t="shared" si="11"/>
        <v>Yes</v>
      </c>
      <c r="AD15" s="59" t="s">
        <v>598</v>
      </c>
      <c r="AE15" s="98"/>
    </row>
    <row r="16" spans="1:31" hidden="1">
      <c r="A16" s="28"/>
      <c r="AE16" s="98"/>
    </row>
    <row r="17" spans="1:31" hidden="1">
      <c r="A17" s="28"/>
      <c r="AE17" s="98"/>
    </row>
    <row r="18" spans="1:31" hidden="1">
      <c r="A18" s="28"/>
      <c r="C18" s="249" t="s">
        <v>56</v>
      </c>
      <c r="F18" s="250" t="s">
        <v>584</v>
      </c>
      <c r="G18" s="250" t="s">
        <v>501</v>
      </c>
      <c r="H18" s="250" t="s">
        <v>502</v>
      </c>
      <c r="AE18" s="98"/>
    </row>
    <row r="19" spans="1:31" ht="17.25" hidden="1">
      <c r="A19" s="28"/>
      <c r="C19" s="83">
        <v>150</v>
      </c>
      <c r="D19" s="136" t="s">
        <v>599</v>
      </c>
      <c r="F19" s="8" t="s">
        <v>600</v>
      </c>
      <c r="G19" s="6">
        <v>0.4</v>
      </c>
      <c r="H19" s="6">
        <v>0.32</v>
      </c>
      <c r="AE19" s="98"/>
    </row>
    <row r="20" spans="1:31" hidden="1">
      <c r="A20" s="28"/>
      <c r="F20" s="8" t="s">
        <v>515</v>
      </c>
      <c r="G20" s="117">
        <v>0.65</v>
      </c>
      <c r="H20" s="117">
        <v>0.7</v>
      </c>
      <c r="AE20" s="98"/>
    </row>
    <row r="21" spans="1:31" hidden="1">
      <c r="A21" s="28"/>
      <c r="F21" s="8" t="s">
        <v>587</v>
      </c>
      <c r="G21" s="6">
        <v>5.83</v>
      </c>
      <c r="H21" s="6">
        <v>6.67</v>
      </c>
      <c r="AE21" s="98"/>
    </row>
    <row r="22" spans="1:31" hidden="1">
      <c r="A22" s="28"/>
      <c r="C22" s="14" t="s">
        <v>123</v>
      </c>
      <c r="D22" s="14" t="s">
        <v>124</v>
      </c>
      <c r="F22" s="195" t="s">
        <v>601</v>
      </c>
      <c r="G22" s="190">
        <v>2.6669999999999998</v>
      </c>
      <c r="H22" s="190">
        <v>1.333</v>
      </c>
      <c r="AE22" s="98"/>
    </row>
    <row r="23" spans="1:31" hidden="1">
      <c r="A23" s="28"/>
      <c r="C23" s="19" t="s">
        <v>164</v>
      </c>
      <c r="D23" s="19" t="s">
        <v>164</v>
      </c>
      <c r="AE23" s="98"/>
    </row>
    <row r="24" spans="1:31" hidden="1">
      <c r="A24" s="28"/>
      <c r="C24" s="19" t="s">
        <v>169</v>
      </c>
      <c r="D24" s="19" t="s">
        <v>170</v>
      </c>
      <c r="F24" s="14" t="s">
        <v>133</v>
      </c>
      <c r="G24" s="295"/>
      <c r="H24" s="295"/>
      <c r="AE24" s="98"/>
    </row>
    <row r="25" spans="1:31" hidden="1">
      <c r="A25" s="28"/>
      <c r="F25" s="19">
        <v>0.9</v>
      </c>
      <c r="G25" s="29"/>
      <c r="H25" s="29"/>
      <c r="AE25" s="98"/>
    </row>
    <row r="26" spans="1:31" hidden="1">
      <c r="A26" s="28"/>
      <c r="C26" s="48" t="s">
        <v>308</v>
      </c>
      <c r="AE26" s="98"/>
    </row>
    <row r="27" spans="1:31" hidden="1">
      <c r="A27" s="28"/>
      <c r="C27" s="5">
        <v>12</v>
      </c>
      <c r="D27" s="5" t="s">
        <v>458</v>
      </c>
      <c r="AE27" s="98"/>
    </row>
    <row r="28" spans="1:31" ht="13.5" customHeight="1">
      <c r="A28" s="98"/>
      <c r="B28" s="98"/>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E28" s="98"/>
    </row>
    <row r="29" spans="1:31">
      <c r="A29" s="98"/>
      <c r="B29" s="98"/>
      <c r="C29" s="98"/>
      <c r="D29" s="98"/>
      <c r="E29" s="98"/>
      <c r="F29" s="98"/>
      <c r="G29" s="98"/>
      <c r="H29" s="98"/>
      <c r="I29" s="98"/>
      <c r="J29" s="98"/>
      <c r="K29" s="98"/>
      <c r="L29" s="98"/>
      <c r="M29" s="98"/>
      <c r="N29" s="98"/>
      <c r="O29" s="98"/>
      <c r="P29" s="98"/>
      <c r="Q29" s="98"/>
      <c r="R29" s="98"/>
      <c r="S29" s="98"/>
      <c r="T29" s="98"/>
      <c r="U29" s="98"/>
      <c r="V29" s="98"/>
      <c r="W29" s="98"/>
      <c r="X29" s="98"/>
      <c r="Y29" s="98"/>
      <c r="Z29" s="98"/>
      <c r="AA29" s="98"/>
      <c r="AB29" s="98"/>
      <c r="AE29" s="98"/>
    </row>
    <row r="30" spans="1:31" s="97" customFormat="1"/>
    <row r="31" spans="1:31" s="97" customFormat="1"/>
    <row r="32" spans="1:31" s="97" customFormat="1"/>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row r="1198" s="97" customFormat="1"/>
    <row r="1199" s="97" customFormat="1"/>
    <row r="1200" s="97" customFormat="1"/>
    <row r="1201" s="97" customFormat="1"/>
    <row r="1202" s="97" customFormat="1"/>
    <row r="1203" s="97" customFormat="1"/>
    <row r="1204" s="97" customFormat="1"/>
    <row r="1205" s="97" customFormat="1"/>
    <row r="1206" s="97" customFormat="1"/>
    <row r="1207" s="97" customFormat="1"/>
    <row r="1208" s="97" customFormat="1"/>
    <row r="1209" s="97" customFormat="1"/>
    <row r="1210" s="97" customFormat="1"/>
    <row r="1211" s="97" customFormat="1"/>
    <row r="1212" s="97" customFormat="1"/>
    <row r="1213" s="97" customFormat="1"/>
    <row r="1214" s="97" customFormat="1"/>
    <row r="1215" s="97" customFormat="1"/>
    <row r="1216" s="97" customFormat="1"/>
    <row r="1217" s="97" customFormat="1"/>
    <row r="1218" s="97" customFormat="1"/>
    <row r="1219" s="97" customFormat="1"/>
    <row r="1220" s="97" customFormat="1"/>
    <row r="1221" s="97" customFormat="1"/>
    <row r="1222" s="97" customFormat="1"/>
    <row r="1223" s="97" customFormat="1"/>
    <row r="1224" s="97" customFormat="1"/>
    <row r="1225" s="97" customFormat="1"/>
    <row r="1226" s="97" customFormat="1"/>
    <row r="1227" s="97" customFormat="1"/>
    <row r="1228" s="97" customFormat="1"/>
    <row r="1229" s="97" customFormat="1"/>
    <row r="1230" s="97" customFormat="1"/>
    <row r="1231" s="97" customFormat="1"/>
    <row r="1232" s="97" customFormat="1"/>
    <row r="1233" s="97" customFormat="1"/>
    <row r="1234" s="97" customFormat="1"/>
    <row r="1235" s="97" customFormat="1"/>
    <row r="1236" s="97" customFormat="1"/>
    <row r="1237" s="97" customFormat="1"/>
    <row r="1238" s="97" customFormat="1"/>
    <row r="1239" s="97" customFormat="1"/>
    <row r="1240" s="97" customFormat="1"/>
    <row r="1241" s="97" customFormat="1"/>
    <row r="1242" s="97" customFormat="1"/>
    <row r="1243" s="97" customFormat="1"/>
    <row r="1244" s="97" customFormat="1"/>
    <row r="1245" s="97" customFormat="1"/>
    <row r="1246" s="97" customFormat="1"/>
    <row r="1247" s="97" customFormat="1"/>
    <row r="1248" s="97" customFormat="1"/>
    <row r="1249" s="97" customFormat="1"/>
    <row r="1250" s="97" customFormat="1"/>
    <row r="1251" s="97" customFormat="1"/>
    <row r="1252" s="97" customFormat="1"/>
    <row r="1253" s="97" customFormat="1"/>
    <row r="1254" s="97" customFormat="1"/>
    <row r="1255" s="97" customFormat="1"/>
    <row r="1256" s="97" customFormat="1"/>
    <row r="1257" s="97" customFormat="1"/>
    <row r="1258" s="97" customFormat="1"/>
    <row r="1259" s="97" customFormat="1"/>
    <row r="1260" s="97" customFormat="1"/>
    <row r="1261" s="97" customFormat="1"/>
    <row r="1262" s="97" customFormat="1"/>
    <row r="1263" s="97" customFormat="1"/>
    <row r="1264" s="97" customFormat="1"/>
    <row r="1265" s="97" customFormat="1"/>
    <row r="1266" s="97" customFormat="1"/>
    <row r="1267" s="97" customFormat="1"/>
    <row r="1268" s="97" customFormat="1"/>
    <row r="1269" s="97" customFormat="1"/>
    <row r="1270" s="97" customFormat="1"/>
    <row r="1271" s="97" customFormat="1"/>
    <row r="1272" s="97" customFormat="1"/>
    <row r="1273" s="97" customFormat="1"/>
    <row r="1274" s="97" customFormat="1"/>
    <row r="1275" s="97" customFormat="1"/>
    <row r="1276" s="97" customFormat="1"/>
    <row r="1277" s="97" customFormat="1"/>
    <row r="1278" s="97" customFormat="1"/>
    <row r="1279" s="97" customFormat="1"/>
    <row r="1280" s="97" customFormat="1"/>
    <row r="1281" s="97" customFormat="1"/>
    <row r="1282" s="97" customFormat="1"/>
    <row r="1283" s="97" customFormat="1"/>
    <row r="1284" s="97" customFormat="1"/>
    <row r="1285" s="97" customFormat="1"/>
    <row r="1286" s="97" customFormat="1"/>
    <row r="1287" s="97" customFormat="1"/>
    <row r="1288" s="97" customFormat="1"/>
    <row r="1289" s="97" customFormat="1"/>
    <row r="1290" s="97" customFormat="1"/>
    <row r="1291" s="97" customFormat="1"/>
    <row r="1292" s="97" customFormat="1"/>
    <row r="1293" s="97" customFormat="1"/>
    <row r="1294" s="97" customFormat="1"/>
    <row r="1295" s="97" customFormat="1"/>
    <row r="1296" s="97" customFormat="1"/>
    <row r="1297" s="97" customFormat="1"/>
    <row r="1298" s="97" customFormat="1"/>
    <row r="1299" s="97" customFormat="1"/>
    <row r="1300" s="97" customFormat="1"/>
    <row r="1301" s="97" customFormat="1"/>
    <row r="1302" s="97" customFormat="1"/>
    <row r="1303" s="97" customFormat="1"/>
    <row r="1304" s="97" customFormat="1"/>
    <row r="1305" s="97" customFormat="1"/>
  </sheetData>
  <sheetProtection algorithmName="SHA-512" hashValue="ffbnIBwc268sSZ1iE0xvXwiz8WAGXpDdrZmueInnNh5Kpy2gc65Us26y8pxGPrx+BexBrunk+Ki1Yzw9TbzCEQ==" saltValue="EA7QmGkGg3L/LiBM4L+Eqg==" spinCount="100000" sheet="1" selectLockedCells="1"/>
  <mergeCells count="3">
    <mergeCell ref="B3:C3"/>
    <mergeCell ref="B2:AA2"/>
    <mergeCell ref="D3:I4"/>
  </mergeCells>
  <phoneticPr fontId="39" type="noConversion"/>
  <dataValidations count="1">
    <dataValidation type="list" allowBlank="1" showInputMessage="1" showErrorMessage="1" sqref="D8:D15" xr:uid="{00000000-0002-0000-0E00-000000000000}">
      <formula1>$C$23:$C$24</formula1>
    </dataValidation>
  </dataValidations>
  <hyperlinks>
    <hyperlink ref="B3" location="'Calculator Index'!A1" display="Return to Index" xr:uid="{00000000-0004-0000-0E00-000000000000}"/>
    <hyperlink ref="B3:C3" location="'Project Summary'!A1" display="Return to Project Summary" xr:uid="{00000000-0004-0000-0E00-000001000000}"/>
  </hyperlink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ED1197"/>
  <sheetViews>
    <sheetView zoomScale="90" zoomScaleNormal="90" workbookViewId="0">
      <selection activeCell="A7" sqref="A7:XFD7"/>
    </sheetView>
  </sheetViews>
  <sheetFormatPr defaultRowHeight="15"/>
  <cols>
    <col min="1" max="1" width="3.7109375" customWidth="1"/>
    <col min="3" max="3" width="24" customWidth="1"/>
    <col min="4" max="4" width="24.140625" customWidth="1"/>
    <col min="5" max="5" width="23.140625" customWidth="1"/>
    <col min="6" max="8" width="23.85546875" customWidth="1"/>
    <col min="9" max="9" width="17.5703125" customWidth="1"/>
    <col min="10" max="10" width="11.42578125" customWidth="1"/>
    <col min="11" max="11" width="11.42578125" hidden="1" customWidth="1"/>
    <col min="12" max="12" width="20.42578125" hidden="1" customWidth="1"/>
    <col min="13" max="13" width="43" hidden="1" customWidth="1"/>
    <col min="14" max="14" width="11.28515625" hidden="1" customWidth="1"/>
    <col min="15" max="15" width="11.5703125" hidden="1" customWidth="1"/>
    <col min="16" max="18" width="12.5703125" hidden="1" customWidth="1"/>
    <col min="19" max="19" width="18.140625" customWidth="1"/>
    <col min="20" max="20" width="16.7109375" customWidth="1"/>
    <col min="21" max="21" width="12.7109375" customWidth="1"/>
    <col min="22" max="22" width="12.7109375" hidden="1" customWidth="1"/>
    <col min="23" max="23" width="27.85546875" hidden="1" customWidth="1"/>
    <col min="24" max="24" width="8.140625" customWidth="1"/>
    <col min="25" max="134" width="9.140625" style="97"/>
  </cols>
  <sheetData>
    <row r="1" spans="1:24" ht="19.5" customHeight="1">
      <c r="A1" s="41"/>
      <c r="B1" s="41"/>
      <c r="C1" s="41"/>
      <c r="D1" s="41"/>
      <c r="E1" s="41"/>
      <c r="F1" s="41"/>
      <c r="G1" s="41"/>
      <c r="H1" s="41"/>
      <c r="I1" s="41"/>
      <c r="J1" s="41"/>
      <c r="K1" s="41"/>
      <c r="L1" s="28"/>
      <c r="M1" s="28"/>
      <c r="N1" s="28"/>
      <c r="O1" s="28"/>
      <c r="P1" s="28"/>
      <c r="Q1" s="28"/>
      <c r="R1" s="28"/>
      <c r="S1" s="41"/>
      <c r="T1" s="41"/>
      <c r="U1" s="41"/>
      <c r="V1" s="28" t="s">
        <v>116</v>
      </c>
      <c r="W1" s="28" t="s">
        <v>602</v>
      </c>
      <c r="X1" s="98"/>
    </row>
    <row r="2" spans="1:24" ht="27" customHeight="1">
      <c r="A2" s="41"/>
      <c r="B2" s="415" t="s">
        <v>603</v>
      </c>
      <c r="C2" s="416"/>
      <c r="D2" s="416"/>
      <c r="E2" s="416"/>
      <c r="F2" s="416"/>
      <c r="G2" s="416"/>
      <c r="H2" s="416"/>
      <c r="I2" s="416"/>
      <c r="J2" s="416"/>
      <c r="K2" s="416"/>
      <c r="L2" s="416"/>
      <c r="M2" s="416"/>
      <c r="N2" s="416"/>
      <c r="O2" s="416"/>
      <c r="P2" s="416"/>
      <c r="Q2" s="416"/>
      <c r="R2" s="416"/>
      <c r="S2" s="416"/>
      <c r="T2" s="416"/>
      <c r="U2" s="416"/>
      <c r="V2" s="28"/>
      <c r="W2" s="28"/>
      <c r="X2" s="98"/>
    </row>
    <row r="3" spans="1:24" ht="23.25" customHeight="1">
      <c r="A3" s="41"/>
      <c r="B3" s="393" t="s">
        <v>119</v>
      </c>
      <c r="C3" s="394"/>
      <c r="D3" s="401" t="s">
        <v>604</v>
      </c>
      <c r="E3" s="401"/>
      <c r="F3" s="401"/>
      <c r="G3" s="401"/>
      <c r="H3" s="401"/>
      <c r="I3" s="401"/>
      <c r="J3" s="41"/>
      <c r="K3" s="41"/>
      <c r="L3" s="28"/>
      <c r="M3" s="28"/>
      <c r="N3" s="28"/>
      <c r="O3" s="28"/>
      <c r="P3" s="28"/>
      <c r="Q3" s="28"/>
      <c r="R3" s="28"/>
      <c r="S3" s="41"/>
      <c r="T3" s="41"/>
      <c r="U3" s="41"/>
      <c r="V3" s="28"/>
      <c r="W3" s="28"/>
      <c r="X3" s="98"/>
    </row>
    <row r="4" spans="1:24" ht="27.75" customHeight="1">
      <c r="A4" s="41"/>
      <c r="B4" s="41"/>
      <c r="C4" s="41"/>
      <c r="D4" s="401"/>
      <c r="E4" s="401"/>
      <c r="F4" s="401"/>
      <c r="G4" s="401"/>
      <c r="H4" s="401"/>
      <c r="I4" s="401"/>
      <c r="J4" s="41"/>
      <c r="K4" s="28"/>
      <c r="L4" s="28"/>
      <c r="M4" s="28"/>
      <c r="N4" s="28"/>
      <c r="O4" s="28"/>
      <c r="P4" s="28"/>
      <c r="Q4" s="28"/>
      <c r="R4" s="28"/>
      <c r="S4" s="41"/>
      <c r="T4" s="41"/>
      <c r="U4" s="41"/>
      <c r="V4" s="28"/>
      <c r="W4" s="28"/>
      <c r="X4" s="98"/>
    </row>
    <row r="5" spans="1:24" ht="12.75" customHeight="1">
      <c r="A5" s="41"/>
      <c r="B5" s="41"/>
      <c r="C5" s="41"/>
      <c r="D5" s="41"/>
      <c r="E5" s="41"/>
      <c r="F5" s="41"/>
      <c r="G5" s="41"/>
      <c r="H5" s="41"/>
      <c r="I5" s="41"/>
      <c r="J5" s="41"/>
      <c r="K5" s="28"/>
      <c r="L5" s="28"/>
      <c r="M5" s="28"/>
      <c r="N5" s="28"/>
      <c r="O5" s="28"/>
      <c r="P5" s="28"/>
      <c r="Q5" s="28"/>
      <c r="R5" s="28"/>
      <c r="S5" s="41"/>
      <c r="T5" s="41"/>
      <c r="U5" s="41"/>
      <c r="V5" s="28"/>
      <c r="W5" s="28"/>
      <c r="X5" s="98"/>
    </row>
    <row r="6" spans="1:24" ht="36" customHeight="1">
      <c r="A6" s="41"/>
      <c r="B6" s="179" t="s">
        <v>234</v>
      </c>
      <c r="C6" s="179" t="s">
        <v>122</v>
      </c>
      <c r="D6" s="180" t="s">
        <v>123</v>
      </c>
      <c r="E6" s="180" t="s">
        <v>126</v>
      </c>
      <c r="F6" s="180" t="s">
        <v>127</v>
      </c>
      <c r="G6" s="180" t="s">
        <v>235</v>
      </c>
      <c r="H6" s="180" t="s">
        <v>537</v>
      </c>
      <c r="I6" s="180" t="s">
        <v>605</v>
      </c>
      <c r="J6" s="180" t="s">
        <v>53</v>
      </c>
      <c r="K6" s="180" t="s">
        <v>124</v>
      </c>
      <c r="L6" s="180" t="s">
        <v>606</v>
      </c>
      <c r="M6" s="180" t="s">
        <v>294</v>
      </c>
      <c r="N6" s="180" t="s">
        <v>387</v>
      </c>
      <c r="O6" s="180" t="s">
        <v>133</v>
      </c>
      <c r="P6" s="180" t="s">
        <v>607</v>
      </c>
      <c r="Q6" s="180" t="s">
        <v>608</v>
      </c>
      <c r="R6" s="180" t="s">
        <v>255</v>
      </c>
      <c r="S6" s="180" t="s">
        <v>424</v>
      </c>
      <c r="T6" s="180" t="s">
        <v>136</v>
      </c>
      <c r="U6" s="180" t="s">
        <v>56</v>
      </c>
      <c r="V6" s="181" t="s">
        <v>137</v>
      </c>
      <c r="W6" s="181" t="s">
        <v>257</v>
      </c>
      <c r="X6" s="98"/>
    </row>
    <row r="7" spans="1:24" ht="36" hidden="1" customHeight="1">
      <c r="A7" s="41"/>
      <c r="B7" s="274" t="s">
        <v>140</v>
      </c>
      <c r="C7" s="274"/>
      <c r="D7" s="273" t="s">
        <v>141</v>
      </c>
      <c r="E7" s="273" t="s">
        <v>144</v>
      </c>
      <c r="F7" s="273" t="s">
        <v>145</v>
      </c>
      <c r="G7" s="273" t="s">
        <v>258</v>
      </c>
      <c r="H7" s="273" t="s">
        <v>143</v>
      </c>
      <c r="I7" s="273" t="s">
        <v>609</v>
      </c>
      <c r="J7" s="273" t="s">
        <v>610</v>
      </c>
      <c r="K7" s="273" t="s">
        <v>142</v>
      </c>
      <c r="L7" s="273"/>
      <c r="M7" s="273" t="s">
        <v>153</v>
      </c>
      <c r="N7" s="273"/>
      <c r="O7" s="273"/>
      <c r="P7" s="273"/>
      <c r="Q7" s="273"/>
      <c r="R7" s="273" t="s">
        <v>148</v>
      </c>
      <c r="S7" s="273" t="s">
        <v>149</v>
      </c>
      <c r="T7" s="273" t="s">
        <v>150</v>
      </c>
      <c r="U7" s="273" t="s">
        <v>151</v>
      </c>
      <c r="V7" s="278" t="s">
        <v>152</v>
      </c>
      <c r="W7" s="278" t="s">
        <v>154</v>
      </c>
      <c r="X7" s="98"/>
    </row>
    <row r="8" spans="1:24" ht="18" customHeight="1">
      <c r="A8" s="41"/>
      <c r="B8" s="248">
        <v>1</v>
      </c>
      <c r="C8" s="9" t="s">
        <v>71</v>
      </c>
      <c r="D8" s="58"/>
      <c r="E8" s="44"/>
      <c r="F8" s="11"/>
      <c r="G8" s="11"/>
      <c r="H8" s="11"/>
      <c r="I8" s="58"/>
      <c r="J8" s="12"/>
      <c r="K8" s="101" t="str">
        <f>IF(D8=$C$29,$D$29,IF(D8=$C$30,$D$30,""))</f>
        <v/>
      </c>
      <c r="L8" s="101" t="str">
        <f t="shared" ref="L8:L15" si="0">IF(I8="","", IF(I8&gt;=28,$C$19,IF(I8&lt;13,$C$21,$C$20)))</f>
        <v/>
      </c>
      <c r="M8" s="101" t="e">
        <f>VLOOKUP(L8, $C$19:$F$21, 4, FALSE)</f>
        <v>#N/A</v>
      </c>
      <c r="N8" s="101">
        <f>15*365</f>
        <v>5475</v>
      </c>
      <c r="O8" s="210">
        <v>0.9</v>
      </c>
      <c r="P8" s="10" t="str">
        <f>IF(OR(J8="",I8=""), "", I8*40)</f>
        <v/>
      </c>
      <c r="Q8" s="10" t="str">
        <f>IF(OR(I8="", J8=""), "", IF(L8=$C$19, (3.8*I8)+203.5, IF(L8=$C$20, (2*I8)+254, 21.5*I8)))</f>
        <v/>
      </c>
      <c r="R8" s="10" t="str">
        <f>IFERROR(ROUND(IF(J8="","",((P8-Q8)/1000)*J8),6),"")</f>
        <v/>
      </c>
      <c r="S8" s="16" t="str">
        <f>IFERROR(ROUND(IF(J8="","",((P8-Q8)/1000)*O8*J8),6),"")</f>
        <v/>
      </c>
      <c r="T8" s="17" t="str">
        <f>IFERROR(ROUND(IF(OR(I8="",J8=""),"",(((P8-Q8)/1000)*N8)*J8),4),"")</f>
        <v/>
      </c>
      <c r="U8" s="132" t="str">
        <f>IF(J8="", "", VLOOKUP(L8, $C$24:$D$26, 2, FALSE)*J8)</f>
        <v/>
      </c>
      <c r="V8" s="59">
        <f>H8</f>
        <v>0</v>
      </c>
      <c r="W8" s="59" t="str">
        <f>IF(T8&gt;0,"Yes","No")</f>
        <v>Yes</v>
      </c>
      <c r="X8" s="98"/>
    </row>
    <row r="9" spans="1:24" ht="18" customHeight="1">
      <c r="A9" s="41"/>
      <c r="B9" s="248">
        <v>2</v>
      </c>
      <c r="C9" s="9" t="s">
        <v>71</v>
      </c>
      <c r="D9" s="58"/>
      <c r="E9" s="44"/>
      <c r="F9" s="11"/>
      <c r="G9" s="11"/>
      <c r="H9" s="11"/>
      <c r="I9" s="58"/>
      <c r="J9" s="12"/>
      <c r="K9" s="101" t="str">
        <f t="shared" ref="K9:K15" si="1">IF(D9=$C$29,$D$29,IF(D9=$C$30,$D$30,""))</f>
        <v/>
      </c>
      <c r="L9" s="101" t="str">
        <f t="shared" si="0"/>
        <v/>
      </c>
      <c r="M9" s="101" t="e">
        <f t="shared" ref="M9:M15" si="2">VLOOKUP(L9, $C$19:$F$21, 4, FALSE)</f>
        <v>#N/A</v>
      </c>
      <c r="N9" s="101">
        <f t="shared" ref="N9:N15" si="3">15*365</f>
        <v>5475</v>
      </c>
      <c r="O9" s="210">
        <v>0.9</v>
      </c>
      <c r="P9" s="10" t="str">
        <f t="shared" ref="P9:P15" si="4">IF(OR(J9="",I9=""), "", I9*40)</f>
        <v/>
      </c>
      <c r="Q9" s="10" t="str">
        <f t="shared" ref="Q9:Q15" si="5">IF(OR(I9="", J9=""), "", IF(L9=$C$19, (3.8*I9)+203.5, IF(L9=$C$20, (2*I9)+254, 21.5*I9)))</f>
        <v/>
      </c>
      <c r="R9" s="10" t="str">
        <f t="shared" ref="R9:R15" si="6">IFERROR(ROUND(IF(J9="","",((P9-Q9)/1000)*J9),6),"")</f>
        <v/>
      </c>
      <c r="S9" s="16" t="str">
        <f t="shared" ref="S9:S15" si="7">IFERROR(ROUND(IF(J9="","",((P9-Q9)/1000)*O9*J9),6),"")</f>
        <v/>
      </c>
      <c r="T9" s="17" t="str">
        <f t="shared" ref="T9:T15" si="8">IFERROR(ROUND(IF(OR(I9="",J9=""),"",(((P9-Q9)/1000)*N9)*J9),4),"")</f>
        <v/>
      </c>
      <c r="U9" s="132" t="str">
        <f t="shared" ref="U9:U15" si="9">IF(J9="", "", VLOOKUP(L9, $C$24:$D$26, 2, FALSE)*J9)</f>
        <v/>
      </c>
      <c r="V9" s="59">
        <f t="shared" ref="V9:V15" si="10">H9</f>
        <v>0</v>
      </c>
      <c r="W9" s="59" t="str">
        <f t="shared" ref="W9:W15" si="11">IF(T9&gt;0,"Yes","No")</f>
        <v>Yes</v>
      </c>
      <c r="X9" s="98"/>
    </row>
    <row r="10" spans="1:24" ht="18" customHeight="1">
      <c r="A10" s="41"/>
      <c r="B10" s="248">
        <v>3</v>
      </c>
      <c r="C10" s="9" t="s">
        <v>71</v>
      </c>
      <c r="D10" s="58"/>
      <c r="E10" s="44"/>
      <c r="F10" s="11"/>
      <c r="G10" s="11"/>
      <c r="H10" s="11"/>
      <c r="I10" s="58"/>
      <c r="J10" s="12"/>
      <c r="K10" s="101" t="str">
        <f t="shared" si="1"/>
        <v/>
      </c>
      <c r="L10" s="101" t="str">
        <f t="shared" si="0"/>
        <v/>
      </c>
      <c r="M10" s="101" t="e">
        <f t="shared" si="2"/>
        <v>#N/A</v>
      </c>
      <c r="N10" s="101">
        <f t="shared" si="3"/>
        <v>5475</v>
      </c>
      <c r="O10" s="210">
        <v>0.9</v>
      </c>
      <c r="P10" s="10" t="str">
        <f t="shared" si="4"/>
        <v/>
      </c>
      <c r="Q10" s="10" t="str">
        <f t="shared" si="5"/>
        <v/>
      </c>
      <c r="R10" s="10" t="str">
        <f t="shared" si="6"/>
        <v/>
      </c>
      <c r="S10" s="16" t="str">
        <f t="shared" si="7"/>
        <v/>
      </c>
      <c r="T10" s="17" t="str">
        <f t="shared" si="8"/>
        <v/>
      </c>
      <c r="U10" s="132" t="str">
        <f t="shared" si="9"/>
        <v/>
      </c>
      <c r="V10" s="59">
        <f t="shared" si="10"/>
        <v>0</v>
      </c>
      <c r="W10" s="59" t="str">
        <f t="shared" si="11"/>
        <v>Yes</v>
      </c>
      <c r="X10" s="98"/>
    </row>
    <row r="11" spans="1:24" ht="18" customHeight="1">
      <c r="A11" s="41"/>
      <c r="B11" s="248">
        <v>4</v>
      </c>
      <c r="C11" s="9" t="s">
        <v>71</v>
      </c>
      <c r="D11" s="58"/>
      <c r="E11" s="44"/>
      <c r="F11" s="11"/>
      <c r="G11" s="11"/>
      <c r="H11" s="11"/>
      <c r="I11" s="58"/>
      <c r="J11" s="12"/>
      <c r="K11" s="101" t="str">
        <f t="shared" si="1"/>
        <v/>
      </c>
      <c r="L11" s="101" t="str">
        <f t="shared" si="0"/>
        <v/>
      </c>
      <c r="M11" s="101" t="e">
        <f t="shared" si="2"/>
        <v>#N/A</v>
      </c>
      <c r="N11" s="101">
        <f t="shared" si="3"/>
        <v>5475</v>
      </c>
      <c r="O11" s="210">
        <v>0.9</v>
      </c>
      <c r="P11" s="10" t="str">
        <f t="shared" si="4"/>
        <v/>
      </c>
      <c r="Q11" s="10" t="str">
        <f t="shared" si="5"/>
        <v/>
      </c>
      <c r="R11" s="10" t="str">
        <f t="shared" si="6"/>
        <v/>
      </c>
      <c r="S11" s="16" t="str">
        <f t="shared" si="7"/>
        <v/>
      </c>
      <c r="T11" s="17" t="str">
        <f t="shared" si="8"/>
        <v/>
      </c>
      <c r="U11" s="132" t="str">
        <f t="shared" si="9"/>
        <v/>
      </c>
      <c r="V11" s="59">
        <f t="shared" si="10"/>
        <v>0</v>
      </c>
      <c r="W11" s="59" t="str">
        <f t="shared" si="11"/>
        <v>Yes</v>
      </c>
      <c r="X11" s="98"/>
    </row>
    <row r="12" spans="1:24" ht="18" customHeight="1">
      <c r="A12" s="41"/>
      <c r="B12" s="248">
        <v>5</v>
      </c>
      <c r="C12" s="9" t="s">
        <v>71</v>
      </c>
      <c r="D12" s="58"/>
      <c r="E12" s="44"/>
      <c r="F12" s="11"/>
      <c r="G12" s="11"/>
      <c r="H12" s="11"/>
      <c r="I12" s="58"/>
      <c r="J12" s="12"/>
      <c r="K12" s="101" t="str">
        <f t="shared" si="1"/>
        <v/>
      </c>
      <c r="L12" s="101" t="str">
        <f t="shared" si="0"/>
        <v/>
      </c>
      <c r="M12" s="101" t="e">
        <f t="shared" si="2"/>
        <v>#N/A</v>
      </c>
      <c r="N12" s="101">
        <f t="shared" si="3"/>
        <v>5475</v>
      </c>
      <c r="O12" s="210">
        <v>0.9</v>
      </c>
      <c r="P12" s="10" t="str">
        <f t="shared" si="4"/>
        <v/>
      </c>
      <c r="Q12" s="10" t="str">
        <f t="shared" si="5"/>
        <v/>
      </c>
      <c r="R12" s="10" t="str">
        <f t="shared" si="6"/>
        <v/>
      </c>
      <c r="S12" s="16" t="str">
        <f t="shared" si="7"/>
        <v/>
      </c>
      <c r="T12" s="17" t="str">
        <f t="shared" si="8"/>
        <v/>
      </c>
      <c r="U12" s="132" t="str">
        <f t="shared" si="9"/>
        <v/>
      </c>
      <c r="V12" s="59">
        <f t="shared" si="10"/>
        <v>0</v>
      </c>
      <c r="W12" s="59" t="str">
        <f t="shared" si="11"/>
        <v>Yes</v>
      </c>
      <c r="X12" s="98"/>
    </row>
    <row r="13" spans="1:24" ht="18" customHeight="1">
      <c r="A13" s="41"/>
      <c r="B13" s="248">
        <v>6</v>
      </c>
      <c r="C13" s="9" t="s">
        <v>71</v>
      </c>
      <c r="D13" s="58"/>
      <c r="E13" s="44"/>
      <c r="F13" s="11"/>
      <c r="G13" s="11"/>
      <c r="H13" s="11"/>
      <c r="I13" s="58"/>
      <c r="J13" s="12"/>
      <c r="K13" s="101" t="str">
        <f t="shared" si="1"/>
        <v/>
      </c>
      <c r="L13" s="101" t="str">
        <f t="shared" si="0"/>
        <v/>
      </c>
      <c r="M13" s="101" t="e">
        <f t="shared" si="2"/>
        <v>#N/A</v>
      </c>
      <c r="N13" s="101">
        <f t="shared" si="3"/>
        <v>5475</v>
      </c>
      <c r="O13" s="210">
        <v>0.9</v>
      </c>
      <c r="P13" s="10" t="str">
        <f t="shared" si="4"/>
        <v/>
      </c>
      <c r="Q13" s="10" t="str">
        <f t="shared" si="5"/>
        <v/>
      </c>
      <c r="R13" s="10" t="str">
        <f t="shared" si="6"/>
        <v/>
      </c>
      <c r="S13" s="16" t="str">
        <f t="shared" si="7"/>
        <v/>
      </c>
      <c r="T13" s="17" t="str">
        <f t="shared" si="8"/>
        <v/>
      </c>
      <c r="U13" s="132" t="str">
        <f t="shared" si="9"/>
        <v/>
      </c>
      <c r="V13" s="59">
        <f t="shared" si="10"/>
        <v>0</v>
      </c>
      <c r="W13" s="59" t="str">
        <f t="shared" si="11"/>
        <v>Yes</v>
      </c>
      <c r="X13" s="98"/>
    </row>
    <row r="14" spans="1:24" ht="18" customHeight="1">
      <c r="A14" s="41"/>
      <c r="B14" s="248">
        <v>7</v>
      </c>
      <c r="C14" s="9" t="s">
        <v>71</v>
      </c>
      <c r="D14" s="58"/>
      <c r="E14" s="44"/>
      <c r="F14" s="11"/>
      <c r="G14" s="11"/>
      <c r="H14" s="11"/>
      <c r="I14" s="58"/>
      <c r="J14" s="12"/>
      <c r="K14" s="101" t="str">
        <f t="shared" si="1"/>
        <v/>
      </c>
      <c r="L14" s="101" t="str">
        <f t="shared" si="0"/>
        <v/>
      </c>
      <c r="M14" s="101" t="e">
        <f t="shared" si="2"/>
        <v>#N/A</v>
      </c>
      <c r="N14" s="101">
        <f t="shared" si="3"/>
        <v>5475</v>
      </c>
      <c r="O14" s="210">
        <v>0.9</v>
      </c>
      <c r="P14" s="10" t="str">
        <f t="shared" si="4"/>
        <v/>
      </c>
      <c r="Q14" s="10" t="str">
        <f t="shared" si="5"/>
        <v/>
      </c>
      <c r="R14" s="10" t="str">
        <f t="shared" si="6"/>
        <v/>
      </c>
      <c r="S14" s="16" t="str">
        <f t="shared" si="7"/>
        <v/>
      </c>
      <c r="T14" s="17" t="str">
        <f t="shared" si="8"/>
        <v/>
      </c>
      <c r="U14" s="132" t="str">
        <f t="shared" si="9"/>
        <v/>
      </c>
      <c r="V14" s="59">
        <f t="shared" si="10"/>
        <v>0</v>
      </c>
      <c r="W14" s="59" t="str">
        <f t="shared" si="11"/>
        <v>Yes</v>
      </c>
      <c r="X14" s="98"/>
    </row>
    <row r="15" spans="1:24" ht="18" customHeight="1">
      <c r="A15" s="41"/>
      <c r="B15" s="248">
        <v>8</v>
      </c>
      <c r="C15" s="9" t="s">
        <v>71</v>
      </c>
      <c r="D15" s="58"/>
      <c r="E15" s="44"/>
      <c r="F15" s="11"/>
      <c r="G15" s="11"/>
      <c r="H15" s="11"/>
      <c r="I15" s="58"/>
      <c r="J15" s="12"/>
      <c r="K15" s="101" t="str">
        <f t="shared" si="1"/>
        <v/>
      </c>
      <c r="L15" s="101" t="str">
        <f t="shared" si="0"/>
        <v/>
      </c>
      <c r="M15" s="101" t="e">
        <f t="shared" si="2"/>
        <v>#N/A</v>
      </c>
      <c r="N15" s="101">
        <f t="shared" si="3"/>
        <v>5475</v>
      </c>
      <c r="O15" s="210">
        <v>0.9</v>
      </c>
      <c r="P15" s="10" t="str">
        <f t="shared" si="4"/>
        <v/>
      </c>
      <c r="Q15" s="10" t="str">
        <f t="shared" si="5"/>
        <v/>
      </c>
      <c r="R15" s="10" t="str">
        <f t="shared" si="6"/>
        <v/>
      </c>
      <c r="S15" s="16" t="str">
        <f t="shared" si="7"/>
        <v/>
      </c>
      <c r="T15" s="17" t="str">
        <f t="shared" si="8"/>
        <v/>
      </c>
      <c r="U15" s="132" t="str">
        <f t="shared" si="9"/>
        <v/>
      </c>
      <c r="V15" s="59">
        <f t="shared" si="10"/>
        <v>0</v>
      </c>
      <c r="W15" s="59" t="str">
        <f t="shared" si="11"/>
        <v>Yes</v>
      </c>
      <c r="X15" s="98"/>
    </row>
    <row r="16" spans="1:24" hidden="1">
      <c r="A16" s="28"/>
      <c r="C16" s="137"/>
      <c r="D16" s="137"/>
      <c r="E16" s="137"/>
      <c r="F16" s="137"/>
      <c r="G16" s="137"/>
      <c r="H16" s="137"/>
      <c r="I16" s="137"/>
      <c r="J16" s="137"/>
      <c r="K16" s="137"/>
      <c r="L16" s="137"/>
      <c r="M16" s="137"/>
      <c r="N16" s="137"/>
      <c r="O16" s="137"/>
      <c r="P16" s="138"/>
      <c r="Q16" s="138"/>
      <c r="R16" s="138"/>
      <c r="X16" s="98"/>
    </row>
    <row r="17" spans="1:24" hidden="1">
      <c r="A17" s="28"/>
      <c r="X17" s="98"/>
    </row>
    <row r="18" spans="1:24" ht="18" hidden="1">
      <c r="A18" s="28"/>
      <c r="C18" s="139" t="s">
        <v>611</v>
      </c>
      <c r="D18" s="249" t="s">
        <v>612</v>
      </c>
      <c r="E18" s="249" t="s">
        <v>613</v>
      </c>
      <c r="F18" s="249" t="s">
        <v>294</v>
      </c>
      <c r="G18" s="302"/>
      <c r="H18" s="302"/>
      <c r="X18" s="98"/>
    </row>
    <row r="19" spans="1:24" hidden="1">
      <c r="A19" s="28"/>
      <c r="C19" s="140" t="s">
        <v>532</v>
      </c>
      <c r="D19" s="6" t="s">
        <v>614</v>
      </c>
      <c r="E19" s="6" t="s">
        <v>615</v>
      </c>
      <c r="F19" s="4" t="s">
        <v>616</v>
      </c>
      <c r="X19" s="98"/>
    </row>
    <row r="20" spans="1:24" hidden="1">
      <c r="A20" s="28"/>
      <c r="C20" s="140" t="s">
        <v>617</v>
      </c>
      <c r="D20" s="6" t="s">
        <v>614</v>
      </c>
      <c r="E20" s="6" t="s">
        <v>618</v>
      </c>
      <c r="F20" s="4" t="s">
        <v>616</v>
      </c>
      <c r="X20" s="98"/>
    </row>
    <row r="21" spans="1:24" hidden="1">
      <c r="A21" s="28"/>
      <c r="C21" s="140" t="s">
        <v>531</v>
      </c>
      <c r="D21" s="6" t="s">
        <v>614</v>
      </c>
      <c r="E21" s="6" t="s">
        <v>619</v>
      </c>
      <c r="F21" s="4" t="s">
        <v>616</v>
      </c>
      <c r="X21" s="98"/>
    </row>
    <row r="22" spans="1:24" hidden="1">
      <c r="A22" s="28"/>
      <c r="D22" s="34"/>
      <c r="E22" s="34"/>
      <c r="X22" s="98"/>
    </row>
    <row r="23" spans="1:24" hidden="1">
      <c r="A23" s="28"/>
      <c r="C23" s="139" t="s">
        <v>122</v>
      </c>
      <c r="D23" s="249" t="s">
        <v>56</v>
      </c>
      <c r="E23" s="34"/>
      <c r="X23" s="98"/>
    </row>
    <row r="24" spans="1:24" hidden="1">
      <c r="A24" s="28"/>
      <c r="C24" s="140" t="s">
        <v>532</v>
      </c>
      <c r="D24" s="83">
        <v>250</v>
      </c>
      <c r="E24" s="6" t="s">
        <v>620</v>
      </c>
      <c r="X24" s="98"/>
    </row>
    <row r="25" spans="1:24" hidden="1">
      <c r="A25" s="28"/>
      <c r="C25" s="140" t="s">
        <v>617</v>
      </c>
      <c r="D25" s="240">
        <v>200</v>
      </c>
      <c r="E25" s="6" t="s">
        <v>620</v>
      </c>
      <c r="X25" s="98"/>
    </row>
    <row r="26" spans="1:24" hidden="1">
      <c r="A26" s="28"/>
      <c r="C26" s="140" t="s">
        <v>531</v>
      </c>
      <c r="D26" s="240">
        <v>150</v>
      </c>
      <c r="E26" s="6" t="s">
        <v>620</v>
      </c>
      <c r="X26" s="98"/>
    </row>
    <row r="27" spans="1:24" hidden="1">
      <c r="A27" s="28"/>
      <c r="X27" s="98"/>
    </row>
    <row r="28" spans="1:24" hidden="1">
      <c r="A28" s="28"/>
      <c r="C28" s="14" t="s">
        <v>123</v>
      </c>
      <c r="D28" s="14" t="s">
        <v>124</v>
      </c>
      <c r="E28" s="48" t="s">
        <v>308</v>
      </c>
      <c r="X28" s="98"/>
    </row>
    <row r="29" spans="1:24" hidden="1">
      <c r="A29" s="28"/>
      <c r="C29" s="19" t="s">
        <v>164</v>
      </c>
      <c r="D29" s="19" t="s">
        <v>164</v>
      </c>
      <c r="E29" s="5">
        <v>12</v>
      </c>
      <c r="F29" s="6" t="s">
        <v>458</v>
      </c>
      <c r="G29" s="34"/>
      <c r="H29" s="34"/>
      <c r="X29" s="98"/>
    </row>
    <row r="30" spans="1:24" hidden="1">
      <c r="A30" s="28"/>
      <c r="C30" s="19" t="s">
        <v>169</v>
      </c>
      <c r="D30" s="19" t="s">
        <v>170</v>
      </c>
      <c r="X30" s="98"/>
    </row>
    <row r="31" spans="1:24" ht="17.25" customHeight="1">
      <c r="A31" s="98"/>
      <c r="B31" s="98"/>
      <c r="C31" s="98"/>
      <c r="D31" s="98"/>
      <c r="E31" s="98"/>
      <c r="F31" s="98"/>
      <c r="G31" s="98"/>
      <c r="H31" s="98"/>
      <c r="I31" s="98"/>
      <c r="J31" s="98"/>
      <c r="K31" s="98"/>
      <c r="L31" s="98"/>
      <c r="M31" s="98"/>
      <c r="N31" s="98"/>
      <c r="O31" s="98"/>
      <c r="P31" s="98"/>
      <c r="Q31" s="98"/>
      <c r="R31" s="98"/>
      <c r="S31" s="98"/>
      <c r="T31" s="98"/>
      <c r="U31" s="98"/>
      <c r="V31" s="98"/>
      <c r="X31" s="98"/>
    </row>
    <row r="32" spans="1:24" ht="17.25" customHeight="1">
      <c r="A32" s="98"/>
      <c r="B32" s="98"/>
      <c r="C32" s="98"/>
      <c r="D32" s="98"/>
      <c r="E32" s="98"/>
      <c r="F32" s="98"/>
      <c r="G32" s="98"/>
      <c r="H32" s="98"/>
      <c r="I32" s="98"/>
      <c r="J32" s="98"/>
      <c r="K32" s="98"/>
      <c r="L32" s="98"/>
      <c r="M32" s="98"/>
      <c r="N32" s="98"/>
      <c r="O32" s="98"/>
      <c r="P32" s="98"/>
      <c r="Q32" s="98"/>
      <c r="R32" s="98"/>
      <c r="S32" s="98"/>
      <c r="T32" s="98"/>
      <c r="U32" s="98"/>
      <c r="V32" s="98"/>
      <c r="X32" s="98"/>
    </row>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sheetData>
  <sheetProtection algorithmName="SHA-512" hashValue="zoXD4ThfjN2DaszDC/B20Zw/Y8EjVyNLwHOnYcGmll8mTtHH8gKR+FqdmYA79yeSqFF7UIscgnlp3njHUjH+LA==" saltValue="DMUB21r277HMFIL4/jnDtw==" spinCount="100000" sheet="1" selectLockedCells="1"/>
  <mergeCells count="3">
    <mergeCell ref="B3:C3"/>
    <mergeCell ref="B2:U2"/>
    <mergeCell ref="D3:I4"/>
  </mergeCells>
  <phoneticPr fontId="39" type="noConversion"/>
  <dataValidations disablePrompts="1" count="1">
    <dataValidation type="list" allowBlank="1" showInputMessage="1" showErrorMessage="1" sqref="D8:D15" xr:uid="{00000000-0002-0000-0F00-000000000000}">
      <formula1>$C$29:$C$30</formula1>
    </dataValidation>
  </dataValidations>
  <hyperlinks>
    <hyperlink ref="B3" location="'Calculator Index'!A1" display="Return to Index" xr:uid="{00000000-0004-0000-0F00-000000000000}"/>
    <hyperlink ref="B3:C3" location="'Project Summary'!A1" display="Return to Project Summary" xr:uid="{00000000-0004-0000-0F00-00000100000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182C8-D4F0-44EA-8077-0194636C6C1F}">
  <dimension ref="A1:X556"/>
  <sheetViews>
    <sheetView topLeftCell="B1" zoomScaleNormal="100" workbookViewId="0">
      <selection activeCell="B3" sqref="B3:C3"/>
    </sheetView>
  </sheetViews>
  <sheetFormatPr defaultRowHeight="15"/>
  <cols>
    <col min="1" max="1" width="3.7109375" customWidth="1"/>
    <col min="2" max="2" width="5.85546875" customWidth="1"/>
    <col min="3" max="3" width="24.7109375" customWidth="1"/>
    <col min="4" max="4" width="48" bestFit="1" customWidth="1"/>
    <col min="5" max="5" width="29.140625" bestFit="1" customWidth="1"/>
    <col min="6" max="7" width="19.5703125" customWidth="1"/>
    <col min="8" max="8" width="46.28515625" bestFit="1" customWidth="1"/>
    <col min="9" max="9" width="13" customWidth="1"/>
    <col min="10" max="10" width="13" hidden="1" customWidth="1"/>
    <col min="11" max="17" width="14.42578125" hidden="1" customWidth="1"/>
    <col min="18" max="18" width="19.140625" customWidth="1"/>
    <col min="19" max="19" width="17" customWidth="1"/>
    <col min="20" max="20" width="13.42578125" customWidth="1"/>
    <col min="21" max="21" width="14.7109375" hidden="1" customWidth="1"/>
    <col min="22" max="23" width="10" hidden="1" customWidth="1"/>
    <col min="24" max="24" width="8" customWidth="1"/>
    <col min="25" max="25" width="8.28515625" style="97" customWidth="1"/>
    <col min="26" max="26" width="18.42578125" style="97" customWidth="1"/>
    <col min="27" max="27" width="14.28515625" style="97" customWidth="1"/>
    <col min="28" max="28" width="16.7109375" style="97" customWidth="1"/>
    <col min="29" max="259" width="9.140625" style="97"/>
    <col min="260" max="260" width="3.7109375" style="97" customWidth="1"/>
    <col min="261" max="261" width="5.85546875" style="97" customWidth="1"/>
    <col min="262" max="262" width="24.7109375" style="97" customWidth="1"/>
    <col min="263" max="263" width="48" style="97" bestFit="1" customWidth="1"/>
    <col min="264" max="264" width="29.140625" style="97" bestFit="1" customWidth="1"/>
    <col min="265" max="265" width="19.5703125" style="97" customWidth="1"/>
    <col min="266" max="266" width="46.28515625" style="97" bestFit="1" customWidth="1"/>
    <col min="267" max="267" width="13" style="97" customWidth="1"/>
    <col min="268" max="274" width="14.42578125" style="97" customWidth="1"/>
    <col min="275" max="275" width="19.140625" style="97" customWidth="1"/>
    <col min="276" max="276" width="17" style="97" customWidth="1"/>
    <col min="277" max="277" width="13.42578125" style="97" customWidth="1"/>
    <col min="278" max="278" width="14.7109375" style="97" customWidth="1"/>
    <col min="279" max="279" width="10" style="97" customWidth="1"/>
    <col min="280" max="280" width="8" style="97" customWidth="1"/>
    <col min="281" max="281" width="8.28515625" style="97" customWidth="1"/>
    <col min="282" max="282" width="18.42578125" style="97" customWidth="1"/>
    <col min="283" max="283" width="14.28515625" style="97" customWidth="1"/>
    <col min="284" max="284" width="16.7109375" style="97" customWidth="1"/>
    <col min="285" max="515" width="9.140625" style="97"/>
    <col min="516" max="516" width="3.7109375" style="97" customWidth="1"/>
    <col min="517" max="517" width="5.85546875" style="97" customWidth="1"/>
    <col min="518" max="518" width="24.7109375" style="97" customWidth="1"/>
    <col min="519" max="519" width="48" style="97" bestFit="1" customWidth="1"/>
    <col min="520" max="520" width="29.140625" style="97" bestFit="1" customWidth="1"/>
    <col min="521" max="521" width="19.5703125" style="97" customWidth="1"/>
    <col min="522" max="522" width="46.28515625" style="97" bestFit="1" customWidth="1"/>
    <col min="523" max="523" width="13" style="97" customWidth="1"/>
    <col min="524" max="530" width="14.42578125" style="97" customWidth="1"/>
    <col min="531" max="531" width="19.140625" style="97" customWidth="1"/>
    <col min="532" max="532" width="17" style="97" customWidth="1"/>
    <col min="533" max="533" width="13.42578125" style="97" customWidth="1"/>
    <col min="534" max="534" width="14.7109375" style="97" customWidth="1"/>
    <col min="535" max="535" width="10" style="97" customWidth="1"/>
    <col min="536" max="536" width="8" style="97" customWidth="1"/>
    <col min="537" max="537" width="8.28515625" style="97" customWidth="1"/>
    <col min="538" max="538" width="18.42578125" style="97" customWidth="1"/>
    <col min="539" max="539" width="14.28515625" style="97" customWidth="1"/>
    <col min="540" max="540" width="16.7109375" style="97" customWidth="1"/>
    <col min="541" max="771" width="9.140625" style="97"/>
    <col min="772" max="772" width="3.7109375" style="97" customWidth="1"/>
    <col min="773" max="773" width="5.85546875" style="97" customWidth="1"/>
    <col min="774" max="774" width="24.7109375" style="97" customWidth="1"/>
    <col min="775" max="775" width="48" style="97" bestFit="1" customWidth="1"/>
    <col min="776" max="776" width="29.140625" style="97" bestFit="1" customWidth="1"/>
    <col min="777" max="777" width="19.5703125" style="97" customWidth="1"/>
    <col min="778" max="778" width="46.28515625" style="97" bestFit="1" customWidth="1"/>
    <col min="779" max="779" width="13" style="97" customWidth="1"/>
    <col min="780" max="786" width="14.42578125" style="97" customWidth="1"/>
    <col min="787" max="787" width="19.140625" style="97" customWidth="1"/>
    <col min="788" max="788" width="17" style="97" customWidth="1"/>
    <col min="789" max="789" width="13.42578125" style="97" customWidth="1"/>
    <col min="790" max="790" width="14.7109375" style="97" customWidth="1"/>
    <col min="791" max="791" width="10" style="97" customWidth="1"/>
    <col min="792" max="792" width="8" style="97" customWidth="1"/>
    <col min="793" max="793" width="8.28515625" style="97" customWidth="1"/>
    <col min="794" max="794" width="18.42578125" style="97" customWidth="1"/>
    <col min="795" max="795" width="14.28515625" style="97" customWidth="1"/>
    <col min="796" max="796" width="16.7109375" style="97" customWidth="1"/>
    <col min="797" max="1027" width="9.140625" style="97"/>
    <col min="1028" max="1028" width="3.7109375" style="97" customWidth="1"/>
    <col min="1029" max="1029" width="5.85546875" style="97" customWidth="1"/>
    <col min="1030" max="1030" width="24.7109375" style="97" customWidth="1"/>
    <col min="1031" max="1031" width="48" style="97" bestFit="1" customWidth="1"/>
    <col min="1032" max="1032" width="29.140625" style="97" bestFit="1" customWidth="1"/>
    <col min="1033" max="1033" width="19.5703125" style="97" customWidth="1"/>
    <col min="1034" max="1034" width="46.28515625" style="97" bestFit="1" customWidth="1"/>
    <col min="1035" max="1035" width="13" style="97" customWidth="1"/>
    <col min="1036" max="1042" width="14.42578125" style="97" customWidth="1"/>
    <col min="1043" max="1043" width="19.140625" style="97" customWidth="1"/>
    <col min="1044" max="1044" width="17" style="97" customWidth="1"/>
    <col min="1045" max="1045" width="13.42578125" style="97" customWidth="1"/>
    <col min="1046" max="1046" width="14.7109375" style="97" customWidth="1"/>
    <col min="1047" max="1047" width="10" style="97" customWidth="1"/>
    <col min="1048" max="1048" width="8" style="97" customWidth="1"/>
    <col min="1049" max="1049" width="8.28515625" style="97" customWidth="1"/>
    <col min="1050" max="1050" width="18.42578125" style="97" customWidth="1"/>
    <col min="1051" max="1051" width="14.28515625" style="97" customWidth="1"/>
    <col min="1052" max="1052" width="16.7109375" style="97" customWidth="1"/>
    <col min="1053" max="1283" width="9.140625" style="97"/>
    <col min="1284" max="1284" width="3.7109375" style="97" customWidth="1"/>
    <col min="1285" max="1285" width="5.85546875" style="97" customWidth="1"/>
    <col min="1286" max="1286" width="24.7109375" style="97" customWidth="1"/>
    <col min="1287" max="1287" width="48" style="97" bestFit="1" customWidth="1"/>
    <col min="1288" max="1288" width="29.140625" style="97" bestFit="1" customWidth="1"/>
    <col min="1289" max="1289" width="19.5703125" style="97" customWidth="1"/>
    <col min="1290" max="1290" width="46.28515625" style="97" bestFit="1" customWidth="1"/>
    <col min="1291" max="1291" width="13" style="97" customWidth="1"/>
    <col min="1292" max="1298" width="14.42578125" style="97" customWidth="1"/>
    <col min="1299" max="1299" width="19.140625" style="97" customWidth="1"/>
    <col min="1300" max="1300" width="17" style="97" customWidth="1"/>
    <col min="1301" max="1301" width="13.42578125" style="97" customWidth="1"/>
    <col min="1302" max="1302" width="14.7109375" style="97" customWidth="1"/>
    <col min="1303" max="1303" width="10" style="97" customWidth="1"/>
    <col min="1304" max="1304" width="8" style="97" customWidth="1"/>
    <col min="1305" max="1305" width="8.28515625" style="97" customWidth="1"/>
    <col min="1306" max="1306" width="18.42578125" style="97" customWidth="1"/>
    <col min="1307" max="1307" width="14.28515625" style="97" customWidth="1"/>
    <col min="1308" max="1308" width="16.7109375" style="97" customWidth="1"/>
    <col min="1309" max="1539" width="9.140625" style="97"/>
    <col min="1540" max="1540" width="3.7109375" style="97" customWidth="1"/>
    <col min="1541" max="1541" width="5.85546875" style="97" customWidth="1"/>
    <col min="1542" max="1542" width="24.7109375" style="97" customWidth="1"/>
    <col min="1543" max="1543" width="48" style="97" bestFit="1" customWidth="1"/>
    <col min="1544" max="1544" width="29.140625" style="97" bestFit="1" customWidth="1"/>
    <col min="1545" max="1545" width="19.5703125" style="97" customWidth="1"/>
    <col min="1546" max="1546" width="46.28515625" style="97" bestFit="1" customWidth="1"/>
    <col min="1547" max="1547" width="13" style="97" customWidth="1"/>
    <col min="1548" max="1554" width="14.42578125" style="97" customWidth="1"/>
    <col min="1555" max="1555" width="19.140625" style="97" customWidth="1"/>
    <col min="1556" max="1556" width="17" style="97" customWidth="1"/>
    <col min="1557" max="1557" width="13.42578125" style="97" customWidth="1"/>
    <col min="1558" max="1558" width="14.7109375" style="97" customWidth="1"/>
    <col min="1559" max="1559" width="10" style="97" customWidth="1"/>
    <col min="1560" max="1560" width="8" style="97" customWidth="1"/>
    <col min="1561" max="1561" width="8.28515625" style="97" customWidth="1"/>
    <col min="1562" max="1562" width="18.42578125" style="97" customWidth="1"/>
    <col min="1563" max="1563" width="14.28515625" style="97" customWidth="1"/>
    <col min="1564" max="1564" width="16.7109375" style="97" customWidth="1"/>
    <col min="1565" max="1795" width="9.140625" style="97"/>
    <col min="1796" max="1796" width="3.7109375" style="97" customWidth="1"/>
    <col min="1797" max="1797" width="5.85546875" style="97" customWidth="1"/>
    <col min="1798" max="1798" width="24.7109375" style="97" customWidth="1"/>
    <col min="1799" max="1799" width="48" style="97" bestFit="1" customWidth="1"/>
    <col min="1800" max="1800" width="29.140625" style="97" bestFit="1" customWidth="1"/>
    <col min="1801" max="1801" width="19.5703125" style="97" customWidth="1"/>
    <col min="1802" max="1802" width="46.28515625" style="97" bestFit="1" customWidth="1"/>
    <col min="1803" max="1803" width="13" style="97" customWidth="1"/>
    <col min="1804" max="1810" width="14.42578125" style="97" customWidth="1"/>
    <col min="1811" max="1811" width="19.140625" style="97" customWidth="1"/>
    <col min="1812" max="1812" width="17" style="97" customWidth="1"/>
    <col min="1813" max="1813" width="13.42578125" style="97" customWidth="1"/>
    <col min="1814" max="1814" width="14.7109375" style="97" customWidth="1"/>
    <col min="1815" max="1815" width="10" style="97" customWidth="1"/>
    <col min="1816" max="1816" width="8" style="97" customWidth="1"/>
    <col min="1817" max="1817" width="8.28515625" style="97" customWidth="1"/>
    <col min="1818" max="1818" width="18.42578125" style="97" customWidth="1"/>
    <col min="1819" max="1819" width="14.28515625" style="97" customWidth="1"/>
    <col min="1820" max="1820" width="16.7109375" style="97" customWidth="1"/>
    <col min="1821" max="2051" width="9.140625" style="97"/>
    <col min="2052" max="2052" width="3.7109375" style="97" customWidth="1"/>
    <col min="2053" max="2053" width="5.85546875" style="97" customWidth="1"/>
    <col min="2054" max="2054" width="24.7109375" style="97" customWidth="1"/>
    <col min="2055" max="2055" width="48" style="97" bestFit="1" customWidth="1"/>
    <col min="2056" max="2056" width="29.140625" style="97" bestFit="1" customWidth="1"/>
    <col min="2057" max="2057" width="19.5703125" style="97" customWidth="1"/>
    <col min="2058" max="2058" width="46.28515625" style="97" bestFit="1" customWidth="1"/>
    <col min="2059" max="2059" width="13" style="97" customWidth="1"/>
    <col min="2060" max="2066" width="14.42578125" style="97" customWidth="1"/>
    <col min="2067" max="2067" width="19.140625" style="97" customWidth="1"/>
    <col min="2068" max="2068" width="17" style="97" customWidth="1"/>
    <col min="2069" max="2069" width="13.42578125" style="97" customWidth="1"/>
    <col min="2070" max="2070" width="14.7109375" style="97" customWidth="1"/>
    <col min="2071" max="2071" width="10" style="97" customWidth="1"/>
    <col min="2072" max="2072" width="8" style="97" customWidth="1"/>
    <col min="2073" max="2073" width="8.28515625" style="97" customWidth="1"/>
    <col min="2074" max="2074" width="18.42578125" style="97" customWidth="1"/>
    <col min="2075" max="2075" width="14.28515625" style="97" customWidth="1"/>
    <col min="2076" max="2076" width="16.7109375" style="97" customWidth="1"/>
    <col min="2077" max="2307" width="9.140625" style="97"/>
    <col min="2308" max="2308" width="3.7109375" style="97" customWidth="1"/>
    <col min="2309" max="2309" width="5.85546875" style="97" customWidth="1"/>
    <col min="2310" max="2310" width="24.7109375" style="97" customWidth="1"/>
    <col min="2311" max="2311" width="48" style="97" bestFit="1" customWidth="1"/>
    <col min="2312" max="2312" width="29.140625" style="97" bestFit="1" customWidth="1"/>
    <col min="2313" max="2313" width="19.5703125" style="97" customWidth="1"/>
    <col min="2314" max="2314" width="46.28515625" style="97" bestFit="1" customWidth="1"/>
    <col min="2315" max="2315" width="13" style="97" customWidth="1"/>
    <col min="2316" max="2322" width="14.42578125" style="97" customWidth="1"/>
    <col min="2323" max="2323" width="19.140625" style="97" customWidth="1"/>
    <col min="2324" max="2324" width="17" style="97" customWidth="1"/>
    <col min="2325" max="2325" width="13.42578125" style="97" customWidth="1"/>
    <col min="2326" max="2326" width="14.7109375" style="97" customWidth="1"/>
    <col min="2327" max="2327" width="10" style="97" customWidth="1"/>
    <col min="2328" max="2328" width="8" style="97" customWidth="1"/>
    <col min="2329" max="2329" width="8.28515625" style="97" customWidth="1"/>
    <col min="2330" max="2330" width="18.42578125" style="97" customWidth="1"/>
    <col min="2331" max="2331" width="14.28515625" style="97" customWidth="1"/>
    <col min="2332" max="2332" width="16.7109375" style="97" customWidth="1"/>
    <col min="2333" max="2563" width="9.140625" style="97"/>
    <col min="2564" max="2564" width="3.7109375" style="97" customWidth="1"/>
    <col min="2565" max="2565" width="5.85546875" style="97" customWidth="1"/>
    <col min="2566" max="2566" width="24.7109375" style="97" customWidth="1"/>
    <col min="2567" max="2567" width="48" style="97" bestFit="1" customWidth="1"/>
    <col min="2568" max="2568" width="29.140625" style="97" bestFit="1" customWidth="1"/>
    <col min="2569" max="2569" width="19.5703125" style="97" customWidth="1"/>
    <col min="2570" max="2570" width="46.28515625" style="97" bestFit="1" customWidth="1"/>
    <col min="2571" max="2571" width="13" style="97" customWidth="1"/>
    <col min="2572" max="2578" width="14.42578125" style="97" customWidth="1"/>
    <col min="2579" max="2579" width="19.140625" style="97" customWidth="1"/>
    <col min="2580" max="2580" width="17" style="97" customWidth="1"/>
    <col min="2581" max="2581" width="13.42578125" style="97" customWidth="1"/>
    <col min="2582" max="2582" width="14.7109375" style="97" customWidth="1"/>
    <col min="2583" max="2583" width="10" style="97" customWidth="1"/>
    <col min="2584" max="2584" width="8" style="97" customWidth="1"/>
    <col min="2585" max="2585" width="8.28515625" style="97" customWidth="1"/>
    <col min="2586" max="2586" width="18.42578125" style="97" customWidth="1"/>
    <col min="2587" max="2587" width="14.28515625" style="97" customWidth="1"/>
    <col min="2588" max="2588" width="16.7109375" style="97" customWidth="1"/>
    <col min="2589" max="2819" width="9.140625" style="97"/>
    <col min="2820" max="2820" width="3.7109375" style="97" customWidth="1"/>
    <col min="2821" max="2821" width="5.85546875" style="97" customWidth="1"/>
    <col min="2822" max="2822" width="24.7109375" style="97" customWidth="1"/>
    <col min="2823" max="2823" width="48" style="97" bestFit="1" customWidth="1"/>
    <col min="2824" max="2824" width="29.140625" style="97" bestFit="1" customWidth="1"/>
    <col min="2825" max="2825" width="19.5703125" style="97" customWidth="1"/>
    <col min="2826" max="2826" width="46.28515625" style="97" bestFit="1" customWidth="1"/>
    <col min="2827" max="2827" width="13" style="97" customWidth="1"/>
    <col min="2828" max="2834" width="14.42578125" style="97" customWidth="1"/>
    <col min="2835" max="2835" width="19.140625" style="97" customWidth="1"/>
    <col min="2836" max="2836" width="17" style="97" customWidth="1"/>
    <col min="2837" max="2837" width="13.42578125" style="97" customWidth="1"/>
    <col min="2838" max="2838" width="14.7109375" style="97" customWidth="1"/>
    <col min="2839" max="2839" width="10" style="97" customWidth="1"/>
    <col min="2840" max="2840" width="8" style="97" customWidth="1"/>
    <col min="2841" max="2841" width="8.28515625" style="97" customWidth="1"/>
    <col min="2842" max="2842" width="18.42578125" style="97" customWidth="1"/>
    <col min="2843" max="2843" width="14.28515625" style="97" customWidth="1"/>
    <col min="2844" max="2844" width="16.7109375" style="97" customWidth="1"/>
    <col min="2845" max="3075" width="9.140625" style="97"/>
    <col min="3076" max="3076" width="3.7109375" style="97" customWidth="1"/>
    <col min="3077" max="3077" width="5.85546875" style="97" customWidth="1"/>
    <col min="3078" max="3078" width="24.7109375" style="97" customWidth="1"/>
    <col min="3079" max="3079" width="48" style="97" bestFit="1" customWidth="1"/>
    <col min="3080" max="3080" width="29.140625" style="97" bestFit="1" customWidth="1"/>
    <col min="3081" max="3081" width="19.5703125" style="97" customWidth="1"/>
    <col min="3082" max="3082" width="46.28515625" style="97" bestFit="1" customWidth="1"/>
    <col min="3083" max="3083" width="13" style="97" customWidth="1"/>
    <col min="3084" max="3090" width="14.42578125" style="97" customWidth="1"/>
    <col min="3091" max="3091" width="19.140625" style="97" customWidth="1"/>
    <col min="3092" max="3092" width="17" style="97" customWidth="1"/>
    <col min="3093" max="3093" width="13.42578125" style="97" customWidth="1"/>
    <col min="3094" max="3094" width="14.7109375" style="97" customWidth="1"/>
    <col min="3095" max="3095" width="10" style="97" customWidth="1"/>
    <col min="3096" max="3096" width="8" style="97" customWidth="1"/>
    <col min="3097" max="3097" width="8.28515625" style="97" customWidth="1"/>
    <col min="3098" max="3098" width="18.42578125" style="97" customWidth="1"/>
    <col min="3099" max="3099" width="14.28515625" style="97" customWidth="1"/>
    <col min="3100" max="3100" width="16.7109375" style="97" customWidth="1"/>
    <col min="3101" max="3331" width="9.140625" style="97"/>
    <col min="3332" max="3332" width="3.7109375" style="97" customWidth="1"/>
    <col min="3333" max="3333" width="5.85546875" style="97" customWidth="1"/>
    <col min="3334" max="3334" width="24.7109375" style="97" customWidth="1"/>
    <col min="3335" max="3335" width="48" style="97" bestFit="1" customWidth="1"/>
    <col min="3336" max="3336" width="29.140625" style="97" bestFit="1" customWidth="1"/>
    <col min="3337" max="3337" width="19.5703125" style="97" customWidth="1"/>
    <col min="3338" max="3338" width="46.28515625" style="97" bestFit="1" customWidth="1"/>
    <col min="3339" max="3339" width="13" style="97" customWidth="1"/>
    <col min="3340" max="3346" width="14.42578125" style="97" customWidth="1"/>
    <col min="3347" max="3347" width="19.140625" style="97" customWidth="1"/>
    <col min="3348" max="3348" width="17" style="97" customWidth="1"/>
    <col min="3349" max="3349" width="13.42578125" style="97" customWidth="1"/>
    <col min="3350" max="3350" width="14.7109375" style="97" customWidth="1"/>
    <col min="3351" max="3351" width="10" style="97" customWidth="1"/>
    <col min="3352" max="3352" width="8" style="97" customWidth="1"/>
    <col min="3353" max="3353" width="8.28515625" style="97" customWidth="1"/>
    <col min="3354" max="3354" width="18.42578125" style="97" customWidth="1"/>
    <col min="3355" max="3355" width="14.28515625" style="97" customWidth="1"/>
    <col min="3356" max="3356" width="16.7109375" style="97" customWidth="1"/>
    <col min="3357" max="3587" width="9.140625" style="97"/>
    <col min="3588" max="3588" width="3.7109375" style="97" customWidth="1"/>
    <col min="3589" max="3589" width="5.85546875" style="97" customWidth="1"/>
    <col min="3590" max="3590" width="24.7109375" style="97" customWidth="1"/>
    <col min="3591" max="3591" width="48" style="97" bestFit="1" customWidth="1"/>
    <col min="3592" max="3592" width="29.140625" style="97" bestFit="1" customWidth="1"/>
    <col min="3593" max="3593" width="19.5703125" style="97" customWidth="1"/>
    <col min="3594" max="3594" width="46.28515625" style="97" bestFit="1" customWidth="1"/>
    <col min="3595" max="3595" width="13" style="97" customWidth="1"/>
    <col min="3596" max="3602" width="14.42578125" style="97" customWidth="1"/>
    <col min="3603" max="3603" width="19.140625" style="97" customWidth="1"/>
    <col min="3604" max="3604" width="17" style="97" customWidth="1"/>
    <col min="3605" max="3605" width="13.42578125" style="97" customWidth="1"/>
    <col min="3606" max="3606" width="14.7109375" style="97" customWidth="1"/>
    <col min="3607" max="3607" width="10" style="97" customWidth="1"/>
    <col min="3608" max="3608" width="8" style="97" customWidth="1"/>
    <col min="3609" max="3609" width="8.28515625" style="97" customWidth="1"/>
    <col min="3610" max="3610" width="18.42578125" style="97" customWidth="1"/>
    <col min="3611" max="3611" width="14.28515625" style="97" customWidth="1"/>
    <col min="3612" max="3612" width="16.7109375" style="97" customWidth="1"/>
    <col min="3613" max="3843" width="9.140625" style="97"/>
    <col min="3844" max="3844" width="3.7109375" style="97" customWidth="1"/>
    <col min="3845" max="3845" width="5.85546875" style="97" customWidth="1"/>
    <col min="3846" max="3846" width="24.7109375" style="97" customWidth="1"/>
    <col min="3847" max="3847" width="48" style="97" bestFit="1" customWidth="1"/>
    <col min="3848" max="3848" width="29.140625" style="97" bestFit="1" customWidth="1"/>
    <col min="3849" max="3849" width="19.5703125" style="97" customWidth="1"/>
    <col min="3850" max="3850" width="46.28515625" style="97" bestFit="1" customWidth="1"/>
    <col min="3851" max="3851" width="13" style="97" customWidth="1"/>
    <col min="3852" max="3858" width="14.42578125" style="97" customWidth="1"/>
    <col min="3859" max="3859" width="19.140625" style="97" customWidth="1"/>
    <col min="3860" max="3860" width="17" style="97" customWidth="1"/>
    <col min="3861" max="3861" width="13.42578125" style="97" customWidth="1"/>
    <col min="3862" max="3862" width="14.7109375" style="97" customWidth="1"/>
    <col min="3863" max="3863" width="10" style="97" customWidth="1"/>
    <col min="3864" max="3864" width="8" style="97" customWidth="1"/>
    <col min="3865" max="3865" width="8.28515625" style="97" customWidth="1"/>
    <col min="3866" max="3866" width="18.42578125" style="97" customWidth="1"/>
    <col min="3867" max="3867" width="14.28515625" style="97" customWidth="1"/>
    <col min="3868" max="3868" width="16.7109375" style="97" customWidth="1"/>
    <col min="3869" max="4099" width="9.140625" style="97"/>
    <col min="4100" max="4100" width="3.7109375" style="97" customWidth="1"/>
    <col min="4101" max="4101" width="5.85546875" style="97" customWidth="1"/>
    <col min="4102" max="4102" width="24.7109375" style="97" customWidth="1"/>
    <col min="4103" max="4103" width="48" style="97" bestFit="1" customWidth="1"/>
    <col min="4104" max="4104" width="29.140625" style="97" bestFit="1" customWidth="1"/>
    <col min="4105" max="4105" width="19.5703125" style="97" customWidth="1"/>
    <col min="4106" max="4106" width="46.28515625" style="97" bestFit="1" customWidth="1"/>
    <col min="4107" max="4107" width="13" style="97" customWidth="1"/>
    <col min="4108" max="4114" width="14.42578125" style="97" customWidth="1"/>
    <col min="4115" max="4115" width="19.140625" style="97" customWidth="1"/>
    <col min="4116" max="4116" width="17" style="97" customWidth="1"/>
    <col min="4117" max="4117" width="13.42578125" style="97" customWidth="1"/>
    <col min="4118" max="4118" width="14.7109375" style="97" customWidth="1"/>
    <col min="4119" max="4119" width="10" style="97" customWidth="1"/>
    <col min="4120" max="4120" width="8" style="97" customWidth="1"/>
    <col min="4121" max="4121" width="8.28515625" style="97" customWidth="1"/>
    <col min="4122" max="4122" width="18.42578125" style="97" customWidth="1"/>
    <col min="4123" max="4123" width="14.28515625" style="97" customWidth="1"/>
    <col min="4124" max="4124" width="16.7109375" style="97" customWidth="1"/>
    <col min="4125" max="4355" width="9.140625" style="97"/>
    <col min="4356" max="4356" width="3.7109375" style="97" customWidth="1"/>
    <col min="4357" max="4357" width="5.85546875" style="97" customWidth="1"/>
    <col min="4358" max="4358" width="24.7109375" style="97" customWidth="1"/>
    <col min="4359" max="4359" width="48" style="97" bestFit="1" customWidth="1"/>
    <col min="4360" max="4360" width="29.140625" style="97" bestFit="1" customWidth="1"/>
    <col min="4361" max="4361" width="19.5703125" style="97" customWidth="1"/>
    <col min="4362" max="4362" width="46.28515625" style="97" bestFit="1" customWidth="1"/>
    <col min="4363" max="4363" width="13" style="97" customWidth="1"/>
    <col min="4364" max="4370" width="14.42578125" style="97" customWidth="1"/>
    <col min="4371" max="4371" width="19.140625" style="97" customWidth="1"/>
    <col min="4372" max="4372" width="17" style="97" customWidth="1"/>
    <col min="4373" max="4373" width="13.42578125" style="97" customWidth="1"/>
    <col min="4374" max="4374" width="14.7109375" style="97" customWidth="1"/>
    <col min="4375" max="4375" width="10" style="97" customWidth="1"/>
    <col min="4376" max="4376" width="8" style="97" customWidth="1"/>
    <col min="4377" max="4377" width="8.28515625" style="97" customWidth="1"/>
    <col min="4378" max="4378" width="18.42578125" style="97" customWidth="1"/>
    <col min="4379" max="4379" width="14.28515625" style="97" customWidth="1"/>
    <col min="4380" max="4380" width="16.7109375" style="97" customWidth="1"/>
    <col min="4381" max="4611" width="9.140625" style="97"/>
    <col min="4612" max="4612" width="3.7109375" style="97" customWidth="1"/>
    <col min="4613" max="4613" width="5.85546875" style="97" customWidth="1"/>
    <col min="4614" max="4614" width="24.7109375" style="97" customWidth="1"/>
    <col min="4615" max="4615" width="48" style="97" bestFit="1" customWidth="1"/>
    <col min="4616" max="4616" width="29.140625" style="97" bestFit="1" customWidth="1"/>
    <col min="4617" max="4617" width="19.5703125" style="97" customWidth="1"/>
    <col min="4618" max="4618" width="46.28515625" style="97" bestFit="1" customWidth="1"/>
    <col min="4619" max="4619" width="13" style="97" customWidth="1"/>
    <col min="4620" max="4626" width="14.42578125" style="97" customWidth="1"/>
    <col min="4627" max="4627" width="19.140625" style="97" customWidth="1"/>
    <col min="4628" max="4628" width="17" style="97" customWidth="1"/>
    <col min="4629" max="4629" width="13.42578125" style="97" customWidth="1"/>
    <col min="4630" max="4630" width="14.7109375" style="97" customWidth="1"/>
    <col min="4631" max="4631" width="10" style="97" customWidth="1"/>
    <col min="4632" max="4632" width="8" style="97" customWidth="1"/>
    <col min="4633" max="4633" width="8.28515625" style="97" customWidth="1"/>
    <col min="4634" max="4634" width="18.42578125" style="97" customWidth="1"/>
    <col min="4635" max="4635" width="14.28515625" style="97" customWidth="1"/>
    <col min="4636" max="4636" width="16.7109375" style="97" customWidth="1"/>
    <col min="4637" max="4867" width="9.140625" style="97"/>
    <col min="4868" max="4868" width="3.7109375" style="97" customWidth="1"/>
    <col min="4869" max="4869" width="5.85546875" style="97" customWidth="1"/>
    <col min="4870" max="4870" width="24.7109375" style="97" customWidth="1"/>
    <col min="4871" max="4871" width="48" style="97" bestFit="1" customWidth="1"/>
    <col min="4872" max="4872" width="29.140625" style="97" bestFit="1" customWidth="1"/>
    <col min="4873" max="4873" width="19.5703125" style="97" customWidth="1"/>
    <col min="4874" max="4874" width="46.28515625" style="97" bestFit="1" customWidth="1"/>
    <col min="4875" max="4875" width="13" style="97" customWidth="1"/>
    <col min="4876" max="4882" width="14.42578125" style="97" customWidth="1"/>
    <col min="4883" max="4883" width="19.140625" style="97" customWidth="1"/>
    <col min="4884" max="4884" width="17" style="97" customWidth="1"/>
    <col min="4885" max="4885" width="13.42578125" style="97" customWidth="1"/>
    <col min="4886" max="4886" width="14.7109375" style="97" customWidth="1"/>
    <col min="4887" max="4887" width="10" style="97" customWidth="1"/>
    <col min="4888" max="4888" width="8" style="97" customWidth="1"/>
    <col min="4889" max="4889" width="8.28515625" style="97" customWidth="1"/>
    <col min="4890" max="4890" width="18.42578125" style="97" customWidth="1"/>
    <col min="4891" max="4891" width="14.28515625" style="97" customWidth="1"/>
    <col min="4892" max="4892" width="16.7109375" style="97" customWidth="1"/>
    <col min="4893" max="5123" width="9.140625" style="97"/>
    <col min="5124" max="5124" width="3.7109375" style="97" customWidth="1"/>
    <col min="5125" max="5125" width="5.85546875" style="97" customWidth="1"/>
    <col min="5126" max="5126" width="24.7109375" style="97" customWidth="1"/>
    <col min="5127" max="5127" width="48" style="97" bestFit="1" customWidth="1"/>
    <col min="5128" max="5128" width="29.140625" style="97" bestFit="1" customWidth="1"/>
    <col min="5129" max="5129" width="19.5703125" style="97" customWidth="1"/>
    <col min="5130" max="5130" width="46.28515625" style="97" bestFit="1" customWidth="1"/>
    <col min="5131" max="5131" width="13" style="97" customWidth="1"/>
    <col min="5132" max="5138" width="14.42578125" style="97" customWidth="1"/>
    <col min="5139" max="5139" width="19.140625" style="97" customWidth="1"/>
    <col min="5140" max="5140" width="17" style="97" customWidth="1"/>
    <col min="5141" max="5141" width="13.42578125" style="97" customWidth="1"/>
    <col min="5142" max="5142" width="14.7109375" style="97" customWidth="1"/>
    <col min="5143" max="5143" width="10" style="97" customWidth="1"/>
    <col min="5144" max="5144" width="8" style="97" customWidth="1"/>
    <col min="5145" max="5145" width="8.28515625" style="97" customWidth="1"/>
    <col min="5146" max="5146" width="18.42578125" style="97" customWidth="1"/>
    <col min="5147" max="5147" width="14.28515625" style="97" customWidth="1"/>
    <col min="5148" max="5148" width="16.7109375" style="97" customWidth="1"/>
    <col min="5149" max="5379" width="9.140625" style="97"/>
    <col min="5380" max="5380" width="3.7109375" style="97" customWidth="1"/>
    <col min="5381" max="5381" width="5.85546875" style="97" customWidth="1"/>
    <col min="5382" max="5382" width="24.7109375" style="97" customWidth="1"/>
    <col min="5383" max="5383" width="48" style="97" bestFit="1" customWidth="1"/>
    <col min="5384" max="5384" width="29.140625" style="97" bestFit="1" customWidth="1"/>
    <col min="5385" max="5385" width="19.5703125" style="97" customWidth="1"/>
    <col min="5386" max="5386" width="46.28515625" style="97" bestFit="1" customWidth="1"/>
    <col min="5387" max="5387" width="13" style="97" customWidth="1"/>
    <col min="5388" max="5394" width="14.42578125" style="97" customWidth="1"/>
    <col min="5395" max="5395" width="19.140625" style="97" customWidth="1"/>
    <col min="5396" max="5396" width="17" style="97" customWidth="1"/>
    <col min="5397" max="5397" width="13.42578125" style="97" customWidth="1"/>
    <col min="5398" max="5398" width="14.7109375" style="97" customWidth="1"/>
    <col min="5399" max="5399" width="10" style="97" customWidth="1"/>
    <col min="5400" max="5400" width="8" style="97" customWidth="1"/>
    <col min="5401" max="5401" width="8.28515625" style="97" customWidth="1"/>
    <col min="5402" max="5402" width="18.42578125" style="97" customWidth="1"/>
    <col min="5403" max="5403" width="14.28515625" style="97" customWidth="1"/>
    <col min="5404" max="5404" width="16.7109375" style="97" customWidth="1"/>
    <col min="5405" max="5635" width="9.140625" style="97"/>
    <col min="5636" max="5636" width="3.7109375" style="97" customWidth="1"/>
    <col min="5637" max="5637" width="5.85546875" style="97" customWidth="1"/>
    <col min="5638" max="5638" width="24.7109375" style="97" customWidth="1"/>
    <col min="5639" max="5639" width="48" style="97" bestFit="1" customWidth="1"/>
    <col min="5640" max="5640" width="29.140625" style="97" bestFit="1" customWidth="1"/>
    <col min="5641" max="5641" width="19.5703125" style="97" customWidth="1"/>
    <col min="5642" max="5642" width="46.28515625" style="97" bestFit="1" customWidth="1"/>
    <col min="5643" max="5643" width="13" style="97" customWidth="1"/>
    <col min="5644" max="5650" width="14.42578125" style="97" customWidth="1"/>
    <col min="5651" max="5651" width="19.140625" style="97" customWidth="1"/>
    <col min="5652" max="5652" width="17" style="97" customWidth="1"/>
    <col min="5653" max="5653" width="13.42578125" style="97" customWidth="1"/>
    <col min="5654" max="5654" width="14.7109375" style="97" customWidth="1"/>
    <col min="5655" max="5655" width="10" style="97" customWidth="1"/>
    <col min="5656" max="5656" width="8" style="97" customWidth="1"/>
    <col min="5657" max="5657" width="8.28515625" style="97" customWidth="1"/>
    <col min="5658" max="5658" width="18.42578125" style="97" customWidth="1"/>
    <col min="5659" max="5659" width="14.28515625" style="97" customWidth="1"/>
    <col min="5660" max="5660" width="16.7109375" style="97" customWidth="1"/>
    <col min="5661" max="5891" width="9.140625" style="97"/>
    <col min="5892" max="5892" width="3.7109375" style="97" customWidth="1"/>
    <col min="5893" max="5893" width="5.85546875" style="97" customWidth="1"/>
    <col min="5894" max="5894" width="24.7109375" style="97" customWidth="1"/>
    <col min="5895" max="5895" width="48" style="97" bestFit="1" customWidth="1"/>
    <col min="5896" max="5896" width="29.140625" style="97" bestFit="1" customWidth="1"/>
    <col min="5897" max="5897" width="19.5703125" style="97" customWidth="1"/>
    <col min="5898" max="5898" width="46.28515625" style="97" bestFit="1" customWidth="1"/>
    <col min="5899" max="5899" width="13" style="97" customWidth="1"/>
    <col min="5900" max="5906" width="14.42578125" style="97" customWidth="1"/>
    <col min="5907" max="5907" width="19.140625" style="97" customWidth="1"/>
    <col min="5908" max="5908" width="17" style="97" customWidth="1"/>
    <col min="5909" max="5909" width="13.42578125" style="97" customWidth="1"/>
    <col min="5910" max="5910" width="14.7109375" style="97" customWidth="1"/>
    <col min="5911" max="5911" width="10" style="97" customWidth="1"/>
    <col min="5912" max="5912" width="8" style="97" customWidth="1"/>
    <col min="5913" max="5913" width="8.28515625" style="97" customWidth="1"/>
    <col min="5914" max="5914" width="18.42578125" style="97" customWidth="1"/>
    <col min="5915" max="5915" width="14.28515625" style="97" customWidth="1"/>
    <col min="5916" max="5916" width="16.7109375" style="97" customWidth="1"/>
    <col min="5917" max="6147" width="9.140625" style="97"/>
    <col min="6148" max="6148" width="3.7109375" style="97" customWidth="1"/>
    <col min="6149" max="6149" width="5.85546875" style="97" customWidth="1"/>
    <col min="6150" max="6150" width="24.7109375" style="97" customWidth="1"/>
    <col min="6151" max="6151" width="48" style="97" bestFit="1" customWidth="1"/>
    <col min="6152" max="6152" width="29.140625" style="97" bestFit="1" customWidth="1"/>
    <col min="6153" max="6153" width="19.5703125" style="97" customWidth="1"/>
    <col min="6154" max="6154" width="46.28515625" style="97" bestFit="1" customWidth="1"/>
    <col min="6155" max="6155" width="13" style="97" customWidth="1"/>
    <col min="6156" max="6162" width="14.42578125" style="97" customWidth="1"/>
    <col min="6163" max="6163" width="19.140625" style="97" customWidth="1"/>
    <col min="6164" max="6164" width="17" style="97" customWidth="1"/>
    <col min="6165" max="6165" width="13.42578125" style="97" customWidth="1"/>
    <col min="6166" max="6166" width="14.7109375" style="97" customWidth="1"/>
    <col min="6167" max="6167" width="10" style="97" customWidth="1"/>
    <col min="6168" max="6168" width="8" style="97" customWidth="1"/>
    <col min="6169" max="6169" width="8.28515625" style="97" customWidth="1"/>
    <col min="6170" max="6170" width="18.42578125" style="97" customWidth="1"/>
    <col min="6171" max="6171" width="14.28515625" style="97" customWidth="1"/>
    <col min="6172" max="6172" width="16.7109375" style="97" customWidth="1"/>
    <col min="6173" max="6403" width="9.140625" style="97"/>
    <col min="6404" max="6404" width="3.7109375" style="97" customWidth="1"/>
    <col min="6405" max="6405" width="5.85546875" style="97" customWidth="1"/>
    <col min="6406" max="6406" width="24.7109375" style="97" customWidth="1"/>
    <col min="6407" max="6407" width="48" style="97" bestFit="1" customWidth="1"/>
    <col min="6408" max="6408" width="29.140625" style="97" bestFit="1" customWidth="1"/>
    <col min="6409" max="6409" width="19.5703125" style="97" customWidth="1"/>
    <col min="6410" max="6410" width="46.28515625" style="97" bestFit="1" customWidth="1"/>
    <col min="6411" max="6411" width="13" style="97" customWidth="1"/>
    <col min="6412" max="6418" width="14.42578125" style="97" customWidth="1"/>
    <col min="6419" max="6419" width="19.140625" style="97" customWidth="1"/>
    <col min="6420" max="6420" width="17" style="97" customWidth="1"/>
    <col min="6421" max="6421" width="13.42578125" style="97" customWidth="1"/>
    <col min="6422" max="6422" width="14.7109375" style="97" customWidth="1"/>
    <col min="6423" max="6423" width="10" style="97" customWidth="1"/>
    <col min="6424" max="6424" width="8" style="97" customWidth="1"/>
    <col min="6425" max="6425" width="8.28515625" style="97" customWidth="1"/>
    <col min="6426" max="6426" width="18.42578125" style="97" customWidth="1"/>
    <col min="6427" max="6427" width="14.28515625" style="97" customWidth="1"/>
    <col min="6428" max="6428" width="16.7109375" style="97" customWidth="1"/>
    <col min="6429" max="6659" width="9.140625" style="97"/>
    <col min="6660" max="6660" width="3.7109375" style="97" customWidth="1"/>
    <col min="6661" max="6661" width="5.85546875" style="97" customWidth="1"/>
    <col min="6662" max="6662" width="24.7109375" style="97" customWidth="1"/>
    <col min="6663" max="6663" width="48" style="97" bestFit="1" customWidth="1"/>
    <col min="6664" max="6664" width="29.140625" style="97" bestFit="1" customWidth="1"/>
    <col min="6665" max="6665" width="19.5703125" style="97" customWidth="1"/>
    <col min="6666" max="6666" width="46.28515625" style="97" bestFit="1" customWidth="1"/>
    <col min="6667" max="6667" width="13" style="97" customWidth="1"/>
    <col min="6668" max="6674" width="14.42578125" style="97" customWidth="1"/>
    <col min="6675" max="6675" width="19.140625" style="97" customWidth="1"/>
    <col min="6676" max="6676" width="17" style="97" customWidth="1"/>
    <col min="6677" max="6677" width="13.42578125" style="97" customWidth="1"/>
    <col min="6678" max="6678" width="14.7109375" style="97" customWidth="1"/>
    <col min="6679" max="6679" width="10" style="97" customWidth="1"/>
    <col min="6680" max="6680" width="8" style="97" customWidth="1"/>
    <col min="6681" max="6681" width="8.28515625" style="97" customWidth="1"/>
    <col min="6682" max="6682" width="18.42578125" style="97" customWidth="1"/>
    <col min="6683" max="6683" width="14.28515625" style="97" customWidth="1"/>
    <col min="6684" max="6684" width="16.7109375" style="97" customWidth="1"/>
    <col min="6685" max="6915" width="9.140625" style="97"/>
    <col min="6916" max="6916" width="3.7109375" style="97" customWidth="1"/>
    <col min="6917" max="6917" width="5.85546875" style="97" customWidth="1"/>
    <col min="6918" max="6918" width="24.7109375" style="97" customWidth="1"/>
    <col min="6919" max="6919" width="48" style="97" bestFit="1" customWidth="1"/>
    <col min="6920" max="6920" width="29.140625" style="97" bestFit="1" customWidth="1"/>
    <col min="6921" max="6921" width="19.5703125" style="97" customWidth="1"/>
    <col min="6922" max="6922" width="46.28515625" style="97" bestFit="1" customWidth="1"/>
    <col min="6923" max="6923" width="13" style="97" customWidth="1"/>
    <col min="6924" max="6930" width="14.42578125" style="97" customWidth="1"/>
    <col min="6931" max="6931" width="19.140625" style="97" customWidth="1"/>
    <col min="6932" max="6932" width="17" style="97" customWidth="1"/>
    <col min="6933" max="6933" width="13.42578125" style="97" customWidth="1"/>
    <col min="6934" max="6934" width="14.7109375" style="97" customWidth="1"/>
    <col min="6935" max="6935" width="10" style="97" customWidth="1"/>
    <col min="6936" max="6936" width="8" style="97" customWidth="1"/>
    <col min="6937" max="6937" width="8.28515625" style="97" customWidth="1"/>
    <col min="6938" max="6938" width="18.42578125" style="97" customWidth="1"/>
    <col min="6939" max="6939" width="14.28515625" style="97" customWidth="1"/>
    <col min="6940" max="6940" width="16.7109375" style="97" customWidth="1"/>
    <col min="6941" max="7171" width="9.140625" style="97"/>
    <col min="7172" max="7172" width="3.7109375" style="97" customWidth="1"/>
    <col min="7173" max="7173" width="5.85546875" style="97" customWidth="1"/>
    <col min="7174" max="7174" width="24.7109375" style="97" customWidth="1"/>
    <col min="7175" max="7175" width="48" style="97" bestFit="1" customWidth="1"/>
    <col min="7176" max="7176" width="29.140625" style="97" bestFit="1" customWidth="1"/>
    <col min="7177" max="7177" width="19.5703125" style="97" customWidth="1"/>
    <col min="7178" max="7178" width="46.28515625" style="97" bestFit="1" customWidth="1"/>
    <col min="7179" max="7179" width="13" style="97" customWidth="1"/>
    <col min="7180" max="7186" width="14.42578125" style="97" customWidth="1"/>
    <col min="7187" max="7187" width="19.140625" style="97" customWidth="1"/>
    <col min="7188" max="7188" width="17" style="97" customWidth="1"/>
    <col min="7189" max="7189" width="13.42578125" style="97" customWidth="1"/>
    <col min="7190" max="7190" width="14.7109375" style="97" customWidth="1"/>
    <col min="7191" max="7191" width="10" style="97" customWidth="1"/>
    <col min="7192" max="7192" width="8" style="97" customWidth="1"/>
    <col min="7193" max="7193" width="8.28515625" style="97" customWidth="1"/>
    <col min="7194" max="7194" width="18.42578125" style="97" customWidth="1"/>
    <col min="7195" max="7195" width="14.28515625" style="97" customWidth="1"/>
    <col min="7196" max="7196" width="16.7109375" style="97" customWidth="1"/>
    <col min="7197" max="7427" width="9.140625" style="97"/>
    <col min="7428" max="7428" width="3.7109375" style="97" customWidth="1"/>
    <col min="7429" max="7429" width="5.85546875" style="97" customWidth="1"/>
    <col min="7430" max="7430" width="24.7109375" style="97" customWidth="1"/>
    <col min="7431" max="7431" width="48" style="97" bestFit="1" customWidth="1"/>
    <col min="7432" max="7432" width="29.140625" style="97" bestFit="1" customWidth="1"/>
    <col min="7433" max="7433" width="19.5703125" style="97" customWidth="1"/>
    <col min="7434" max="7434" width="46.28515625" style="97" bestFit="1" customWidth="1"/>
    <col min="7435" max="7435" width="13" style="97" customWidth="1"/>
    <col min="7436" max="7442" width="14.42578125" style="97" customWidth="1"/>
    <col min="7443" max="7443" width="19.140625" style="97" customWidth="1"/>
    <col min="7444" max="7444" width="17" style="97" customWidth="1"/>
    <col min="7445" max="7445" width="13.42578125" style="97" customWidth="1"/>
    <col min="7446" max="7446" width="14.7109375" style="97" customWidth="1"/>
    <col min="7447" max="7447" width="10" style="97" customWidth="1"/>
    <col min="7448" max="7448" width="8" style="97" customWidth="1"/>
    <col min="7449" max="7449" width="8.28515625" style="97" customWidth="1"/>
    <col min="7450" max="7450" width="18.42578125" style="97" customWidth="1"/>
    <col min="7451" max="7451" width="14.28515625" style="97" customWidth="1"/>
    <col min="7452" max="7452" width="16.7109375" style="97" customWidth="1"/>
    <col min="7453" max="7683" width="9.140625" style="97"/>
    <col min="7684" max="7684" width="3.7109375" style="97" customWidth="1"/>
    <col min="7685" max="7685" width="5.85546875" style="97" customWidth="1"/>
    <col min="7686" max="7686" width="24.7109375" style="97" customWidth="1"/>
    <col min="7687" max="7687" width="48" style="97" bestFit="1" customWidth="1"/>
    <col min="7688" max="7688" width="29.140625" style="97" bestFit="1" customWidth="1"/>
    <col min="7689" max="7689" width="19.5703125" style="97" customWidth="1"/>
    <col min="7690" max="7690" width="46.28515625" style="97" bestFit="1" customWidth="1"/>
    <col min="7691" max="7691" width="13" style="97" customWidth="1"/>
    <col min="7692" max="7698" width="14.42578125" style="97" customWidth="1"/>
    <col min="7699" max="7699" width="19.140625" style="97" customWidth="1"/>
    <col min="7700" max="7700" width="17" style="97" customWidth="1"/>
    <col min="7701" max="7701" width="13.42578125" style="97" customWidth="1"/>
    <col min="7702" max="7702" width="14.7109375" style="97" customWidth="1"/>
    <col min="7703" max="7703" width="10" style="97" customWidth="1"/>
    <col min="7704" max="7704" width="8" style="97" customWidth="1"/>
    <col min="7705" max="7705" width="8.28515625" style="97" customWidth="1"/>
    <col min="7706" max="7706" width="18.42578125" style="97" customWidth="1"/>
    <col min="7707" max="7707" width="14.28515625" style="97" customWidth="1"/>
    <col min="7708" max="7708" width="16.7109375" style="97" customWidth="1"/>
    <col min="7709" max="7939" width="9.140625" style="97"/>
    <col min="7940" max="7940" width="3.7109375" style="97" customWidth="1"/>
    <col min="7941" max="7941" width="5.85546875" style="97" customWidth="1"/>
    <col min="7942" max="7942" width="24.7109375" style="97" customWidth="1"/>
    <col min="7943" max="7943" width="48" style="97" bestFit="1" customWidth="1"/>
    <col min="7944" max="7944" width="29.140625" style="97" bestFit="1" customWidth="1"/>
    <col min="7945" max="7945" width="19.5703125" style="97" customWidth="1"/>
    <col min="7946" max="7946" width="46.28515625" style="97" bestFit="1" customWidth="1"/>
    <col min="7947" max="7947" width="13" style="97" customWidth="1"/>
    <col min="7948" max="7954" width="14.42578125" style="97" customWidth="1"/>
    <col min="7955" max="7955" width="19.140625" style="97" customWidth="1"/>
    <col min="7956" max="7956" width="17" style="97" customWidth="1"/>
    <col min="7957" max="7957" width="13.42578125" style="97" customWidth="1"/>
    <col min="7958" max="7958" width="14.7109375" style="97" customWidth="1"/>
    <col min="7959" max="7959" width="10" style="97" customWidth="1"/>
    <col min="7960" max="7960" width="8" style="97" customWidth="1"/>
    <col min="7961" max="7961" width="8.28515625" style="97" customWidth="1"/>
    <col min="7962" max="7962" width="18.42578125" style="97" customWidth="1"/>
    <col min="7963" max="7963" width="14.28515625" style="97" customWidth="1"/>
    <col min="7964" max="7964" width="16.7109375" style="97" customWidth="1"/>
    <col min="7965" max="8195" width="9.140625" style="97"/>
    <col min="8196" max="8196" width="3.7109375" style="97" customWidth="1"/>
    <col min="8197" max="8197" width="5.85546875" style="97" customWidth="1"/>
    <col min="8198" max="8198" width="24.7109375" style="97" customWidth="1"/>
    <col min="8199" max="8199" width="48" style="97" bestFit="1" customWidth="1"/>
    <col min="8200" max="8200" width="29.140625" style="97" bestFit="1" customWidth="1"/>
    <col min="8201" max="8201" width="19.5703125" style="97" customWidth="1"/>
    <col min="8202" max="8202" width="46.28515625" style="97" bestFit="1" customWidth="1"/>
    <col min="8203" max="8203" width="13" style="97" customWidth="1"/>
    <col min="8204" max="8210" width="14.42578125" style="97" customWidth="1"/>
    <col min="8211" max="8211" width="19.140625" style="97" customWidth="1"/>
    <col min="8212" max="8212" width="17" style="97" customWidth="1"/>
    <col min="8213" max="8213" width="13.42578125" style="97" customWidth="1"/>
    <col min="8214" max="8214" width="14.7109375" style="97" customWidth="1"/>
    <col min="8215" max="8215" width="10" style="97" customWidth="1"/>
    <col min="8216" max="8216" width="8" style="97" customWidth="1"/>
    <col min="8217" max="8217" width="8.28515625" style="97" customWidth="1"/>
    <col min="8218" max="8218" width="18.42578125" style="97" customWidth="1"/>
    <col min="8219" max="8219" width="14.28515625" style="97" customWidth="1"/>
    <col min="8220" max="8220" width="16.7109375" style="97" customWidth="1"/>
    <col min="8221" max="8451" width="9.140625" style="97"/>
    <col min="8452" max="8452" width="3.7109375" style="97" customWidth="1"/>
    <col min="8453" max="8453" width="5.85546875" style="97" customWidth="1"/>
    <col min="8454" max="8454" width="24.7109375" style="97" customWidth="1"/>
    <col min="8455" max="8455" width="48" style="97" bestFit="1" customWidth="1"/>
    <col min="8456" max="8456" width="29.140625" style="97" bestFit="1" customWidth="1"/>
    <col min="8457" max="8457" width="19.5703125" style="97" customWidth="1"/>
    <col min="8458" max="8458" width="46.28515625" style="97" bestFit="1" customWidth="1"/>
    <col min="8459" max="8459" width="13" style="97" customWidth="1"/>
    <col min="8460" max="8466" width="14.42578125" style="97" customWidth="1"/>
    <col min="8467" max="8467" width="19.140625" style="97" customWidth="1"/>
    <col min="8468" max="8468" width="17" style="97" customWidth="1"/>
    <col min="8469" max="8469" width="13.42578125" style="97" customWidth="1"/>
    <col min="8470" max="8470" width="14.7109375" style="97" customWidth="1"/>
    <col min="8471" max="8471" width="10" style="97" customWidth="1"/>
    <col min="8472" max="8472" width="8" style="97" customWidth="1"/>
    <col min="8473" max="8473" width="8.28515625" style="97" customWidth="1"/>
    <col min="8474" max="8474" width="18.42578125" style="97" customWidth="1"/>
    <col min="8475" max="8475" width="14.28515625" style="97" customWidth="1"/>
    <col min="8476" max="8476" width="16.7109375" style="97" customWidth="1"/>
    <col min="8477" max="8707" width="9.140625" style="97"/>
    <col min="8708" max="8708" width="3.7109375" style="97" customWidth="1"/>
    <col min="8709" max="8709" width="5.85546875" style="97" customWidth="1"/>
    <col min="8710" max="8710" width="24.7109375" style="97" customWidth="1"/>
    <col min="8711" max="8711" width="48" style="97" bestFit="1" customWidth="1"/>
    <col min="8712" max="8712" width="29.140625" style="97" bestFit="1" customWidth="1"/>
    <col min="8713" max="8713" width="19.5703125" style="97" customWidth="1"/>
    <col min="8714" max="8714" width="46.28515625" style="97" bestFit="1" customWidth="1"/>
    <col min="8715" max="8715" width="13" style="97" customWidth="1"/>
    <col min="8716" max="8722" width="14.42578125" style="97" customWidth="1"/>
    <col min="8723" max="8723" width="19.140625" style="97" customWidth="1"/>
    <col min="8724" max="8724" width="17" style="97" customWidth="1"/>
    <col min="8725" max="8725" width="13.42578125" style="97" customWidth="1"/>
    <col min="8726" max="8726" width="14.7109375" style="97" customWidth="1"/>
    <col min="8727" max="8727" width="10" style="97" customWidth="1"/>
    <col min="8728" max="8728" width="8" style="97" customWidth="1"/>
    <col min="8729" max="8729" width="8.28515625" style="97" customWidth="1"/>
    <col min="8730" max="8730" width="18.42578125" style="97" customWidth="1"/>
    <col min="8731" max="8731" width="14.28515625" style="97" customWidth="1"/>
    <col min="8732" max="8732" width="16.7109375" style="97" customWidth="1"/>
    <col min="8733" max="8963" width="9.140625" style="97"/>
    <col min="8964" max="8964" width="3.7109375" style="97" customWidth="1"/>
    <col min="8965" max="8965" width="5.85546875" style="97" customWidth="1"/>
    <col min="8966" max="8966" width="24.7109375" style="97" customWidth="1"/>
    <col min="8967" max="8967" width="48" style="97" bestFit="1" customWidth="1"/>
    <col min="8968" max="8968" width="29.140625" style="97" bestFit="1" customWidth="1"/>
    <col min="8969" max="8969" width="19.5703125" style="97" customWidth="1"/>
    <col min="8970" max="8970" width="46.28515625" style="97" bestFit="1" customWidth="1"/>
    <col min="8971" max="8971" width="13" style="97" customWidth="1"/>
    <col min="8972" max="8978" width="14.42578125" style="97" customWidth="1"/>
    <col min="8979" max="8979" width="19.140625" style="97" customWidth="1"/>
    <col min="8980" max="8980" width="17" style="97" customWidth="1"/>
    <col min="8981" max="8981" width="13.42578125" style="97" customWidth="1"/>
    <col min="8982" max="8982" width="14.7109375" style="97" customWidth="1"/>
    <col min="8983" max="8983" width="10" style="97" customWidth="1"/>
    <col min="8984" max="8984" width="8" style="97" customWidth="1"/>
    <col min="8985" max="8985" width="8.28515625" style="97" customWidth="1"/>
    <col min="8986" max="8986" width="18.42578125" style="97" customWidth="1"/>
    <col min="8987" max="8987" width="14.28515625" style="97" customWidth="1"/>
    <col min="8988" max="8988" width="16.7109375" style="97" customWidth="1"/>
    <col min="8989" max="9219" width="9.140625" style="97"/>
    <col min="9220" max="9220" width="3.7109375" style="97" customWidth="1"/>
    <col min="9221" max="9221" width="5.85546875" style="97" customWidth="1"/>
    <col min="9222" max="9222" width="24.7109375" style="97" customWidth="1"/>
    <col min="9223" max="9223" width="48" style="97" bestFit="1" customWidth="1"/>
    <col min="9224" max="9224" width="29.140625" style="97" bestFit="1" customWidth="1"/>
    <col min="9225" max="9225" width="19.5703125" style="97" customWidth="1"/>
    <col min="9226" max="9226" width="46.28515625" style="97" bestFit="1" customWidth="1"/>
    <col min="9227" max="9227" width="13" style="97" customWidth="1"/>
    <col min="9228" max="9234" width="14.42578125" style="97" customWidth="1"/>
    <col min="9235" max="9235" width="19.140625" style="97" customWidth="1"/>
    <col min="9236" max="9236" width="17" style="97" customWidth="1"/>
    <col min="9237" max="9237" width="13.42578125" style="97" customWidth="1"/>
    <col min="9238" max="9238" width="14.7109375" style="97" customWidth="1"/>
    <col min="9239" max="9239" width="10" style="97" customWidth="1"/>
    <col min="9240" max="9240" width="8" style="97" customWidth="1"/>
    <col min="9241" max="9241" width="8.28515625" style="97" customWidth="1"/>
    <col min="9242" max="9242" width="18.42578125" style="97" customWidth="1"/>
    <col min="9243" max="9243" width="14.28515625" style="97" customWidth="1"/>
    <col min="9244" max="9244" width="16.7109375" style="97" customWidth="1"/>
    <col min="9245" max="9475" width="9.140625" style="97"/>
    <col min="9476" max="9476" width="3.7109375" style="97" customWidth="1"/>
    <col min="9477" max="9477" width="5.85546875" style="97" customWidth="1"/>
    <col min="9478" max="9478" width="24.7109375" style="97" customWidth="1"/>
    <col min="9479" max="9479" width="48" style="97" bestFit="1" customWidth="1"/>
    <col min="9480" max="9480" width="29.140625" style="97" bestFit="1" customWidth="1"/>
    <col min="9481" max="9481" width="19.5703125" style="97" customWidth="1"/>
    <col min="9482" max="9482" width="46.28515625" style="97" bestFit="1" customWidth="1"/>
    <col min="9483" max="9483" width="13" style="97" customWidth="1"/>
    <col min="9484" max="9490" width="14.42578125" style="97" customWidth="1"/>
    <col min="9491" max="9491" width="19.140625" style="97" customWidth="1"/>
    <col min="9492" max="9492" width="17" style="97" customWidth="1"/>
    <col min="9493" max="9493" width="13.42578125" style="97" customWidth="1"/>
    <col min="9494" max="9494" width="14.7109375" style="97" customWidth="1"/>
    <col min="9495" max="9495" width="10" style="97" customWidth="1"/>
    <col min="9496" max="9496" width="8" style="97" customWidth="1"/>
    <col min="9497" max="9497" width="8.28515625" style="97" customWidth="1"/>
    <col min="9498" max="9498" width="18.42578125" style="97" customWidth="1"/>
    <col min="9499" max="9499" width="14.28515625" style="97" customWidth="1"/>
    <col min="9500" max="9500" width="16.7109375" style="97" customWidth="1"/>
    <col min="9501" max="9731" width="9.140625" style="97"/>
    <col min="9732" max="9732" width="3.7109375" style="97" customWidth="1"/>
    <col min="9733" max="9733" width="5.85546875" style="97" customWidth="1"/>
    <col min="9734" max="9734" width="24.7109375" style="97" customWidth="1"/>
    <col min="9735" max="9735" width="48" style="97" bestFit="1" customWidth="1"/>
    <col min="9736" max="9736" width="29.140625" style="97" bestFit="1" customWidth="1"/>
    <col min="9737" max="9737" width="19.5703125" style="97" customWidth="1"/>
    <col min="9738" max="9738" width="46.28515625" style="97" bestFit="1" customWidth="1"/>
    <col min="9739" max="9739" width="13" style="97" customWidth="1"/>
    <col min="9740" max="9746" width="14.42578125" style="97" customWidth="1"/>
    <col min="9747" max="9747" width="19.140625" style="97" customWidth="1"/>
    <col min="9748" max="9748" width="17" style="97" customWidth="1"/>
    <col min="9749" max="9749" width="13.42578125" style="97" customWidth="1"/>
    <col min="9750" max="9750" width="14.7109375" style="97" customWidth="1"/>
    <col min="9751" max="9751" width="10" style="97" customWidth="1"/>
    <col min="9752" max="9752" width="8" style="97" customWidth="1"/>
    <col min="9753" max="9753" width="8.28515625" style="97" customWidth="1"/>
    <col min="9754" max="9754" width="18.42578125" style="97" customWidth="1"/>
    <col min="9755" max="9755" width="14.28515625" style="97" customWidth="1"/>
    <col min="9756" max="9756" width="16.7109375" style="97" customWidth="1"/>
    <col min="9757" max="9987" width="9.140625" style="97"/>
    <col min="9988" max="9988" width="3.7109375" style="97" customWidth="1"/>
    <col min="9989" max="9989" width="5.85546875" style="97" customWidth="1"/>
    <col min="9990" max="9990" width="24.7109375" style="97" customWidth="1"/>
    <col min="9991" max="9991" width="48" style="97" bestFit="1" customWidth="1"/>
    <col min="9992" max="9992" width="29.140625" style="97" bestFit="1" customWidth="1"/>
    <col min="9993" max="9993" width="19.5703125" style="97" customWidth="1"/>
    <col min="9994" max="9994" width="46.28515625" style="97" bestFit="1" customWidth="1"/>
    <col min="9995" max="9995" width="13" style="97" customWidth="1"/>
    <col min="9996" max="10002" width="14.42578125" style="97" customWidth="1"/>
    <col min="10003" max="10003" width="19.140625" style="97" customWidth="1"/>
    <col min="10004" max="10004" width="17" style="97" customWidth="1"/>
    <col min="10005" max="10005" width="13.42578125" style="97" customWidth="1"/>
    <col min="10006" max="10006" width="14.7109375" style="97" customWidth="1"/>
    <col min="10007" max="10007" width="10" style="97" customWidth="1"/>
    <col min="10008" max="10008" width="8" style="97" customWidth="1"/>
    <col min="10009" max="10009" width="8.28515625" style="97" customWidth="1"/>
    <col min="10010" max="10010" width="18.42578125" style="97" customWidth="1"/>
    <col min="10011" max="10011" width="14.28515625" style="97" customWidth="1"/>
    <col min="10012" max="10012" width="16.7109375" style="97" customWidth="1"/>
    <col min="10013" max="10243" width="9.140625" style="97"/>
    <col min="10244" max="10244" width="3.7109375" style="97" customWidth="1"/>
    <col min="10245" max="10245" width="5.85546875" style="97" customWidth="1"/>
    <col min="10246" max="10246" width="24.7109375" style="97" customWidth="1"/>
    <col min="10247" max="10247" width="48" style="97" bestFit="1" customWidth="1"/>
    <col min="10248" max="10248" width="29.140625" style="97" bestFit="1" customWidth="1"/>
    <col min="10249" max="10249" width="19.5703125" style="97" customWidth="1"/>
    <col min="10250" max="10250" width="46.28515625" style="97" bestFit="1" customWidth="1"/>
    <col min="10251" max="10251" width="13" style="97" customWidth="1"/>
    <col min="10252" max="10258" width="14.42578125" style="97" customWidth="1"/>
    <col min="10259" max="10259" width="19.140625" style="97" customWidth="1"/>
    <col min="10260" max="10260" width="17" style="97" customWidth="1"/>
    <col min="10261" max="10261" width="13.42578125" style="97" customWidth="1"/>
    <col min="10262" max="10262" width="14.7109375" style="97" customWidth="1"/>
    <col min="10263" max="10263" width="10" style="97" customWidth="1"/>
    <col min="10264" max="10264" width="8" style="97" customWidth="1"/>
    <col min="10265" max="10265" width="8.28515625" style="97" customWidth="1"/>
    <col min="10266" max="10266" width="18.42578125" style="97" customWidth="1"/>
    <col min="10267" max="10267" width="14.28515625" style="97" customWidth="1"/>
    <col min="10268" max="10268" width="16.7109375" style="97" customWidth="1"/>
    <col min="10269" max="10499" width="9.140625" style="97"/>
    <col min="10500" max="10500" width="3.7109375" style="97" customWidth="1"/>
    <col min="10501" max="10501" width="5.85546875" style="97" customWidth="1"/>
    <col min="10502" max="10502" width="24.7109375" style="97" customWidth="1"/>
    <col min="10503" max="10503" width="48" style="97" bestFit="1" customWidth="1"/>
    <col min="10504" max="10504" width="29.140625" style="97" bestFit="1" customWidth="1"/>
    <col min="10505" max="10505" width="19.5703125" style="97" customWidth="1"/>
    <col min="10506" max="10506" width="46.28515625" style="97" bestFit="1" customWidth="1"/>
    <col min="10507" max="10507" width="13" style="97" customWidth="1"/>
    <col min="10508" max="10514" width="14.42578125" style="97" customWidth="1"/>
    <col min="10515" max="10515" width="19.140625" style="97" customWidth="1"/>
    <col min="10516" max="10516" width="17" style="97" customWidth="1"/>
    <col min="10517" max="10517" width="13.42578125" style="97" customWidth="1"/>
    <col min="10518" max="10518" width="14.7109375" style="97" customWidth="1"/>
    <col min="10519" max="10519" width="10" style="97" customWidth="1"/>
    <col min="10520" max="10520" width="8" style="97" customWidth="1"/>
    <col min="10521" max="10521" width="8.28515625" style="97" customWidth="1"/>
    <col min="10522" max="10522" width="18.42578125" style="97" customWidth="1"/>
    <col min="10523" max="10523" width="14.28515625" style="97" customWidth="1"/>
    <col min="10524" max="10524" width="16.7109375" style="97" customWidth="1"/>
    <col min="10525" max="10755" width="9.140625" style="97"/>
    <col min="10756" max="10756" width="3.7109375" style="97" customWidth="1"/>
    <col min="10757" max="10757" width="5.85546875" style="97" customWidth="1"/>
    <col min="10758" max="10758" width="24.7109375" style="97" customWidth="1"/>
    <col min="10759" max="10759" width="48" style="97" bestFit="1" customWidth="1"/>
    <col min="10760" max="10760" width="29.140625" style="97" bestFit="1" customWidth="1"/>
    <col min="10761" max="10761" width="19.5703125" style="97" customWidth="1"/>
    <col min="10762" max="10762" width="46.28515625" style="97" bestFit="1" customWidth="1"/>
    <col min="10763" max="10763" width="13" style="97" customWidth="1"/>
    <col min="10764" max="10770" width="14.42578125" style="97" customWidth="1"/>
    <col min="10771" max="10771" width="19.140625" style="97" customWidth="1"/>
    <col min="10772" max="10772" width="17" style="97" customWidth="1"/>
    <col min="10773" max="10773" width="13.42578125" style="97" customWidth="1"/>
    <col min="10774" max="10774" width="14.7109375" style="97" customWidth="1"/>
    <col min="10775" max="10775" width="10" style="97" customWidth="1"/>
    <col min="10776" max="10776" width="8" style="97" customWidth="1"/>
    <col min="10777" max="10777" width="8.28515625" style="97" customWidth="1"/>
    <col min="10778" max="10778" width="18.42578125" style="97" customWidth="1"/>
    <col min="10779" max="10779" width="14.28515625" style="97" customWidth="1"/>
    <col min="10780" max="10780" width="16.7109375" style="97" customWidth="1"/>
    <col min="10781" max="11011" width="9.140625" style="97"/>
    <col min="11012" max="11012" width="3.7109375" style="97" customWidth="1"/>
    <col min="11013" max="11013" width="5.85546875" style="97" customWidth="1"/>
    <col min="11014" max="11014" width="24.7109375" style="97" customWidth="1"/>
    <col min="11015" max="11015" width="48" style="97" bestFit="1" customWidth="1"/>
    <col min="11016" max="11016" width="29.140625" style="97" bestFit="1" customWidth="1"/>
    <col min="11017" max="11017" width="19.5703125" style="97" customWidth="1"/>
    <col min="11018" max="11018" width="46.28515625" style="97" bestFit="1" customWidth="1"/>
    <col min="11019" max="11019" width="13" style="97" customWidth="1"/>
    <col min="11020" max="11026" width="14.42578125" style="97" customWidth="1"/>
    <col min="11027" max="11027" width="19.140625" style="97" customWidth="1"/>
    <col min="11028" max="11028" width="17" style="97" customWidth="1"/>
    <col min="11029" max="11029" width="13.42578125" style="97" customWidth="1"/>
    <col min="11030" max="11030" width="14.7109375" style="97" customWidth="1"/>
    <col min="11031" max="11031" width="10" style="97" customWidth="1"/>
    <col min="11032" max="11032" width="8" style="97" customWidth="1"/>
    <col min="11033" max="11033" width="8.28515625" style="97" customWidth="1"/>
    <col min="11034" max="11034" width="18.42578125" style="97" customWidth="1"/>
    <col min="11035" max="11035" width="14.28515625" style="97" customWidth="1"/>
    <col min="11036" max="11036" width="16.7109375" style="97" customWidth="1"/>
    <col min="11037" max="11267" width="9.140625" style="97"/>
    <col min="11268" max="11268" width="3.7109375" style="97" customWidth="1"/>
    <col min="11269" max="11269" width="5.85546875" style="97" customWidth="1"/>
    <col min="11270" max="11270" width="24.7109375" style="97" customWidth="1"/>
    <col min="11271" max="11271" width="48" style="97" bestFit="1" customWidth="1"/>
    <col min="11272" max="11272" width="29.140625" style="97" bestFit="1" customWidth="1"/>
    <col min="11273" max="11273" width="19.5703125" style="97" customWidth="1"/>
    <col min="11274" max="11274" width="46.28515625" style="97" bestFit="1" customWidth="1"/>
    <col min="11275" max="11275" width="13" style="97" customWidth="1"/>
    <col min="11276" max="11282" width="14.42578125" style="97" customWidth="1"/>
    <col min="11283" max="11283" width="19.140625" style="97" customWidth="1"/>
    <col min="11284" max="11284" width="17" style="97" customWidth="1"/>
    <col min="11285" max="11285" width="13.42578125" style="97" customWidth="1"/>
    <col min="11286" max="11286" width="14.7109375" style="97" customWidth="1"/>
    <col min="11287" max="11287" width="10" style="97" customWidth="1"/>
    <col min="11288" max="11288" width="8" style="97" customWidth="1"/>
    <col min="11289" max="11289" width="8.28515625" style="97" customWidth="1"/>
    <col min="11290" max="11290" width="18.42578125" style="97" customWidth="1"/>
    <col min="11291" max="11291" width="14.28515625" style="97" customWidth="1"/>
    <col min="11292" max="11292" width="16.7109375" style="97" customWidth="1"/>
    <col min="11293" max="11523" width="9.140625" style="97"/>
    <col min="11524" max="11524" width="3.7109375" style="97" customWidth="1"/>
    <col min="11525" max="11525" width="5.85546875" style="97" customWidth="1"/>
    <col min="11526" max="11526" width="24.7109375" style="97" customWidth="1"/>
    <col min="11527" max="11527" width="48" style="97" bestFit="1" customWidth="1"/>
    <col min="11528" max="11528" width="29.140625" style="97" bestFit="1" customWidth="1"/>
    <col min="11529" max="11529" width="19.5703125" style="97" customWidth="1"/>
    <col min="11530" max="11530" width="46.28515625" style="97" bestFit="1" customWidth="1"/>
    <col min="11531" max="11531" width="13" style="97" customWidth="1"/>
    <col min="11532" max="11538" width="14.42578125" style="97" customWidth="1"/>
    <col min="11539" max="11539" width="19.140625" style="97" customWidth="1"/>
    <col min="11540" max="11540" width="17" style="97" customWidth="1"/>
    <col min="11541" max="11541" width="13.42578125" style="97" customWidth="1"/>
    <col min="11542" max="11542" width="14.7109375" style="97" customWidth="1"/>
    <col min="11543" max="11543" width="10" style="97" customWidth="1"/>
    <col min="11544" max="11544" width="8" style="97" customWidth="1"/>
    <col min="11545" max="11545" width="8.28515625" style="97" customWidth="1"/>
    <col min="11546" max="11546" width="18.42578125" style="97" customWidth="1"/>
    <col min="11547" max="11547" width="14.28515625" style="97" customWidth="1"/>
    <col min="11548" max="11548" width="16.7109375" style="97" customWidth="1"/>
    <col min="11549" max="11779" width="9.140625" style="97"/>
    <col min="11780" max="11780" width="3.7109375" style="97" customWidth="1"/>
    <col min="11781" max="11781" width="5.85546875" style="97" customWidth="1"/>
    <col min="11782" max="11782" width="24.7109375" style="97" customWidth="1"/>
    <col min="11783" max="11783" width="48" style="97" bestFit="1" customWidth="1"/>
    <col min="11784" max="11784" width="29.140625" style="97" bestFit="1" customWidth="1"/>
    <col min="11785" max="11785" width="19.5703125" style="97" customWidth="1"/>
    <col min="11786" max="11786" width="46.28515625" style="97" bestFit="1" customWidth="1"/>
    <col min="11787" max="11787" width="13" style="97" customWidth="1"/>
    <col min="11788" max="11794" width="14.42578125" style="97" customWidth="1"/>
    <col min="11795" max="11795" width="19.140625" style="97" customWidth="1"/>
    <col min="11796" max="11796" width="17" style="97" customWidth="1"/>
    <col min="11797" max="11797" width="13.42578125" style="97" customWidth="1"/>
    <col min="11798" max="11798" width="14.7109375" style="97" customWidth="1"/>
    <col min="11799" max="11799" width="10" style="97" customWidth="1"/>
    <col min="11800" max="11800" width="8" style="97" customWidth="1"/>
    <col min="11801" max="11801" width="8.28515625" style="97" customWidth="1"/>
    <col min="11802" max="11802" width="18.42578125" style="97" customWidth="1"/>
    <col min="11803" max="11803" width="14.28515625" style="97" customWidth="1"/>
    <col min="11804" max="11804" width="16.7109375" style="97" customWidth="1"/>
    <col min="11805" max="12035" width="9.140625" style="97"/>
    <col min="12036" max="12036" width="3.7109375" style="97" customWidth="1"/>
    <col min="12037" max="12037" width="5.85546875" style="97" customWidth="1"/>
    <col min="12038" max="12038" width="24.7109375" style="97" customWidth="1"/>
    <col min="12039" max="12039" width="48" style="97" bestFit="1" customWidth="1"/>
    <col min="12040" max="12040" width="29.140625" style="97" bestFit="1" customWidth="1"/>
    <col min="12041" max="12041" width="19.5703125" style="97" customWidth="1"/>
    <col min="12042" max="12042" width="46.28515625" style="97" bestFit="1" customWidth="1"/>
    <col min="12043" max="12043" width="13" style="97" customWidth="1"/>
    <col min="12044" max="12050" width="14.42578125" style="97" customWidth="1"/>
    <col min="12051" max="12051" width="19.140625" style="97" customWidth="1"/>
    <col min="12052" max="12052" width="17" style="97" customWidth="1"/>
    <col min="12053" max="12053" width="13.42578125" style="97" customWidth="1"/>
    <col min="12054" max="12054" width="14.7109375" style="97" customWidth="1"/>
    <col min="12055" max="12055" width="10" style="97" customWidth="1"/>
    <col min="12056" max="12056" width="8" style="97" customWidth="1"/>
    <col min="12057" max="12057" width="8.28515625" style="97" customWidth="1"/>
    <col min="12058" max="12058" width="18.42578125" style="97" customWidth="1"/>
    <col min="12059" max="12059" width="14.28515625" style="97" customWidth="1"/>
    <col min="12060" max="12060" width="16.7109375" style="97" customWidth="1"/>
    <col min="12061" max="12291" width="9.140625" style="97"/>
    <col min="12292" max="12292" width="3.7109375" style="97" customWidth="1"/>
    <col min="12293" max="12293" width="5.85546875" style="97" customWidth="1"/>
    <col min="12294" max="12294" width="24.7109375" style="97" customWidth="1"/>
    <col min="12295" max="12295" width="48" style="97" bestFit="1" customWidth="1"/>
    <col min="12296" max="12296" width="29.140625" style="97" bestFit="1" customWidth="1"/>
    <col min="12297" max="12297" width="19.5703125" style="97" customWidth="1"/>
    <col min="12298" max="12298" width="46.28515625" style="97" bestFit="1" customWidth="1"/>
    <col min="12299" max="12299" width="13" style="97" customWidth="1"/>
    <col min="12300" max="12306" width="14.42578125" style="97" customWidth="1"/>
    <col min="12307" max="12307" width="19.140625" style="97" customWidth="1"/>
    <col min="12308" max="12308" width="17" style="97" customWidth="1"/>
    <col min="12309" max="12309" width="13.42578125" style="97" customWidth="1"/>
    <col min="12310" max="12310" width="14.7109375" style="97" customWidth="1"/>
    <col min="12311" max="12311" width="10" style="97" customWidth="1"/>
    <col min="12312" max="12312" width="8" style="97" customWidth="1"/>
    <col min="12313" max="12313" width="8.28515625" style="97" customWidth="1"/>
    <col min="12314" max="12314" width="18.42578125" style="97" customWidth="1"/>
    <col min="12315" max="12315" width="14.28515625" style="97" customWidth="1"/>
    <col min="12316" max="12316" width="16.7109375" style="97" customWidth="1"/>
    <col min="12317" max="12547" width="9.140625" style="97"/>
    <col min="12548" max="12548" width="3.7109375" style="97" customWidth="1"/>
    <col min="12549" max="12549" width="5.85546875" style="97" customWidth="1"/>
    <col min="12550" max="12550" width="24.7109375" style="97" customWidth="1"/>
    <col min="12551" max="12551" width="48" style="97" bestFit="1" customWidth="1"/>
    <col min="12552" max="12552" width="29.140625" style="97" bestFit="1" customWidth="1"/>
    <col min="12553" max="12553" width="19.5703125" style="97" customWidth="1"/>
    <col min="12554" max="12554" width="46.28515625" style="97" bestFit="1" customWidth="1"/>
    <col min="12555" max="12555" width="13" style="97" customWidth="1"/>
    <col min="12556" max="12562" width="14.42578125" style="97" customWidth="1"/>
    <col min="12563" max="12563" width="19.140625" style="97" customWidth="1"/>
    <col min="12564" max="12564" width="17" style="97" customWidth="1"/>
    <col min="12565" max="12565" width="13.42578125" style="97" customWidth="1"/>
    <col min="12566" max="12566" width="14.7109375" style="97" customWidth="1"/>
    <col min="12567" max="12567" width="10" style="97" customWidth="1"/>
    <col min="12568" max="12568" width="8" style="97" customWidth="1"/>
    <col min="12569" max="12569" width="8.28515625" style="97" customWidth="1"/>
    <col min="12570" max="12570" width="18.42578125" style="97" customWidth="1"/>
    <col min="12571" max="12571" width="14.28515625" style="97" customWidth="1"/>
    <col min="12572" max="12572" width="16.7109375" style="97" customWidth="1"/>
    <col min="12573" max="12803" width="9.140625" style="97"/>
    <col min="12804" max="12804" width="3.7109375" style="97" customWidth="1"/>
    <col min="12805" max="12805" width="5.85546875" style="97" customWidth="1"/>
    <col min="12806" max="12806" width="24.7109375" style="97" customWidth="1"/>
    <col min="12807" max="12807" width="48" style="97" bestFit="1" customWidth="1"/>
    <col min="12808" max="12808" width="29.140625" style="97" bestFit="1" customWidth="1"/>
    <col min="12809" max="12809" width="19.5703125" style="97" customWidth="1"/>
    <col min="12810" max="12810" width="46.28515625" style="97" bestFit="1" customWidth="1"/>
    <col min="12811" max="12811" width="13" style="97" customWidth="1"/>
    <col min="12812" max="12818" width="14.42578125" style="97" customWidth="1"/>
    <col min="12819" max="12819" width="19.140625" style="97" customWidth="1"/>
    <col min="12820" max="12820" width="17" style="97" customWidth="1"/>
    <col min="12821" max="12821" width="13.42578125" style="97" customWidth="1"/>
    <col min="12822" max="12822" width="14.7109375" style="97" customWidth="1"/>
    <col min="12823" max="12823" width="10" style="97" customWidth="1"/>
    <col min="12824" max="12824" width="8" style="97" customWidth="1"/>
    <col min="12825" max="12825" width="8.28515625" style="97" customWidth="1"/>
    <col min="12826" max="12826" width="18.42578125" style="97" customWidth="1"/>
    <col min="12827" max="12827" width="14.28515625" style="97" customWidth="1"/>
    <col min="12828" max="12828" width="16.7109375" style="97" customWidth="1"/>
    <col min="12829" max="13059" width="9.140625" style="97"/>
    <col min="13060" max="13060" width="3.7109375" style="97" customWidth="1"/>
    <col min="13061" max="13061" width="5.85546875" style="97" customWidth="1"/>
    <col min="13062" max="13062" width="24.7109375" style="97" customWidth="1"/>
    <col min="13063" max="13063" width="48" style="97" bestFit="1" customWidth="1"/>
    <col min="13064" max="13064" width="29.140625" style="97" bestFit="1" customWidth="1"/>
    <col min="13065" max="13065" width="19.5703125" style="97" customWidth="1"/>
    <col min="13066" max="13066" width="46.28515625" style="97" bestFit="1" customWidth="1"/>
    <col min="13067" max="13067" width="13" style="97" customWidth="1"/>
    <col min="13068" max="13074" width="14.42578125" style="97" customWidth="1"/>
    <col min="13075" max="13075" width="19.140625" style="97" customWidth="1"/>
    <col min="13076" max="13076" width="17" style="97" customWidth="1"/>
    <col min="13077" max="13077" width="13.42578125" style="97" customWidth="1"/>
    <col min="13078" max="13078" width="14.7109375" style="97" customWidth="1"/>
    <col min="13079" max="13079" width="10" style="97" customWidth="1"/>
    <col min="13080" max="13080" width="8" style="97" customWidth="1"/>
    <col min="13081" max="13081" width="8.28515625" style="97" customWidth="1"/>
    <col min="13082" max="13082" width="18.42578125" style="97" customWidth="1"/>
    <col min="13083" max="13083" width="14.28515625" style="97" customWidth="1"/>
    <col min="13084" max="13084" width="16.7109375" style="97" customWidth="1"/>
    <col min="13085" max="13315" width="9.140625" style="97"/>
    <col min="13316" max="13316" width="3.7109375" style="97" customWidth="1"/>
    <col min="13317" max="13317" width="5.85546875" style="97" customWidth="1"/>
    <col min="13318" max="13318" width="24.7109375" style="97" customWidth="1"/>
    <col min="13319" max="13319" width="48" style="97" bestFit="1" customWidth="1"/>
    <col min="13320" max="13320" width="29.140625" style="97" bestFit="1" customWidth="1"/>
    <col min="13321" max="13321" width="19.5703125" style="97" customWidth="1"/>
    <col min="13322" max="13322" width="46.28515625" style="97" bestFit="1" customWidth="1"/>
    <col min="13323" max="13323" width="13" style="97" customWidth="1"/>
    <col min="13324" max="13330" width="14.42578125" style="97" customWidth="1"/>
    <col min="13331" max="13331" width="19.140625" style="97" customWidth="1"/>
    <col min="13332" max="13332" width="17" style="97" customWidth="1"/>
    <col min="13333" max="13333" width="13.42578125" style="97" customWidth="1"/>
    <col min="13334" max="13334" width="14.7109375" style="97" customWidth="1"/>
    <col min="13335" max="13335" width="10" style="97" customWidth="1"/>
    <col min="13336" max="13336" width="8" style="97" customWidth="1"/>
    <col min="13337" max="13337" width="8.28515625" style="97" customWidth="1"/>
    <col min="13338" max="13338" width="18.42578125" style="97" customWidth="1"/>
    <col min="13339" max="13339" width="14.28515625" style="97" customWidth="1"/>
    <col min="13340" max="13340" width="16.7109375" style="97" customWidth="1"/>
    <col min="13341" max="13571" width="9.140625" style="97"/>
    <col min="13572" max="13572" width="3.7109375" style="97" customWidth="1"/>
    <col min="13573" max="13573" width="5.85546875" style="97" customWidth="1"/>
    <col min="13574" max="13574" width="24.7109375" style="97" customWidth="1"/>
    <col min="13575" max="13575" width="48" style="97" bestFit="1" customWidth="1"/>
    <col min="13576" max="13576" width="29.140625" style="97" bestFit="1" customWidth="1"/>
    <col min="13577" max="13577" width="19.5703125" style="97" customWidth="1"/>
    <col min="13578" max="13578" width="46.28515625" style="97" bestFit="1" customWidth="1"/>
    <col min="13579" max="13579" width="13" style="97" customWidth="1"/>
    <col min="13580" max="13586" width="14.42578125" style="97" customWidth="1"/>
    <col min="13587" max="13587" width="19.140625" style="97" customWidth="1"/>
    <col min="13588" max="13588" width="17" style="97" customWidth="1"/>
    <col min="13589" max="13589" width="13.42578125" style="97" customWidth="1"/>
    <col min="13590" max="13590" width="14.7109375" style="97" customWidth="1"/>
    <col min="13591" max="13591" width="10" style="97" customWidth="1"/>
    <col min="13592" max="13592" width="8" style="97" customWidth="1"/>
    <col min="13593" max="13593" width="8.28515625" style="97" customWidth="1"/>
    <col min="13594" max="13594" width="18.42578125" style="97" customWidth="1"/>
    <col min="13595" max="13595" width="14.28515625" style="97" customWidth="1"/>
    <col min="13596" max="13596" width="16.7109375" style="97" customWidth="1"/>
    <col min="13597" max="13827" width="9.140625" style="97"/>
    <col min="13828" max="13828" width="3.7109375" style="97" customWidth="1"/>
    <col min="13829" max="13829" width="5.85546875" style="97" customWidth="1"/>
    <col min="13830" max="13830" width="24.7109375" style="97" customWidth="1"/>
    <col min="13831" max="13831" width="48" style="97" bestFit="1" customWidth="1"/>
    <col min="13832" max="13832" width="29.140625" style="97" bestFit="1" customWidth="1"/>
    <col min="13833" max="13833" width="19.5703125" style="97" customWidth="1"/>
    <col min="13834" max="13834" width="46.28515625" style="97" bestFit="1" customWidth="1"/>
    <col min="13835" max="13835" width="13" style="97" customWidth="1"/>
    <col min="13836" max="13842" width="14.42578125" style="97" customWidth="1"/>
    <col min="13843" max="13843" width="19.140625" style="97" customWidth="1"/>
    <col min="13844" max="13844" width="17" style="97" customWidth="1"/>
    <col min="13845" max="13845" width="13.42578125" style="97" customWidth="1"/>
    <col min="13846" max="13846" width="14.7109375" style="97" customWidth="1"/>
    <col min="13847" max="13847" width="10" style="97" customWidth="1"/>
    <col min="13848" max="13848" width="8" style="97" customWidth="1"/>
    <col min="13849" max="13849" width="8.28515625" style="97" customWidth="1"/>
    <col min="13850" max="13850" width="18.42578125" style="97" customWidth="1"/>
    <col min="13851" max="13851" width="14.28515625" style="97" customWidth="1"/>
    <col min="13852" max="13852" width="16.7109375" style="97" customWidth="1"/>
    <col min="13853" max="14083" width="9.140625" style="97"/>
    <col min="14084" max="14084" width="3.7109375" style="97" customWidth="1"/>
    <col min="14085" max="14085" width="5.85546875" style="97" customWidth="1"/>
    <col min="14086" max="14086" width="24.7109375" style="97" customWidth="1"/>
    <col min="14087" max="14087" width="48" style="97" bestFit="1" customWidth="1"/>
    <col min="14088" max="14088" width="29.140625" style="97" bestFit="1" customWidth="1"/>
    <col min="14089" max="14089" width="19.5703125" style="97" customWidth="1"/>
    <col min="14090" max="14090" width="46.28515625" style="97" bestFit="1" customWidth="1"/>
    <col min="14091" max="14091" width="13" style="97" customWidth="1"/>
    <col min="14092" max="14098" width="14.42578125" style="97" customWidth="1"/>
    <col min="14099" max="14099" width="19.140625" style="97" customWidth="1"/>
    <col min="14100" max="14100" width="17" style="97" customWidth="1"/>
    <col min="14101" max="14101" width="13.42578125" style="97" customWidth="1"/>
    <col min="14102" max="14102" width="14.7109375" style="97" customWidth="1"/>
    <col min="14103" max="14103" width="10" style="97" customWidth="1"/>
    <col min="14104" max="14104" width="8" style="97" customWidth="1"/>
    <col min="14105" max="14105" width="8.28515625" style="97" customWidth="1"/>
    <col min="14106" max="14106" width="18.42578125" style="97" customWidth="1"/>
    <col min="14107" max="14107" width="14.28515625" style="97" customWidth="1"/>
    <col min="14108" max="14108" width="16.7109375" style="97" customWidth="1"/>
    <col min="14109" max="14339" width="9.140625" style="97"/>
    <col min="14340" max="14340" width="3.7109375" style="97" customWidth="1"/>
    <col min="14341" max="14341" width="5.85546875" style="97" customWidth="1"/>
    <col min="14342" max="14342" width="24.7109375" style="97" customWidth="1"/>
    <col min="14343" max="14343" width="48" style="97" bestFit="1" customWidth="1"/>
    <col min="14344" max="14344" width="29.140625" style="97" bestFit="1" customWidth="1"/>
    <col min="14345" max="14345" width="19.5703125" style="97" customWidth="1"/>
    <col min="14346" max="14346" width="46.28515625" style="97" bestFit="1" customWidth="1"/>
    <col min="14347" max="14347" width="13" style="97" customWidth="1"/>
    <col min="14348" max="14354" width="14.42578125" style="97" customWidth="1"/>
    <col min="14355" max="14355" width="19.140625" style="97" customWidth="1"/>
    <col min="14356" max="14356" width="17" style="97" customWidth="1"/>
    <col min="14357" max="14357" width="13.42578125" style="97" customWidth="1"/>
    <col min="14358" max="14358" width="14.7109375" style="97" customWidth="1"/>
    <col min="14359" max="14359" width="10" style="97" customWidth="1"/>
    <col min="14360" max="14360" width="8" style="97" customWidth="1"/>
    <col min="14361" max="14361" width="8.28515625" style="97" customWidth="1"/>
    <col min="14362" max="14362" width="18.42578125" style="97" customWidth="1"/>
    <col min="14363" max="14363" width="14.28515625" style="97" customWidth="1"/>
    <col min="14364" max="14364" width="16.7109375" style="97" customWidth="1"/>
    <col min="14365" max="14595" width="9.140625" style="97"/>
    <col min="14596" max="14596" width="3.7109375" style="97" customWidth="1"/>
    <col min="14597" max="14597" width="5.85546875" style="97" customWidth="1"/>
    <col min="14598" max="14598" width="24.7109375" style="97" customWidth="1"/>
    <col min="14599" max="14599" width="48" style="97" bestFit="1" customWidth="1"/>
    <col min="14600" max="14600" width="29.140625" style="97" bestFit="1" customWidth="1"/>
    <col min="14601" max="14601" width="19.5703125" style="97" customWidth="1"/>
    <col min="14602" max="14602" width="46.28515625" style="97" bestFit="1" customWidth="1"/>
    <col min="14603" max="14603" width="13" style="97" customWidth="1"/>
    <col min="14604" max="14610" width="14.42578125" style="97" customWidth="1"/>
    <col min="14611" max="14611" width="19.140625" style="97" customWidth="1"/>
    <col min="14612" max="14612" width="17" style="97" customWidth="1"/>
    <col min="14613" max="14613" width="13.42578125" style="97" customWidth="1"/>
    <col min="14614" max="14614" width="14.7109375" style="97" customWidth="1"/>
    <col min="14615" max="14615" width="10" style="97" customWidth="1"/>
    <col min="14616" max="14616" width="8" style="97" customWidth="1"/>
    <col min="14617" max="14617" width="8.28515625" style="97" customWidth="1"/>
    <col min="14618" max="14618" width="18.42578125" style="97" customWidth="1"/>
    <col min="14619" max="14619" width="14.28515625" style="97" customWidth="1"/>
    <col min="14620" max="14620" width="16.7109375" style="97" customWidth="1"/>
    <col min="14621" max="14851" width="9.140625" style="97"/>
    <col min="14852" max="14852" width="3.7109375" style="97" customWidth="1"/>
    <col min="14853" max="14853" width="5.85546875" style="97" customWidth="1"/>
    <col min="14854" max="14854" width="24.7109375" style="97" customWidth="1"/>
    <col min="14855" max="14855" width="48" style="97" bestFit="1" customWidth="1"/>
    <col min="14856" max="14856" width="29.140625" style="97" bestFit="1" customWidth="1"/>
    <col min="14857" max="14857" width="19.5703125" style="97" customWidth="1"/>
    <col min="14858" max="14858" width="46.28515625" style="97" bestFit="1" customWidth="1"/>
    <col min="14859" max="14859" width="13" style="97" customWidth="1"/>
    <col min="14860" max="14866" width="14.42578125" style="97" customWidth="1"/>
    <col min="14867" max="14867" width="19.140625" style="97" customWidth="1"/>
    <col min="14868" max="14868" width="17" style="97" customWidth="1"/>
    <col min="14869" max="14869" width="13.42578125" style="97" customWidth="1"/>
    <col min="14870" max="14870" width="14.7109375" style="97" customWidth="1"/>
    <col min="14871" max="14871" width="10" style="97" customWidth="1"/>
    <col min="14872" max="14872" width="8" style="97" customWidth="1"/>
    <col min="14873" max="14873" width="8.28515625" style="97" customWidth="1"/>
    <col min="14874" max="14874" width="18.42578125" style="97" customWidth="1"/>
    <col min="14875" max="14875" width="14.28515625" style="97" customWidth="1"/>
    <col min="14876" max="14876" width="16.7109375" style="97" customWidth="1"/>
    <col min="14877" max="15107" width="9.140625" style="97"/>
    <col min="15108" max="15108" width="3.7109375" style="97" customWidth="1"/>
    <col min="15109" max="15109" width="5.85546875" style="97" customWidth="1"/>
    <col min="15110" max="15110" width="24.7109375" style="97" customWidth="1"/>
    <col min="15111" max="15111" width="48" style="97" bestFit="1" customWidth="1"/>
    <col min="15112" max="15112" width="29.140625" style="97" bestFit="1" customWidth="1"/>
    <col min="15113" max="15113" width="19.5703125" style="97" customWidth="1"/>
    <col min="15114" max="15114" width="46.28515625" style="97" bestFit="1" customWidth="1"/>
    <col min="15115" max="15115" width="13" style="97" customWidth="1"/>
    <col min="15116" max="15122" width="14.42578125" style="97" customWidth="1"/>
    <col min="15123" max="15123" width="19.140625" style="97" customWidth="1"/>
    <col min="15124" max="15124" width="17" style="97" customWidth="1"/>
    <col min="15125" max="15125" width="13.42578125" style="97" customWidth="1"/>
    <col min="15126" max="15126" width="14.7109375" style="97" customWidth="1"/>
    <col min="15127" max="15127" width="10" style="97" customWidth="1"/>
    <col min="15128" max="15128" width="8" style="97" customWidth="1"/>
    <col min="15129" max="15129" width="8.28515625" style="97" customWidth="1"/>
    <col min="15130" max="15130" width="18.42578125" style="97" customWidth="1"/>
    <col min="15131" max="15131" width="14.28515625" style="97" customWidth="1"/>
    <col min="15132" max="15132" width="16.7109375" style="97" customWidth="1"/>
    <col min="15133" max="15363" width="9.140625" style="97"/>
    <col min="15364" max="15364" width="3.7109375" style="97" customWidth="1"/>
    <col min="15365" max="15365" width="5.85546875" style="97" customWidth="1"/>
    <col min="15366" max="15366" width="24.7109375" style="97" customWidth="1"/>
    <col min="15367" max="15367" width="48" style="97" bestFit="1" customWidth="1"/>
    <col min="15368" max="15368" width="29.140625" style="97" bestFit="1" customWidth="1"/>
    <col min="15369" max="15369" width="19.5703125" style="97" customWidth="1"/>
    <col min="15370" max="15370" width="46.28515625" style="97" bestFit="1" customWidth="1"/>
    <col min="15371" max="15371" width="13" style="97" customWidth="1"/>
    <col min="15372" max="15378" width="14.42578125" style="97" customWidth="1"/>
    <col min="15379" max="15379" width="19.140625" style="97" customWidth="1"/>
    <col min="15380" max="15380" width="17" style="97" customWidth="1"/>
    <col min="15381" max="15381" width="13.42578125" style="97" customWidth="1"/>
    <col min="15382" max="15382" width="14.7109375" style="97" customWidth="1"/>
    <col min="15383" max="15383" width="10" style="97" customWidth="1"/>
    <col min="15384" max="15384" width="8" style="97" customWidth="1"/>
    <col min="15385" max="15385" width="8.28515625" style="97" customWidth="1"/>
    <col min="15386" max="15386" width="18.42578125" style="97" customWidth="1"/>
    <col min="15387" max="15387" width="14.28515625" style="97" customWidth="1"/>
    <col min="15388" max="15388" width="16.7109375" style="97" customWidth="1"/>
    <col min="15389" max="15619" width="9.140625" style="97"/>
    <col min="15620" max="15620" width="3.7109375" style="97" customWidth="1"/>
    <col min="15621" max="15621" width="5.85546875" style="97" customWidth="1"/>
    <col min="15622" max="15622" width="24.7109375" style="97" customWidth="1"/>
    <col min="15623" max="15623" width="48" style="97" bestFit="1" customWidth="1"/>
    <col min="15624" max="15624" width="29.140625" style="97" bestFit="1" customWidth="1"/>
    <col min="15625" max="15625" width="19.5703125" style="97" customWidth="1"/>
    <col min="15626" max="15626" width="46.28515625" style="97" bestFit="1" customWidth="1"/>
    <col min="15627" max="15627" width="13" style="97" customWidth="1"/>
    <col min="15628" max="15634" width="14.42578125" style="97" customWidth="1"/>
    <col min="15635" max="15635" width="19.140625" style="97" customWidth="1"/>
    <col min="15636" max="15636" width="17" style="97" customWidth="1"/>
    <col min="15637" max="15637" width="13.42578125" style="97" customWidth="1"/>
    <col min="15638" max="15638" width="14.7109375" style="97" customWidth="1"/>
    <col min="15639" max="15639" width="10" style="97" customWidth="1"/>
    <col min="15640" max="15640" width="8" style="97" customWidth="1"/>
    <col min="15641" max="15641" width="8.28515625" style="97" customWidth="1"/>
    <col min="15642" max="15642" width="18.42578125" style="97" customWidth="1"/>
    <col min="15643" max="15643" width="14.28515625" style="97" customWidth="1"/>
    <col min="15644" max="15644" width="16.7109375" style="97" customWidth="1"/>
    <col min="15645" max="15875" width="9.140625" style="97"/>
    <col min="15876" max="15876" width="3.7109375" style="97" customWidth="1"/>
    <col min="15877" max="15877" width="5.85546875" style="97" customWidth="1"/>
    <col min="15878" max="15878" width="24.7109375" style="97" customWidth="1"/>
    <col min="15879" max="15879" width="48" style="97" bestFit="1" customWidth="1"/>
    <col min="15880" max="15880" width="29.140625" style="97" bestFit="1" customWidth="1"/>
    <col min="15881" max="15881" width="19.5703125" style="97" customWidth="1"/>
    <col min="15882" max="15882" width="46.28515625" style="97" bestFit="1" customWidth="1"/>
    <col min="15883" max="15883" width="13" style="97" customWidth="1"/>
    <col min="15884" max="15890" width="14.42578125" style="97" customWidth="1"/>
    <col min="15891" max="15891" width="19.140625" style="97" customWidth="1"/>
    <col min="15892" max="15892" width="17" style="97" customWidth="1"/>
    <col min="15893" max="15893" width="13.42578125" style="97" customWidth="1"/>
    <col min="15894" max="15894" width="14.7109375" style="97" customWidth="1"/>
    <col min="15895" max="15895" width="10" style="97" customWidth="1"/>
    <col min="15896" max="15896" width="8" style="97" customWidth="1"/>
    <col min="15897" max="15897" width="8.28515625" style="97" customWidth="1"/>
    <col min="15898" max="15898" width="18.42578125" style="97" customWidth="1"/>
    <col min="15899" max="15899" width="14.28515625" style="97" customWidth="1"/>
    <col min="15900" max="15900" width="16.7109375" style="97" customWidth="1"/>
    <col min="15901" max="16131" width="9.140625" style="97"/>
    <col min="16132" max="16132" width="3.7109375" style="97" customWidth="1"/>
    <col min="16133" max="16133" width="5.85546875" style="97" customWidth="1"/>
    <col min="16134" max="16134" width="24.7109375" style="97" customWidth="1"/>
    <col min="16135" max="16135" width="48" style="97" bestFit="1" customWidth="1"/>
    <col min="16136" max="16136" width="29.140625" style="97" bestFit="1" customWidth="1"/>
    <col min="16137" max="16137" width="19.5703125" style="97" customWidth="1"/>
    <col min="16138" max="16138" width="46.28515625" style="97" bestFit="1" customWidth="1"/>
    <col min="16139" max="16139" width="13" style="97" customWidth="1"/>
    <col min="16140" max="16146" width="14.42578125" style="97" customWidth="1"/>
    <col min="16147" max="16147" width="19.140625" style="97" customWidth="1"/>
    <col min="16148" max="16148" width="17" style="97" customWidth="1"/>
    <col min="16149" max="16149" width="13.42578125" style="97" customWidth="1"/>
    <col min="16150" max="16150" width="14.7109375" style="97" customWidth="1"/>
    <col min="16151" max="16151" width="10" style="97" customWidth="1"/>
    <col min="16152" max="16152" width="8" style="97" customWidth="1"/>
    <col min="16153" max="16153" width="8.28515625" style="97" customWidth="1"/>
    <col min="16154" max="16154" width="18.42578125" style="97" customWidth="1"/>
    <col min="16155" max="16155" width="14.28515625" style="97" customWidth="1"/>
    <col min="16156" max="16156" width="16.7109375" style="97" customWidth="1"/>
    <col min="16157" max="16384" width="9.140625" style="97"/>
  </cols>
  <sheetData>
    <row r="1" spans="1:24" ht="19.5" customHeight="1">
      <c r="A1" s="41"/>
      <c r="B1" s="41"/>
      <c r="C1" s="41"/>
      <c r="D1" s="41"/>
      <c r="E1" s="41"/>
      <c r="F1" s="41"/>
      <c r="G1" s="41"/>
      <c r="H1" s="41"/>
      <c r="I1" s="41"/>
      <c r="J1" s="28"/>
      <c r="K1" s="28"/>
      <c r="L1" s="28"/>
      <c r="M1" s="28"/>
      <c r="N1" s="28"/>
      <c r="O1" s="28"/>
      <c r="P1" s="28"/>
      <c r="Q1" s="28"/>
      <c r="R1" s="41"/>
      <c r="S1" s="41"/>
      <c r="T1" s="41"/>
      <c r="U1" s="224" t="s">
        <v>116</v>
      </c>
      <c r="V1" s="224" t="s">
        <v>621</v>
      </c>
      <c r="W1" s="224"/>
      <c r="X1" s="98"/>
    </row>
    <row r="2" spans="1:24" ht="27" customHeight="1">
      <c r="A2" s="41"/>
      <c r="B2" s="436" t="s">
        <v>622</v>
      </c>
      <c r="C2" s="437"/>
      <c r="D2" s="437"/>
      <c r="E2" s="437"/>
      <c r="F2" s="437"/>
      <c r="G2" s="437"/>
      <c r="H2" s="437"/>
      <c r="I2" s="437"/>
      <c r="J2" s="437"/>
      <c r="K2" s="437"/>
      <c r="L2" s="437"/>
      <c r="M2" s="437"/>
      <c r="N2" s="437"/>
      <c r="O2" s="437"/>
      <c r="P2" s="437"/>
      <c r="Q2" s="437"/>
      <c r="R2" s="437"/>
      <c r="S2" s="437"/>
      <c r="T2" s="437"/>
      <c r="U2" s="28"/>
      <c r="V2" s="28"/>
      <c r="W2" s="28"/>
      <c r="X2" s="98"/>
    </row>
    <row r="3" spans="1:24" ht="23.25" customHeight="1">
      <c r="A3" s="41"/>
      <c r="B3" s="393" t="s">
        <v>119</v>
      </c>
      <c r="C3" s="394"/>
      <c r="D3" s="401" t="s">
        <v>623</v>
      </c>
      <c r="E3" s="401"/>
      <c r="F3" s="401"/>
      <c r="G3" s="401"/>
      <c r="H3" s="401"/>
      <c r="I3" s="41"/>
      <c r="J3" s="28"/>
      <c r="K3" s="28"/>
      <c r="L3" s="28"/>
      <c r="M3" s="28"/>
      <c r="N3" s="28"/>
      <c r="O3" s="28"/>
      <c r="P3" s="28"/>
      <c r="Q3" s="28"/>
      <c r="R3" s="41"/>
      <c r="S3" s="41"/>
      <c r="T3" s="41"/>
      <c r="U3" s="28"/>
      <c r="V3" s="28"/>
      <c r="W3" s="28"/>
      <c r="X3" s="98"/>
    </row>
    <row r="4" spans="1:24" ht="25.5" customHeight="1">
      <c r="A4" s="41"/>
      <c r="B4" s="41"/>
      <c r="C4" s="41"/>
      <c r="D4" s="401"/>
      <c r="E4" s="401"/>
      <c r="F4" s="401"/>
      <c r="G4" s="401"/>
      <c r="H4" s="401"/>
      <c r="I4" s="41"/>
      <c r="J4" s="28"/>
      <c r="K4" s="28"/>
      <c r="L4" s="28"/>
      <c r="M4" s="28"/>
      <c r="N4" s="28"/>
      <c r="O4" s="28"/>
      <c r="P4" s="28"/>
      <c r="Q4" s="28"/>
      <c r="R4" s="41"/>
      <c r="S4" s="41"/>
      <c r="T4" s="41"/>
      <c r="U4" s="28"/>
      <c r="V4" s="28"/>
      <c r="W4" s="28"/>
      <c r="X4" s="98"/>
    </row>
    <row r="5" spans="1:24" ht="12.75" customHeight="1">
      <c r="A5" s="41"/>
      <c r="B5" s="41"/>
      <c r="C5" s="41"/>
      <c r="D5" s="41"/>
      <c r="E5" s="41"/>
      <c r="F5" s="41"/>
      <c r="G5" s="41"/>
      <c r="H5" s="41"/>
      <c r="I5" s="41"/>
      <c r="J5" s="28"/>
      <c r="K5" s="28"/>
      <c r="L5" s="28"/>
      <c r="M5" s="28"/>
      <c r="N5" s="28"/>
      <c r="O5" s="28"/>
      <c r="P5" s="28"/>
      <c r="Q5" s="28"/>
      <c r="R5" s="41"/>
      <c r="S5" s="41"/>
      <c r="T5" s="41"/>
      <c r="U5" s="28"/>
      <c r="V5" s="28"/>
      <c r="W5" s="28"/>
      <c r="X5" s="98"/>
    </row>
    <row r="6" spans="1:24" ht="36" customHeight="1">
      <c r="A6" s="41"/>
      <c r="B6" s="225" t="s">
        <v>234</v>
      </c>
      <c r="C6" s="225" t="s">
        <v>122</v>
      </c>
      <c r="D6" s="225" t="s">
        <v>123</v>
      </c>
      <c r="E6" s="225" t="s">
        <v>126</v>
      </c>
      <c r="F6" s="225" t="s">
        <v>127</v>
      </c>
      <c r="G6" s="225" t="s">
        <v>537</v>
      </c>
      <c r="H6" s="225" t="s">
        <v>624</v>
      </c>
      <c r="I6" s="225" t="s">
        <v>53</v>
      </c>
      <c r="J6" s="225" t="s">
        <v>124</v>
      </c>
      <c r="K6" s="225" t="s">
        <v>308</v>
      </c>
      <c r="L6" s="225" t="s">
        <v>625</v>
      </c>
      <c r="M6" s="225" t="s">
        <v>626</v>
      </c>
      <c r="N6" s="225" t="s">
        <v>627</v>
      </c>
      <c r="O6" s="225" t="s">
        <v>628</v>
      </c>
      <c r="P6" s="225" t="s">
        <v>629</v>
      </c>
      <c r="Q6" s="225" t="s">
        <v>255</v>
      </c>
      <c r="R6" s="225" t="s">
        <v>424</v>
      </c>
      <c r="S6" s="225" t="s">
        <v>136</v>
      </c>
      <c r="T6" s="225" t="s">
        <v>56</v>
      </c>
      <c r="U6" s="305" t="s">
        <v>137</v>
      </c>
      <c r="V6" s="305" t="s">
        <v>257</v>
      </c>
      <c r="W6" s="306" t="s">
        <v>78</v>
      </c>
      <c r="X6" s="98"/>
    </row>
    <row r="7" spans="1:24" ht="36" hidden="1" customHeight="1">
      <c r="A7" s="41"/>
      <c r="B7" s="273" t="s">
        <v>140</v>
      </c>
      <c r="C7" s="273"/>
      <c r="D7" s="273" t="s">
        <v>141</v>
      </c>
      <c r="E7" s="273" t="s">
        <v>144</v>
      </c>
      <c r="F7" s="273" t="s">
        <v>145</v>
      </c>
      <c r="G7" s="273" t="s">
        <v>143</v>
      </c>
      <c r="H7" s="273" t="s">
        <v>630</v>
      </c>
      <c r="I7" s="273" t="s">
        <v>53</v>
      </c>
      <c r="J7" s="273" t="s">
        <v>142</v>
      </c>
      <c r="K7" s="273"/>
      <c r="L7" s="273"/>
      <c r="M7" s="273"/>
      <c r="N7" s="273"/>
      <c r="O7" s="273"/>
      <c r="P7" s="273"/>
      <c r="Q7" s="273" t="s">
        <v>148</v>
      </c>
      <c r="R7" s="273" t="s">
        <v>149</v>
      </c>
      <c r="S7" s="273" t="s">
        <v>150</v>
      </c>
      <c r="T7" s="273" t="s">
        <v>151</v>
      </c>
      <c r="U7" s="278" t="s">
        <v>152</v>
      </c>
      <c r="V7" s="278" t="s">
        <v>154</v>
      </c>
      <c r="W7" s="280" t="s">
        <v>153</v>
      </c>
      <c r="X7" s="98"/>
    </row>
    <row r="8" spans="1:24" ht="21.75" customHeight="1">
      <c r="A8" s="41"/>
      <c r="B8" s="248">
        <v>1</v>
      </c>
      <c r="C8" s="9" t="s">
        <v>631</v>
      </c>
      <c r="D8" s="44"/>
      <c r="E8" s="44"/>
      <c r="F8" s="44"/>
      <c r="G8" s="44"/>
      <c r="H8" s="44"/>
      <c r="I8" s="44"/>
      <c r="J8" s="15"/>
      <c r="K8" s="15">
        <f t="shared" ref="K8:K15" si="0">$I$20</f>
        <v>8</v>
      </c>
      <c r="L8" s="15" t="e">
        <f t="array" ref="L8">INDEX($I$32:$I$39,MATCH(1,(H8=$D$32:$D$39)*(D8=$F$32:$F$39),0))</f>
        <v>#N/A</v>
      </c>
      <c r="M8" s="15" t="e">
        <f t="array" ref="M8">INDEX($J$32:$J$39,MATCH(1,(H8=$D$32:$D$39)*(D8=$F$32:$F$39),0))</f>
        <v>#N/A</v>
      </c>
      <c r="N8" s="15" t="e">
        <f t="array" ref="N8">INDEX($K$32:$K$39,MATCH(1,(H8=$D$32:$D$39)*(D8=$F$32:$F$39),0))</f>
        <v>#N/A</v>
      </c>
      <c r="O8" s="15" t="e">
        <f t="array" ref="O8">INDEX($L$32:$L$39,MATCH(1,(H8=$D$32:$D$39)*(D8=$F$32:$F$39),0))</f>
        <v>#N/A</v>
      </c>
      <c r="P8" s="15" t="e">
        <f t="array" ref="P8">INDEX($M$32:$M$39,MATCH(1,(H8=$D$32:$D$39)*(D8=$F$32:$F$39),0))</f>
        <v>#N/A</v>
      </c>
      <c r="Q8" s="15">
        <f>IFERROR(ROUND(R8/8760,6),"")</f>
        <v>0</v>
      </c>
      <c r="R8" s="226">
        <f>IFERROR(ROUND(P8*S8,6),0)</f>
        <v>0</v>
      </c>
      <c r="S8" s="16">
        <f>IFERROR(ROUND((((L8*N8)-(M8*O8))*365*8.3*1*($R$31-$S$31))/($Q$31*3412)*I8,4),0)</f>
        <v>0</v>
      </c>
      <c r="T8" s="227" t="str">
        <f>IF(I8="", "", I8*$D$20)</f>
        <v/>
      </c>
      <c r="U8" s="59">
        <f>G8</f>
        <v>0</v>
      </c>
      <c r="V8" t="str">
        <f>IF(S8&gt;0,"Yes","No")</f>
        <v>No</v>
      </c>
      <c r="W8" t="s">
        <v>632</v>
      </c>
      <c r="X8" s="98"/>
    </row>
    <row r="9" spans="1:24" ht="21.75" customHeight="1">
      <c r="A9" s="41"/>
      <c r="B9" s="248">
        <v>2</v>
      </c>
      <c r="C9" s="9" t="s">
        <v>631</v>
      </c>
      <c r="D9" s="44"/>
      <c r="E9" s="44"/>
      <c r="F9" s="44"/>
      <c r="G9" s="44"/>
      <c r="H9" s="44"/>
      <c r="I9" s="44"/>
      <c r="J9" s="15"/>
      <c r="K9" s="15">
        <f t="shared" si="0"/>
        <v>8</v>
      </c>
      <c r="L9" s="15" t="e">
        <f t="array" ref="L9">INDEX($I$32:$I$39,MATCH(1,(H9=$D$32:$D$39)*(D9=$F$32:$F$39),0))</f>
        <v>#N/A</v>
      </c>
      <c r="M9" s="15" t="e">
        <f t="array" ref="M9">INDEX($J$32:$J$39,MATCH(1,(H9=$D$32:$D$39)*(D9=$F$32:$F$39),0))</f>
        <v>#N/A</v>
      </c>
      <c r="N9" s="15" t="e">
        <f t="array" ref="N9">INDEX($K$32:$K$39,MATCH(1,(H9=$D$32:$D$39)*(D9=$F$32:$F$39),0))</f>
        <v>#N/A</v>
      </c>
      <c r="O9" s="15" t="e">
        <f t="array" ref="O9">INDEX($L$32:$L$39,MATCH(1,(H9=$D$32:$D$39)*(D9=$F$32:$F$39),0))</f>
        <v>#N/A</v>
      </c>
      <c r="P9" s="15" t="e">
        <f t="array" ref="P9">INDEX($M$32:$M$39,MATCH(1,(H9=$D$32:$D$39)*(D9=$F$32:$F$39),0))</f>
        <v>#N/A</v>
      </c>
      <c r="Q9" s="15">
        <f>IFERROR(ROUND(R9/8760,6),"")</f>
        <v>0</v>
      </c>
      <c r="R9" s="226">
        <f t="shared" ref="R9:R15" si="1">IFERROR(ROUND(P9*S9,6),0)</f>
        <v>0</v>
      </c>
      <c r="S9" s="16">
        <f t="shared" ref="S9:S15" si="2">IFERROR(ROUND((((L9*N9)-(M9*O9))*365*8.3*1*($R$31-$S$31))/($Q$31*3412)*I9,4),0)</f>
        <v>0</v>
      </c>
      <c r="T9" s="227" t="str">
        <f t="shared" ref="T9:T15" si="3">IF(I9="", "", I9*$D$20)</f>
        <v/>
      </c>
      <c r="U9" s="59">
        <f t="shared" ref="U9:U15" si="4">G9</f>
        <v>0</v>
      </c>
      <c r="V9" t="str">
        <f t="shared" ref="V9:V15" si="5">IF(S9&gt;0,"Yes","No")</f>
        <v>No</v>
      </c>
      <c r="W9" t="s">
        <v>632</v>
      </c>
      <c r="X9" s="98"/>
    </row>
    <row r="10" spans="1:24" ht="21.75" customHeight="1">
      <c r="A10" s="41"/>
      <c r="B10" s="248">
        <v>3</v>
      </c>
      <c r="C10" s="9" t="s">
        <v>631</v>
      </c>
      <c r="D10" s="44"/>
      <c r="E10" s="44"/>
      <c r="F10" s="44"/>
      <c r="G10" s="44"/>
      <c r="H10" s="44"/>
      <c r="I10" s="44"/>
      <c r="J10" s="15"/>
      <c r="K10" s="15">
        <f t="shared" si="0"/>
        <v>8</v>
      </c>
      <c r="L10" s="15" t="e">
        <f t="array" ref="L10">INDEX($I$32:$I$39,MATCH(1,(H10=$D$32:$D$39)*(D10=$F$32:$F$39),0))</f>
        <v>#N/A</v>
      </c>
      <c r="M10" s="15" t="e">
        <f t="array" ref="M10">INDEX($J$32:$J$39,MATCH(1,(H10=$D$32:$D$39)*(D10=$F$32:$F$39),0))</f>
        <v>#N/A</v>
      </c>
      <c r="N10" s="15" t="e">
        <f t="array" ref="N10">INDEX($K$32:$K$39,MATCH(1,(H10=$D$32:$D$39)*(D10=$F$32:$F$39),0))</f>
        <v>#N/A</v>
      </c>
      <c r="O10" s="15" t="e">
        <f t="array" ref="O10">INDEX($L$32:$L$39,MATCH(1,(H10=$D$32:$D$39)*(D10=$F$32:$F$39),0))</f>
        <v>#N/A</v>
      </c>
      <c r="P10" s="15" t="e">
        <f t="array" ref="P10">INDEX($M$32:$M$39,MATCH(1,(H10=$D$32:$D$39)*(D10=$F$32:$F$39),0))</f>
        <v>#N/A</v>
      </c>
      <c r="Q10" s="15">
        <f t="shared" ref="Q10:Q15" si="6">IFERROR(ROUND(R10/8760,6),"")</f>
        <v>0</v>
      </c>
      <c r="R10" s="226">
        <f t="shared" si="1"/>
        <v>0</v>
      </c>
      <c r="S10" s="16">
        <f t="shared" si="2"/>
        <v>0</v>
      </c>
      <c r="T10" s="227" t="str">
        <f t="shared" si="3"/>
        <v/>
      </c>
      <c r="U10" s="59">
        <f t="shared" si="4"/>
        <v>0</v>
      </c>
      <c r="V10" t="str">
        <f t="shared" si="5"/>
        <v>No</v>
      </c>
      <c r="W10" t="s">
        <v>632</v>
      </c>
      <c r="X10" s="98"/>
    </row>
    <row r="11" spans="1:24" ht="21.75" customHeight="1">
      <c r="A11" s="41"/>
      <c r="B11" s="248">
        <v>4</v>
      </c>
      <c r="C11" s="9" t="s">
        <v>631</v>
      </c>
      <c r="D11" s="44"/>
      <c r="E11" s="44"/>
      <c r="F11" s="44"/>
      <c r="G11" s="44"/>
      <c r="H11" s="44"/>
      <c r="I11" s="44"/>
      <c r="J11" s="15"/>
      <c r="K11" s="15">
        <f t="shared" si="0"/>
        <v>8</v>
      </c>
      <c r="L11" s="15" t="e">
        <f t="array" ref="L11">INDEX($I$32:$I$39,MATCH(1,(H11=$D$32:$D$39)*(D11=$F$32:$F$39),0))</f>
        <v>#N/A</v>
      </c>
      <c r="M11" s="15" t="e">
        <f t="array" ref="M11">INDEX($J$32:$J$39,MATCH(1,(H11=$D$32:$D$39)*(D11=$F$32:$F$39),0))</f>
        <v>#N/A</v>
      </c>
      <c r="N11" s="15" t="e">
        <f t="array" ref="N11">INDEX($K$32:$K$39,MATCH(1,(H11=$D$32:$D$39)*(D11=$F$32:$F$39),0))</f>
        <v>#N/A</v>
      </c>
      <c r="O11" s="15" t="e">
        <f t="array" ref="O11">INDEX($L$32:$L$39,MATCH(1,(H11=$D$32:$D$39)*(D11=$F$32:$F$39),0))</f>
        <v>#N/A</v>
      </c>
      <c r="P11" s="15" t="e">
        <f t="array" ref="P11">INDEX($M$32:$M$39,MATCH(1,(H11=$D$32:$D$39)*(D11=$F$32:$F$39),0))</f>
        <v>#N/A</v>
      </c>
      <c r="Q11" s="15">
        <f t="shared" si="6"/>
        <v>0</v>
      </c>
      <c r="R11" s="226">
        <f t="shared" si="1"/>
        <v>0</v>
      </c>
      <c r="S11" s="16">
        <f t="shared" si="2"/>
        <v>0</v>
      </c>
      <c r="T11" s="227" t="str">
        <f t="shared" si="3"/>
        <v/>
      </c>
      <c r="U11" s="59">
        <f t="shared" si="4"/>
        <v>0</v>
      </c>
      <c r="V11" t="str">
        <f t="shared" si="5"/>
        <v>No</v>
      </c>
      <c r="W11" t="s">
        <v>632</v>
      </c>
      <c r="X11" s="98"/>
    </row>
    <row r="12" spans="1:24" ht="21.75" customHeight="1">
      <c r="A12" s="41"/>
      <c r="B12" s="248">
        <v>5</v>
      </c>
      <c r="C12" s="9" t="s">
        <v>631</v>
      </c>
      <c r="D12" s="44"/>
      <c r="E12" s="44"/>
      <c r="F12" s="44"/>
      <c r="G12" s="44"/>
      <c r="H12" s="44"/>
      <c r="I12" s="44"/>
      <c r="J12" s="15"/>
      <c r="K12" s="15">
        <f t="shared" si="0"/>
        <v>8</v>
      </c>
      <c r="L12" s="15" t="e">
        <f t="array" ref="L12">INDEX($I$32:$I$39,MATCH(1,(H12=$D$32:$D$39)*(D12=$F$32:$F$39),0))</f>
        <v>#N/A</v>
      </c>
      <c r="M12" s="15" t="e">
        <f t="array" ref="M12">INDEX($J$32:$J$39,MATCH(1,(H12=$D$32:$D$39)*(D12=$F$32:$F$39),0))</f>
        <v>#N/A</v>
      </c>
      <c r="N12" s="15" t="e">
        <f t="array" ref="N12">INDEX($K$32:$K$39,MATCH(1,(H12=$D$32:$D$39)*(D12=$F$32:$F$39),0))</f>
        <v>#N/A</v>
      </c>
      <c r="O12" s="15" t="e">
        <f t="array" ref="O12">INDEX($L$32:$L$39,MATCH(1,(H12=$D$32:$D$39)*(D12=$F$32:$F$39),0))</f>
        <v>#N/A</v>
      </c>
      <c r="P12" s="15" t="e">
        <f t="array" ref="P12">INDEX($M$32:$M$39,MATCH(1,(H12=$D$32:$D$39)*(D12=$F$32:$F$39),0))</f>
        <v>#N/A</v>
      </c>
      <c r="Q12" s="15">
        <f t="shared" si="6"/>
        <v>0</v>
      </c>
      <c r="R12" s="226">
        <f t="shared" si="1"/>
        <v>0</v>
      </c>
      <c r="S12" s="16">
        <f t="shared" si="2"/>
        <v>0</v>
      </c>
      <c r="T12" s="227" t="str">
        <f t="shared" si="3"/>
        <v/>
      </c>
      <c r="U12" s="59">
        <f t="shared" si="4"/>
        <v>0</v>
      </c>
      <c r="V12" t="str">
        <f t="shared" si="5"/>
        <v>No</v>
      </c>
      <c r="W12" t="s">
        <v>632</v>
      </c>
      <c r="X12" s="98"/>
    </row>
    <row r="13" spans="1:24" ht="21.75" customHeight="1">
      <c r="A13" s="41"/>
      <c r="B13" s="248">
        <v>6</v>
      </c>
      <c r="C13" s="9" t="s">
        <v>631</v>
      </c>
      <c r="D13" s="44"/>
      <c r="E13" s="44"/>
      <c r="F13" s="44"/>
      <c r="G13" s="44"/>
      <c r="H13" s="44"/>
      <c r="I13" s="44"/>
      <c r="J13" s="15"/>
      <c r="K13" s="15">
        <f t="shared" si="0"/>
        <v>8</v>
      </c>
      <c r="L13" s="15" t="e">
        <f t="array" ref="L13">INDEX($I$32:$I$39,MATCH(1,(H13=$D$32:$D$39)*(D13=$F$32:$F$39),0))</f>
        <v>#N/A</v>
      </c>
      <c r="M13" s="15" t="e">
        <f t="array" ref="M13">INDEX($J$32:$J$39,MATCH(1,(H13=$D$32:$D$39)*(D13=$F$32:$F$39),0))</f>
        <v>#N/A</v>
      </c>
      <c r="N13" s="15" t="e">
        <f t="array" ref="N13">INDEX($K$32:$K$39,MATCH(1,(H13=$D$32:$D$39)*(D13=$F$32:$F$39),0))</f>
        <v>#N/A</v>
      </c>
      <c r="O13" s="15" t="e">
        <f t="array" ref="O13">INDEX($L$32:$L$39,MATCH(1,(H13=$D$32:$D$39)*(D13=$F$32:$F$39),0))</f>
        <v>#N/A</v>
      </c>
      <c r="P13" s="15" t="e">
        <f t="array" ref="P13">INDEX($M$32:$M$39,MATCH(1,(H13=$D$32:$D$39)*(D13=$F$32:$F$39),0))</f>
        <v>#N/A</v>
      </c>
      <c r="Q13" s="15">
        <f t="shared" si="6"/>
        <v>0</v>
      </c>
      <c r="R13" s="226">
        <f t="shared" si="1"/>
        <v>0</v>
      </c>
      <c r="S13" s="16">
        <f t="shared" si="2"/>
        <v>0</v>
      </c>
      <c r="T13" s="227" t="str">
        <f t="shared" si="3"/>
        <v/>
      </c>
      <c r="U13" s="59">
        <f t="shared" si="4"/>
        <v>0</v>
      </c>
      <c r="V13" t="str">
        <f t="shared" si="5"/>
        <v>No</v>
      </c>
      <c r="W13" t="s">
        <v>632</v>
      </c>
      <c r="X13" s="98"/>
    </row>
    <row r="14" spans="1:24" ht="21.75" customHeight="1">
      <c r="A14" s="41"/>
      <c r="B14" s="248">
        <v>7</v>
      </c>
      <c r="C14" s="9" t="s">
        <v>631</v>
      </c>
      <c r="D14" s="44"/>
      <c r="E14" s="44"/>
      <c r="F14" s="44"/>
      <c r="G14" s="44"/>
      <c r="H14" s="44"/>
      <c r="I14" s="44"/>
      <c r="J14" s="15"/>
      <c r="K14" s="15">
        <f t="shared" si="0"/>
        <v>8</v>
      </c>
      <c r="L14" s="15" t="e">
        <f t="array" ref="L14">INDEX($I$32:$I$39,MATCH(1,(H14=$D$32:$D$39)*(D14=$F$32:$F$39),0))</f>
        <v>#N/A</v>
      </c>
      <c r="M14" s="15" t="e">
        <f t="array" ref="M14">INDEX($J$32:$J$39,MATCH(1,(H14=$D$32:$D$39)*(D14=$F$32:$F$39),0))</f>
        <v>#N/A</v>
      </c>
      <c r="N14" s="15" t="e">
        <f t="array" ref="N14">INDEX($K$32:$K$39,MATCH(1,(H14=$D$32:$D$39)*(D14=$F$32:$F$39),0))</f>
        <v>#N/A</v>
      </c>
      <c r="O14" s="15" t="e">
        <f t="array" ref="O14">INDEX($L$32:$L$39,MATCH(1,(H14=$D$32:$D$39)*(D14=$F$32:$F$39),0))</f>
        <v>#N/A</v>
      </c>
      <c r="P14" s="15" t="e">
        <f t="array" ref="P14">INDEX($M$32:$M$39,MATCH(1,(H14=$D$32:$D$39)*(D14=$F$32:$F$39),0))</f>
        <v>#N/A</v>
      </c>
      <c r="Q14" s="15">
        <f t="shared" si="6"/>
        <v>0</v>
      </c>
      <c r="R14" s="226">
        <f t="shared" si="1"/>
        <v>0</v>
      </c>
      <c r="S14" s="16">
        <f t="shared" si="2"/>
        <v>0</v>
      </c>
      <c r="T14" s="227" t="str">
        <f t="shared" si="3"/>
        <v/>
      </c>
      <c r="U14" s="59">
        <f t="shared" si="4"/>
        <v>0</v>
      </c>
      <c r="V14" t="str">
        <f t="shared" si="5"/>
        <v>No</v>
      </c>
      <c r="W14" t="s">
        <v>632</v>
      </c>
      <c r="X14" s="98"/>
    </row>
    <row r="15" spans="1:24" ht="21.75" customHeight="1">
      <c r="A15" s="41"/>
      <c r="B15" s="248">
        <v>8</v>
      </c>
      <c r="C15" s="9" t="s">
        <v>631</v>
      </c>
      <c r="D15" s="44"/>
      <c r="E15" s="44"/>
      <c r="F15" s="44"/>
      <c r="G15" s="44"/>
      <c r="H15" s="44"/>
      <c r="I15" s="44"/>
      <c r="J15" s="15"/>
      <c r="K15" s="15">
        <f t="shared" si="0"/>
        <v>8</v>
      </c>
      <c r="L15" s="15" t="e">
        <f t="array" ref="L15">INDEX($I$32:$I$39,MATCH(1,(H15=$D$32:$D$39)*(D15=$F$32:$F$39),0))</f>
        <v>#N/A</v>
      </c>
      <c r="M15" s="15" t="e">
        <f t="array" ref="M15">INDEX($J$32:$J$39,MATCH(1,(H15=$D$32:$D$39)*(D15=$F$32:$F$39),0))</f>
        <v>#N/A</v>
      </c>
      <c r="N15" s="15" t="e">
        <f t="array" ref="N15">INDEX($K$32:$K$39,MATCH(1,(H15=$D$32:$D$39)*(D15=$F$32:$F$39),0))</f>
        <v>#N/A</v>
      </c>
      <c r="O15" s="15" t="e">
        <f t="array" ref="O15">INDEX($L$32:$L$39,MATCH(1,(H15=$D$32:$D$39)*(D15=$F$32:$F$39),0))</f>
        <v>#N/A</v>
      </c>
      <c r="P15" s="15" t="e">
        <f t="array" ref="P15">INDEX($M$32:$M$39,MATCH(1,(H15=$D$32:$D$39)*(D15=$F$32:$F$39),0))</f>
        <v>#N/A</v>
      </c>
      <c r="Q15" s="15">
        <f t="shared" si="6"/>
        <v>0</v>
      </c>
      <c r="R15" s="226">
        <f t="shared" si="1"/>
        <v>0</v>
      </c>
      <c r="S15" s="16">
        <f t="shared" si="2"/>
        <v>0</v>
      </c>
      <c r="T15" s="227" t="str">
        <f t="shared" si="3"/>
        <v/>
      </c>
      <c r="U15" s="59">
        <f t="shared" si="4"/>
        <v>0</v>
      </c>
      <c r="V15" t="str">
        <f t="shared" si="5"/>
        <v>No</v>
      </c>
      <c r="W15" t="s">
        <v>632</v>
      </c>
      <c r="X15" s="98"/>
    </row>
    <row r="16" spans="1:24" hidden="1">
      <c r="A16" s="28"/>
      <c r="X16" s="98"/>
    </row>
    <row r="17" spans="1:24" hidden="1">
      <c r="A17" s="28"/>
      <c r="I17" s="34">
        <f>SUM(I8:I15)</f>
        <v>0</v>
      </c>
      <c r="J17" s="34"/>
      <c r="K17" s="34"/>
      <c r="L17" s="34"/>
      <c r="M17" s="34"/>
      <c r="N17" s="34"/>
      <c r="O17" s="34"/>
      <c r="P17" s="34"/>
      <c r="Q17" s="34"/>
      <c r="R17" s="36">
        <f>SUM(R8:R15)</f>
        <v>0</v>
      </c>
      <c r="S17" s="36">
        <f>SUM(S8:S15)</f>
        <v>0</v>
      </c>
      <c r="T17" s="35">
        <f>SUM(T8:T15)</f>
        <v>0</v>
      </c>
      <c r="X17" s="98"/>
    </row>
    <row r="18" spans="1:24" hidden="1">
      <c r="A18" s="28"/>
      <c r="C18" s="137"/>
      <c r="D18" s="137"/>
      <c r="X18" s="98"/>
    </row>
    <row r="19" spans="1:24" hidden="1">
      <c r="A19" s="28"/>
      <c r="C19" s="228" t="s">
        <v>122</v>
      </c>
      <c r="D19" s="229" t="s">
        <v>633</v>
      </c>
      <c r="E19" s="230" t="s">
        <v>123</v>
      </c>
      <c r="F19" s="230" t="s">
        <v>124</v>
      </c>
      <c r="G19" s="304"/>
      <c r="I19" s="15" t="s">
        <v>308</v>
      </c>
      <c r="J19" s="303"/>
      <c r="L19" t="e">
        <f>L8*N8</f>
        <v>#N/A</v>
      </c>
      <c r="M19" t="e">
        <f>M8*O8</f>
        <v>#N/A</v>
      </c>
      <c r="N19">
        <f>R31-S31</f>
        <v>75.5</v>
      </c>
      <c r="X19" s="98"/>
    </row>
    <row r="20" spans="1:24" hidden="1">
      <c r="A20" s="28"/>
      <c r="C20" s="120" t="s">
        <v>634</v>
      </c>
      <c r="D20" s="92">
        <v>35</v>
      </c>
      <c r="E20" s="5" t="s">
        <v>164</v>
      </c>
      <c r="F20" s="5" t="s">
        <v>164</v>
      </c>
      <c r="G20" s="247"/>
      <c r="I20" s="4">
        <v>8</v>
      </c>
      <c r="X20" s="98"/>
    </row>
    <row r="21" spans="1:24" hidden="1">
      <c r="A21" s="28"/>
      <c r="E21" s="5" t="s">
        <v>169</v>
      </c>
      <c r="F21" s="5" t="s">
        <v>170</v>
      </c>
      <c r="G21" s="247"/>
      <c r="X21" s="98"/>
    </row>
    <row r="22" spans="1:24" hidden="1">
      <c r="A22" s="28"/>
      <c r="X22" s="98"/>
    </row>
    <row r="23" spans="1:24" hidden="1">
      <c r="A23" s="28"/>
      <c r="X23" s="98"/>
    </row>
    <row r="24" spans="1:24" ht="15" hidden="1" customHeight="1">
      <c r="A24" s="28"/>
      <c r="C24" t="s">
        <v>635</v>
      </c>
      <c r="D24" s="229" t="s">
        <v>636</v>
      </c>
      <c r="E24" s="229" t="s">
        <v>629</v>
      </c>
      <c r="X24" s="98"/>
    </row>
    <row r="25" spans="1:24" hidden="1">
      <c r="A25" s="28"/>
      <c r="D25" s="5" t="s">
        <v>637</v>
      </c>
      <c r="E25" s="5">
        <v>1.8599999999999999E-4</v>
      </c>
      <c r="X25" s="98"/>
    </row>
    <row r="26" spans="1:24" hidden="1">
      <c r="A26" s="28"/>
      <c r="D26" s="5" t="s">
        <v>638</v>
      </c>
      <c r="E26" s="5">
        <v>1.189E-4</v>
      </c>
      <c r="X26" s="98"/>
    </row>
    <row r="27" spans="1:24" ht="15" hidden="1" customHeight="1">
      <c r="A27" s="28"/>
      <c r="D27" s="5" t="s">
        <v>639</v>
      </c>
      <c r="E27" s="5">
        <v>2.3699999999999999E-4</v>
      </c>
      <c r="X27" s="98"/>
    </row>
    <row r="28" spans="1:24" hidden="1">
      <c r="A28" s="28"/>
      <c r="D28" s="5" t="s">
        <v>640</v>
      </c>
      <c r="E28" s="5">
        <v>2.5900000000000001E-4</v>
      </c>
      <c r="X28" s="98"/>
    </row>
    <row r="29" spans="1:24" hidden="1">
      <c r="A29" s="28"/>
      <c r="X29" s="98"/>
    </row>
    <row r="30" spans="1:24" ht="15" hidden="1" customHeight="1">
      <c r="A30" s="28"/>
      <c r="F30" s="438" t="s">
        <v>641</v>
      </c>
      <c r="G30" s="266" t="s">
        <v>642</v>
      </c>
      <c r="H30" s="268" t="s">
        <v>636</v>
      </c>
      <c r="I30" s="270" t="s">
        <v>643</v>
      </c>
      <c r="J30" s="271"/>
      <c r="K30" s="270" t="s">
        <v>644</v>
      </c>
      <c r="L30" s="272"/>
      <c r="M30" s="440" t="s">
        <v>629</v>
      </c>
      <c r="N30" s="97"/>
      <c r="Q30" s="231" t="s">
        <v>645</v>
      </c>
      <c r="R30" s="231" t="s">
        <v>646</v>
      </c>
      <c r="S30" s="231" t="s">
        <v>647</v>
      </c>
      <c r="X30" s="98"/>
    </row>
    <row r="31" spans="1:24" hidden="1">
      <c r="A31" s="28"/>
      <c r="C31" s="229" t="s">
        <v>648</v>
      </c>
      <c r="D31" s="229" t="s">
        <v>649</v>
      </c>
      <c r="F31" s="439"/>
      <c r="G31" s="267"/>
      <c r="H31" s="269"/>
      <c r="I31" s="229" t="s">
        <v>625</v>
      </c>
      <c r="J31" s="229" t="s">
        <v>626</v>
      </c>
      <c r="K31" s="229" t="s">
        <v>627</v>
      </c>
      <c r="L31" s="270" t="s">
        <v>628</v>
      </c>
      <c r="M31" s="441"/>
      <c r="N31" s="97"/>
      <c r="Q31" s="232">
        <v>0.9</v>
      </c>
      <c r="R31" s="232">
        <v>127.5</v>
      </c>
      <c r="S31" s="232">
        <v>52</v>
      </c>
      <c r="X31" s="98"/>
    </row>
    <row r="32" spans="1:24" hidden="1">
      <c r="A32" s="28"/>
      <c r="C32" t="s">
        <v>650</v>
      </c>
      <c r="D32" t="s">
        <v>651</v>
      </c>
      <c r="F32" t="s">
        <v>164</v>
      </c>
      <c r="G32" s="4" t="s">
        <v>652</v>
      </c>
      <c r="H32" s="5" t="s">
        <v>638</v>
      </c>
      <c r="I32" s="4">
        <v>2.25</v>
      </c>
      <c r="J32" s="4">
        <v>1.1200000000000001</v>
      </c>
      <c r="K32" s="4">
        <v>32.4</v>
      </c>
      <c r="L32" s="4">
        <v>43.8</v>
      </c>
      <c r="M32" s="233">
        <f t="shared" ref="M32:M39" si="7">VLOOKUP(H32,$D$25:$E$28,2,FALSE)</f>
        <v>1.189E-4</v>
      </c>
      <c r="N32" s="97"/>
      <c r="X32" s="98"/>
    </row>
    <row r="33" spans="1:24" hidden="1">
      <c r="A33" s="28"/>
      <c r="C33" t="s">
        <v>653</v>
      </c>
      <c r="D33" t="s">
        <v>650</v>
      </c>
      <c r="F33" t="s">
        <v>164</v>
      </c>
      <c r="G33" s="4" t="s">
        <v>654</v>
      </c>
      <c r="H33" s="5" t="s">
        <v>639</v>
      </c>
      <c r="I33" s="4">
        <v>2.15</v>
      </c>
      <c r="J33" s="4">
        <v>1.1200000000000001</v>
      </c>
      <c r="K33" s="4">
        <v>4.8</v>
      </c>
      <c r="L33" s="4">
        <v>6</v>
      </c>
      <c r="M33" s="4">
        <f t="shared" si="7"/>
        <v>2.3699999999999999E-4</v>
      </c>
      <c r="N33" s="97"/>
      <c r="X33" s="98"/>
    </row>
    <row r="34" spans="1:24" hidden="1">
      <c r="A34" s="28"/>
      <c r="C34" t="s">
        <v>651</v>
      </c>
      <c r="D34" t="s">
        <v>653</v>
      </c>
      <c r="F34" t="s">
        <v>169</v>
      </c>
      <c r="G34" s="4" t="s">
        <v>655</v>
      </c>
      <c r="H34" s="5" t="s">
        <v>637</v>
      </c>
      <c r="I34" s="4">
        <v>1.6</v>
      </c>
      <c r="J34" s="4">
        <v>1.1200000000000001</v>
      </c>
      <c r="K34" s="4">
        <v>32.4</v>
      </c>
      <c r="L34" s="4">
        <v>43.8</v>
      </c>
      <c r="M34" s="4">
        <f t="shared" si="7"/>
        <v>1.8599999999999999E-4</v>
      </c>
      <c r="N34" s="97"/>
      <c r="X34" s="98"/>
    </row>
    <row r="35" spans="1:24" hidden="1">
      <c r="A35" s="28"/>
      <c r="C35" t="s">
        <v>656</v>
      </c>
      <c r="D35" t="s">
        <v>651</v>
      </c>
      <c r="F35" t="s">
        <v>169</v>
      </c>
      <c r="G35" s="4" t="s">
        <v>652</v>
      </c>
      <c r="H35" s="5" t="s">
        <v>638</v>
      </c>
      <c r="I35" s="4">
        <v>1.6</v>
      </c>
      <c r="J35" s="4">
        <v>1.1200000000000001</v>
      </c>
      <c r="K35" s="4">
        <v>32.4</v>
      </c>
      <c r="L35" s="4">
        <v>43.8</v>
      </c>
      <c r="M35" s="4">
        <f t="shared" si="7"/>
        <v>1.189E-4</v>
      </c>
      <c r="N35" s="97"/>
      <c r="X35" s="98"/>
    </row>
    <row r="36" spans="1:24" hidden="1">
      <c r="A36" s="28"/>
      <c r="D36" t="s">
        <v>650</v>
      </c>
      <c r="F36" t="s">
        <v>169</v>
      </c>
      <c r="G36" s="4" t="s">
        <v>657</v>
      </c>
      <c r="H36" s="5" t="s">
        <v>640</v>
      </c>
      <c r="I36" s="4">
        <v>1.6</v>
      </c>
      <c r="J36" s="4">
        <v>1.1200000000000001</v>
      </c>
      <c r="K36" s="4">
        <v>26.4</v>
      </c>
      <c r="L36" s="4">
        <v>36</v>
      </c>
      <c r="M36" s="4">
        <f t="shared" si="7"/>
        <v>2.5900000000000001E-4</v>
      </c>
      <c r="N36" s="97"/>
      <c r="X36" s="98"/>
    </row>
    <row r="37" spans="1:24" hidden="1">
      <c r="A37" s="28"/>
      <c r="D37" t="s">
        <v>653</v>
      </c>
      <c r="F37" t="s">
        <v>164</v>
      </c>
      <c r="G37" s="4" t="s">
        <v>655</v>
      </c>
      <c r="H37" s="5" t="s">
        <v>637</v>
      </c>
      <c r="I37" s="4">
        <v>2.25</v>
      </c>
      <c r="J37" s="4">
        <v>1.1200000000000001</v>
      </c>
      <c r="K37" s="4">
        <v>32.4</v>
      </c>
      <c r="L37" s="4">
        <v>43.8</v>
      </c>
      <c r="M37" s="4">
        <f t="shared" si="7"/>
        <v>1.8599999999999999E-4</v>
      </c>
      <c r="N37" s="97"/>
      <c r="X37" s="98"/>
    </row>
    <row r="38" spans="1:24" hidden="1">
      <c r="A38" s="28"/>
      <c r="D38" t="s">
        <v>656</v>
      </c>
      <c r="F38" t="s">
        <v>164</v>
      </c>
      <c r="G38" s="4" t="s">
        <v>652</v>
      </c>
      <c r="H38" s="5" t="s">
        <v>638</v>
      </c>
      <c r="I38" s="4">
        <v>2.25</v>
      </c>
      <c r="J38" s="4">
        <v>1.1200000000000001</v>
      </c>
      <c r="K38" s="4">
        <v>32.4</v>
      </c>
      <c r="L38" s="4">
        <v>43.8</v>
      </c>
      <c r="M38" s="233">
        <f t="shared" si="7"/>
        <v>1.189E-4</v>
      </c>
      <c r="N38" s="97"/>
      <c r="X38" s="98"/>
    </row>
    <row r="39" spans="1:24" hidden="1">
      <c r="A39" s="28"/>
      <c r="D39" t="s">
        <v>656</v>
      </c>
      <c r="F39" t="s">
        <v>169</v>
      </c>
      <c r="G39" s="4" t="s">
        <v>652</v>
      </c>
      <c r="H39" s="5" t="s">
        <v>638</v>
      </c>
      <c r="I39" s="4">
        <v>1.6</v>
      </c>
      <c r="J39" s="4">
        <v>1.1200000000000001</v>
      </c>
      <c r="K39" s="4">
        <v>32.4</v>
      </c>
      <c r="L39" s="4">
        <v>43.8</v>
      </c>
      <c r="M39" s="4">
        <f t="shared" si="7"/>
        <v>1.189E-4</v>
      </c>
      <c r="N39" s="97"/>
      <c r="X39" s="98"/>
    </row>
    <row r="40" spans="1:24" hidden="1">
      <c r="A40" s="28"/>
      <c r="X40" s="98"/>
    </row>
    <row r="41" spans="1:24" hidden="1">
      <c r="A41" s="28"/>
      <c r="X41" s="98"/>
    </row>
    <row r="42" spans="1:24" hidden="1">
      <c r="A42" s="28"/>
      <c r="X42" s="98"/>
    </row>
    <row r="43" spans="1:24" hidden="1">
      <c r="A43" s="28"/>
      <c r="X43" s="98"/>
    </row>
    <row r="44" spans="1:24" hidden="1">
      <c r="A44" s="28"/>
      <c r="X44" s="98"/>
    </row>
    <row r="45" spans="1:24" hidden="1">
      <c r="A45" s="28"/>
      <c r="X45" s="98"/>
    </row>
    <row r="46" spans="1:24" hidden="1">
      <c r="A46" s="28"/>
      <c r="X46" s="98"/>
    </row>
    <row r="47" spans="1:24" hidden="1">
      <c r="A47" s="28"/>
      <c r="X47" s="98"/>
    </row>
    <row r="48" spans="1:24" hidden="1">
      <c r="A48" s="28"/>
      <c r="X48" s="98"/>
    </row>
    <row r="49" spans="1:24" hidden="1">
      <c r="A49" s="28"/>
      <c r="X49" s="98"/>
    </row>
    <row r="50" spans="1:24" hidden="1">
      <c r="A50" s="28"/>
      <c r="X50" s="98"/>
    </row>
    <row r="51" spans="1:24" hidden="1">
      <c r="A51" s="28"/>
      <c r="X51" s="98"/>
    </row>
    <row r="52" spans="1:24" hidden="1">
      <c r="A52" s="28"/>
      <c r="X52" s="98"/>
    </row>
    <row r="53" spans="1:24" hidden="1">
      <c r="A53" s="28"/>
      <c r="X53" s="98"/>
    </row>
    <row r="54" spans="1:24" hidden="1">
      <c r="A54" s="28"/>
      <c r="X54" s="98"/>
    </row>
    <row r="55" spans="1:24" hidden="1">
      <c r="A55" s="28"/>
      <c r="X55" s="98"/>
    </row>
    <row r="56" spans="1:24" hidden="1">
      <c r="A56" s="28"/>
      <c r="X56" s="98"/>
    </row>
    <row r="57" spans="1:24" hidden="1">
      <c r="A57" s="28"/>
      <c r="X57" s="98"/>
    </row>
    <row r="58" spans="1:24" hidden="1">
      <c r="A58" s="28"/>
      <c r="X58" s="98"/>
    </row>
    <row r="59" spans="1:24" hidden="1">
      <c r="A59" s="28"/>
      <c r="X59" s="98"/>
    </row>
    <row r="60" spans="1:24" hidden="1">
      <c r="A60" s="28"/>
      <c r="X60" s="98"/>
    </row>
    <row r="61" spans="1:24" hidden="1">
      <c r="A61" s="28"/>
      <c r="X61" s="98"/>
    </row>
    <row r="62" spans="1:24" hidden="1">
      <c r="A62" s="28"/>
      <c r="X62" s="98"/>
    </row>
    <row r="63" spans="1:24" hidden="1">
      <c r="A63" s="28"/>
      <c r="X63" s="98"/>
    </row>
    <row r="64" spans="1:24" hidden="1">
      <c r="A64" s="28"/>
      <c r="X64" s="98"/>
    </row>
    <row r="65" spans="1:24" hidden="1">
      <c r="A65" s="28"/>
      <c r="X65" s="98"/>
    </row>
    <row r="66" spans="1:24" hidden="1">
      <c r="A66" s="28"/>
      <c r="X66" s="98"/>
    </row>
    <row r="67" spans="1:24" hidden="1">
      <c r="A67" s="28"/>
      <c r="X67" s="98"/>
    </row>
    <row r="68" spans="1:24" hidden="1">
      <c r="A68" s="28"/>
      <c r="X68" s="98"/>
    </row>
    <row r="69" spans="1:24" hidden="1">
      <c r="A69" s="28"/>
      <c r="X69" s="98"/>
    </row>
    <row r="70" spans="1:24" hidden="1">
      <c r="A70" s="28"/>
      <c r="X70" s="98"/>
    </row>
    <row r="71" spans="1:24" hidden="1">
      <c r="A71" s="28"/>
      <c r="X71" s="98"/>
    </row>
    <row r="72" spans="1:24" hidden="1">
      <c r="A72" s="28"/>
      <c r="X72" s="98"/>
    </row>
    <row r="73" spans="1:24">
      <c r="A73" s="98"/>
      <c r="B73" s="98"/>
      <c r="C73" s="98"/>
      <c r="D73" s="98"/>
      <c r="E73" s="98"/>
      <c r="F73" s="98"/>
      <c r="G73" s="98"/>
      <c r="H73" s="98"/>
      <c r="I73" s="98"/>
      <c r="J73" s="98"/>
      <c r="K73" s="98"/>
      <c r="L73" s="98"/>
      <c r="M73" s="98"/>
      <c r="N73" s="98"/>
      <c r="O73" s="98"/>
      <c r="P73" s="98"/>
      <c r="Q73" s="98"/>
      <c r="R73" s="98"/>
      <c r="S73" s="98"/>
      <c r="T73" s="98"/>
      <c r="U73" s="98"/>
      <c r="V73" s="98"/>
      <c r="W73" s="98"/>
      <c r="X73" s="98"/>
    </row>
    <row r="74" spans="1:24">
      <c r="A74" s="98"/>
      <c r="B74" s="98"/>
      <c r="C74" s="98"/>
      <c r="D74" s="98"/>
      <c r="E74" s="98"/>
      <c r="F74" s="98"/>
      <c r="G74" s="98"/>
      <c r="H74" s="98"/>
      <c r="I74" s="98"/>
      <c r="J74" s="98"/>
      <c r="K74" s="98"/>
      <c r="L74" s="98"/>
      <c r="M74" s="98"/>
      <c r="N74" s="98"/>
      <c r="O74" s="98"/>
      <c r="P74" s="98"/>
      <c r="Q74" s="98"/>
      <c r="R74" s="98"/>
      <c r="S74" s="98"/>
      <c r="T74" s="98"/>
      <c r="U74" s="98"/>
      <c r="V74" s="98"/>
      <c r="W74" s="98"/>
      <c r="X74" s="98"/>
    </row>
    <row r="75" spans="1:24">
      <c r="A75" s="97"/>
      <c r="B75" s="97"/>
      <c r="C75" s="97"/>
      <c r="D75" s="97"/>
      <c r="E75" s="97"/>
      <c r="F75" s="97"/>
      <c r="G75" s="97"/>
      <c r="H75" s="97"/>
      <c r="I75" s="97"/>
      <c r="J75" s="97"/>
      <c r="K75" s="97"/>
      <c r="L75" s="97"/>
      <c r="M75" s="97"/>
      <c r="N75" s="97"/>
      <c r="O75" s="97"/>
      <c r="P75" s="97"/>
      <c r="Q75" s="97"/>
      <c r="R75" s="97"/>
      <c r="S75" s="97"/>
      <c r="T75" s="97"/>
      <c r="U75" s="97"/>
      <c r="V75" s="97"/>
      <c r="W75" s="97"/>
      <c r="X75" s="97"/>
    </row>
    <row r="76" spans="1:24">
      <c r="A76" s="97"/>
      <c r="B76" s="97"/>
      <c r="C76" s="97"/>
      <c r="D76" s="97"/>
      <c r="E76" s="97"/>
      <c r="F76" s="97"/>
      <c r="G76" s="97"/>
      <c r="H76" s="97"/>
      <c r="I76" s="97"/>
      <c r="J76" s="97"/>
      <c r="K76" s="97"/>
      <c r="L76" s="97"/>
      <c r="M76" s="97"/>
      <c r="N76" s="97"/>
      <c r="O76" s="97"/>
      <c r="P76" s="97"/>
      <c r="Q76" s="97"/>
      <c r="R76" s="97"/>
      <c r="S76" s="97"/>
      <c r="T76" s="97"/>
      <c r="U76" s="97"/>
      <c r="V76" s="97"/>
      <c r="W76" s="97"/>
      <c r="X76" s="97"/>
    </row>
    <row r="77" spans="1:24">
      <c r="A77" s="97"/>
      <c r="B77" s="97"/>
      <c r="C77" s="97"/>
      <c r="D77" s="97"/>
      <c r="E77" s="97"/>
      <c r="F77" s="97"/>
      <c r="G77" s="97"/>
      <c r="H77" s="97"/>
      <c r="I77" s="97"/>
      <c r="J77" s="97"/>
      <c r="K77" s="97"/>
      <c r="L77" s="97"/>
      <c r="M77" s="97"/>
      <c r="N77" s="97"/>
      <c r="O77" s="97"/>
      <c r="P77" s="97"/>
      <c r="Q77" s="97"/>
      <c r="R77" s="97"/>
      <c r="S77" s="97"/>
      <c r="T77" s="97"/>
      <c r="U77" s="97"/>
      <c r="V77" s="97"/>
      <c r="W77" s="97"/>
      <c r="X77" s="97"/>
    </row>
    <row r="78" spans="1:24">
      <c r="A78" s="97"/>
      <c r="B78" s="97"/>
      <c r="C78" s="97"/>
      <c r="D78" s="97"/>
      <c r="E78" s="97"/>
      <c r="F78" s="97"/>
      <c r="G78" s="97"/>
      <c r="H78" s="97"/>
      <c r="I78" s="97"/>
      <c r="J78" s="97"/>
      <c r="K78" s="97"/>
      <c r="L78" s="97"/>
      <c r="M78" s="97"/>
      <c r="N78" s="97"/>
      <c r="O78" s="97"/>
      <c r="P78" s="97"/>
      <c r="Q78" s="97"/>
      <c r="R78" s="97"/>
      <c r="S78" s="97"/>
      <c r="T78" s="97"/>
      <c r="U78" s="97"/>
      <c r="V78" s="97"/>
      <c r="W78" s="97"/>
      <c r="X78" s="97"/>
    </row>
    <row r="79" spans="1:24">
      <c r="A79" s="97"/>
      <c r="B79" s="97"/>
      <c r="C79" s="97"/>
      <c r="D79" s="97"/>
      <c r="E79" s="97"/>
      <c r="F79" s="97"/>
      <c r="G79" s="97"/>
      <c r="H79" s="97"/>
      <c r="I79" s="97"/>
      <c r="J79" s="97"/>
      <c r="K79" s="97"/>
      <c r="L79" s="97"/>
      <c r="M79" s="97"/>
      <c r="N79" s="97"/>
      <c r="O79" s="97"/>
      <c r="P79" s="97"/>
      <c r="Q79" s="97"/>
      <c r="R79" s="97"/>
      <c r="S79" s="97"/>
      <c r="T79" s="97"/>
      <c r="U79" s="97"/>
      <c r="V79" s="97"/>
      <c r="W79" s="97"/>
      <c r="X79" s="97"/>
    </row>
    <row r="80" spans="1:24">
      <c r="A80" s="97"/>
      <c r="B80" s="97"/>
      <c r="C80" s="97"/>
      <c r="D80" s="97"/>
      <c r="E80" s="97"/>
      <c r="F80" s="97"/>
      <c r="G80" s="97"/>
      <c r="H80" s="97"/>
      <c r="I80" s="97"/>
      <c r="J80" s="97"/>
      <c r="K80" s="97"/>
      <c r="L80" s="97"/>
      <c r="M80" s="97"/>
      <c r="N80" s="97"/>
      <c r="O80" s="97"/>
      <c r="P80" s="97"/>
      <c r="Q80" s="97"/>
      <c r="R80" s="97"/>
      <c r="S80" s="97"/>
      <c r="T80" s="97"/>
      <c r="U80" s="97"/>
      <c r="V80" s="97"/>
      <c r="W80" s="97"/>
      <c r="X80" s="97"/>
    </row>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sheetData>
  <sheetProtection algorithmName="SHA-512" hashValue="LkG22Z5AOfEfS02PVoDm0eNbw/Y3eTlZ80pjX24gkB/NLZaYjJ0bvyxwKC83HLhM9gi01dZoWlEx6GLizn+pug==" saltValue="KeHRn64uCAcBw0Tni8h58w==" spinCount="100000" sheet="1" selectLockedCells="1"/>
  <mergeCells count="5">
    <mergeCell ref="B2:T2"/>
    <mergeCell ref="B3:C3"/>
    <mergeCell ref="D3:H4"/>
    <mergeCell ref="F30:F31"/>
    <mergeCell ref="M30:M31"/>
  </mergeCells>
  <dataValidations disablePrompts="1" count="2">
    <dataValidation type="list" allowBlank="1" showInputMessage="1" showErrorMessage="1" sqref="H8:H15 WVR983048:WVR983055 WLV983048:WLV983055 WBZ983048:WBZ983055 VSD983048:VSD983055 VIH983048:VIH983055 UYL983048:UYL983055 UOP983048:UOP983055 UET983048:UET983055 TUX983048:TUX983055 TLB983048:TLB983055 TBF983048:TBF983055 SRJ983048:SRJ983055 SHN983048:SHN983055 RXR983048:RXR983055 RNV983048:RNV983055 RDZ983048:RDZ983055 QUD983048:QUD983055 QKH983048:QKH983055 QAL983048:QAL983055 PQP983048:PQP983055 PGT983048:PGT983055 OWX983048:OWX983055 ONB983048:ONB983055 ODF983048:ODF983055 NTJ983048:NTJ983055 NJN983048:NJN983055 MZR983048:MZR983055 MPV983048:MPV983055 MFZ983048:MFZ983055 LWD983048:LWD983055 LMH983048:LMH983055 LCL983048:LCL983055 KSP983048:KSP983055 KIT983048:KIT983055 JYX983048:JYX983055 JPB983048:JPB983055 JFF983048:JFF983055 IVJ983048:IVJ983055 ILN983048:ILN983055 IBR983048:IBR983055 HRV983048:HRV983055 HHZ983048:HHZ983055 GYD983048:GYD983055 GOH983048:GOH983055 GEL983048:GEL983055 FUP983048:FUP983055 FKT983048:FKT983055 FAX983048:FAX983055 ERB983048:ERB983055 EHF983048:EHF983055 DXJ983048:DXJ983055 DNN983048:DNN983055 DDR983048:DDR983055 CTV983048:CTV983055 CJZ983048:CJZ983055 CAD983048:CAD983055 BQH983048:BQH983055 BGL983048:BGL983055 AWP983048:AWP983055 AMT983048:AMT983055 ACX983048:ACX983055 TB983048:TB983055 JF983048:JF983055 H983048:H983055 WVR917512:WVR917519 WLV917512:WLV917519 WBZ917512:WBZ917519 VSD917512:VSD917519 VIH917512:VIH917519 UYL917512:UYL917519 UOP917512:UOP917519 UET917512:UET917519 TUX917512:TUX917519 TLB917512:TLB917519 TBF917512:TBF917519 SRJ917512:SRJ917519 SHN917512:SHN917519 RXR917512:RXR917519 RNV917512:RNV917519 RDZ917512:RDZ917519 QUD917512:QUD917519 QKH917512:QKH917519 QAL917512:QAL917519 PQP917512:PQP917519 PGT917512:PGT917519 OWX917512:OWX917519 ONB917512:ONB917519 ODF917512:ODF917519 NTJ917512:NTJ917519 NJN917512:NJN917519 MZR917512:MZR917519 MPV917512:MPV917519 MFZ917512:MFZ917519 LWD917512:LWD917519 LMH917512:LMH917519 LCL917512:LCL917519 KSP917512:KSP917519 KIT917512:KIT917519 JYX917512:JYX917519 JPB917512:JPB917519 JFF917512:JFF917519 IVJ917512:IVJ917519 ILN917512:ILN917519 IBR917512:IBR917519 HRV917512:HRV917519 HHZ917512:HHZ917519 GYD917512:GYD917519 GOH917512:GOH917519 GEL917512:GEL917519 FUP917512:FUP917519 FKT917512:FKT917519 FAX917512:FAX917519 ERB917512:ERB917519 EHF917512:EHF917519 DXJ917512:DXJ917519 DNN917512:DNN917519 DDR917512:DDR917519 CTV917512:CTV917519 CJZ917512:CJZ917519 CAD917512:CAD917519 BQH917512:BQH917519 BGL917512:BGL917519 AWP917512:AWP917519 AMT917512:AMT917519 ACX917512:ACX917519 TB917512:TB917519 JF917512:JF917519 H917512:H917519 WVR851976:WVR851983 WLV851976:WLV851983 WBZ851976:WBZ851983 VSD851976:VSD851983 VIH851976:VIH851983 UYL851976:UYL851983 UOP851976:UOP851983 UET851976:UET851983 TUX851976:TUX851983 TLB851976:TLB851983 TBF851976:TBF851983 SRJ851976:SRJ851983 SHN851976:SHN851983 RXR851976:RXR851983 RNV851976:RNV851983 RDZ851976:RDZ851983 QUD851976:QUD851983 QKH851976:QKH851983 QAL851976:QAL851983 PQP851976:PQP851983 PGT851976:PGT851983 OWX851976:OWX851983 ONB851976:ONB851983 ODF851976:ODF851983 NTJ851976:NTJ851983 NJN851976:NJN851983 MZR851976:MZR851983 MPV851976:MPV851983 MFZ851976:MFZ851983 LWD851976:LWD851983 LMH851976:LMH851983 LCL851976:LCL851983 KSP851976:KSP851983 KIT851976:KIT851983 JYX851976:JYX851983 JPB851976:JPB851983 JFF851976:JFF851983 IVJ851976:IVJ851983 ILN851976:ILN851983 IBR851976:IBR851983 HRV851976:HRV851983 HHZ851976:HHZ851983 GYD851976:GYD851983 GOH851976:GOH851983 GEL851976:GEL851983 FUP851976:FUP851983 FKT851976:FKT851983 FAX851976:FAX851983 ERB851976:ERB851983 EHF851976:EHF851983 DXJ851976:DXJ851983 DNN851976:DNN851983 DDR851976:DDR851983 CTV851976:CTV851983 CJZ851976:CJZ851983 CAD851976:CAD851983 BQH851976:BQH851983 BGL851976:BGL851983 AWP851976:AWP851983 AMT851976:AMT851983 ACX851976:ACX851983 TB851976:TB851983 JF851976:JF851983 H851976:H851983 WVR786440:WVR786447 WLV786440:WLV786447 WBZ786440:WBZ786447 VSD786440:VSD786447 VIH786440:VIH786447 UYL786440:UYL786447 UOP786440:UOP786447 UET786440:UET786447 TUX786440:TUX786447 TLB786440:TLB786447 TBF786440:TBF786447 SRJ786440:SRJ786447 SHN786440:SHN786447 RXR786440:RXR786447 RNV786440:RNV786447 RDZ786440:RDZ786447 QUD786440:QUD786447 QKH786440:QKH786447 QAL786440:QAL786447 PQP786440:PQP786447 PGT786440:PGT786447 OWX786440:OWX786447 ONB786440:ONB786447 ODF786440:ODF786447 NTJ786440:NTJ786447 NJN786440:NJN786447 MZR786440:MZR786447 MPV786440:MPV786447 MFZ786440:MFZ786447 LWD786440:LWD786447 LMH786440:LMH786447 LCL786440:LCL786447 KSP786440:KSP786447 KIT786440:KIT786447 JYX786440:JYX786447 JPB786440:JPB786447 JFF786440:JFF786447 IVJ786440:IVJ786447 ILN786440:ILN786447 IBR786440:IBR786447 HRV786440:HRV786447 HHZ786440:HHZ786447 GYD786440:GYD786447 GOH786440:GOH786447 GEL786440:GEL786447 FUP786440:FUP786447 FKT786440:FKT786447 FAX786440:FAX786447 ERB786440:ERB786447 EHF786440:EHF786447 DXJ786440:DXJ786447 DNN786440:DNN786447 DDR786440:DDR786447 CTV786440:CTV786447 CJZ786440:CJZ786447 CAD786440:CAD786447 BQH786440:BQH786447 BGL786440:BGL786447 AWP786440:AWP786447 AMT786440:AMT786447 ACX786440:ACX786447 TB786440:TB786447 JF786440:JF786447 H786440:H786447 WVR720904:WVR720911 WLV720904:WLV720911 WBZ720904:WBZ720911 VSD720904:VSD720911 VIH720904:VIH720911 UYL720904:UYL720911 UOP720904:UOP720911 UET720904:UET720911 TUX720904:TUX720911 TLB720904:TLB720911 TBF720904:TBF720911 SRJ720904:SRJ720911 SHN720904:SHN720911 RXR720904:RXR720911 RNV720904:RNV720911 RDZ720904:RDZ720911 QUD720904:QUD720911 QKH720904:QKH720911 QAL720904:QAL720911 PQP720904:PQP720911 PGT720904:PGT720911 OWX720904:OWX720911 ONB720904:ONB720911 ODF720904:ODF720911 NTJ720904:NTJ720911 NJN720904:NJN720911 MZR720904:MZR720911 MPV720904:MPV720911 MFZ720904:MFZ720911 LWD720904:LWD720911 LMH720904:LMH720911 LCL720904:LCL720911 KSP720904:KSP720911 KIT720904:KIT720911 JYX720904:JYX720911 JPB720904:JPB720911 JFF720904:JFF720911 IVJ720904:IVJ720911 ILN720904:ILN720911 IBR720904:IBR720911 HRV720904:HRV720911 HHZ720904:HHZ720911 GYD720904:GYD720911 GOH720904:GOH720911 GEL720904:GEL720911 FUP720904:FUP720911 FKT720904:FKT720911 FAX720904:FAX720911 ERB720904:ERB720911 EHF720904:EHF720911 DXJ720904:DXJ720911 DNN720904:DNN720911 DDR720904:DDR720911 CTV720904:CTV720911 CJZ720904:CJZ720911 CAD720904:CAD720911 BQH720904:BQH720911 BGL720904:BGL720911 AWP720904:AWP720911 AMT720904:AMT720911 ACX720904:ACX720911 TB720904:TB720911 JF720904:JF720911 H720904:H720911 WVR655368:WVR655375 WLV655368:WLV655375 WBZ655368:WBZ655375 VSD655368:VSD655375 VIH655368:VIH655375 UYL655368:UYL655375 UOP655368:UOP655375 UET655368:UET655375 TUX655368:TUX655375 TLB655368:TLB655375 TBF655368:TBF655375 SRJ655368:SRJ655375 SHN655368:SHN655375 RXR655368:RXR655375 RNV655368:RNV655375 RDZ655368:RDZ655375 QUD655368:QUD655375 QKH655368:QKH655375 QAL655368:QAL655375 PQP655368:PQP655375 PGT655368:PGT655375 OWX655368:OWX655375 ONB655368:ONB655375 ODF655368:ODF655375 NTJ655368:NTJ655375 NJN655368:NJN655375 MZR655368:MZR655375 MPV655368:MPV655375 MFZ655368:MFZ655375 LWD655368:LWD655375 LMH655368:LMH655375 LCL655368:LCL655375 KSP655368:KSP655375 KIT655368:KIT655375 JYX655368:JYX655375 JPB655368:JPB655375 JFF655368:JFF655375 IVJ655368:IVJ655375 ILN655368:ILN655375 IBR655368:IBR655375 HRV655368:HRV655375 HHZ655368:HHZ655375 GYD655368:GYD655375 GOH655368:GOH655375 GEL655368:GEL655375 FUP655368:FUP655375 FKT655368:FKT655375 FAX655368:FAX655375 ERB655368:ERB655375 EHF655368:EHF655375 DXJ655368:DXJ655375 DNN655368:DNN655375 DDR655368:DDR655375 CTV655368:CTV655375 CJZ655368:CJZ655375 CAD655368:CAD655375 BQH655368:BQH655375 BGL655368:BGL655375 AWP655368:AWP655375 AMT655368:AMT655375 ACX655368:ACX655375 TB655368:TB655375 JF655368:JF655375 H655368:H655375 WVR589832:WVR589839 WLV589832:WLV589839 WBZ589832:WBZ589839 VSD589832:VSD589839 VIH589832:VIH589839 UYL589832:UYL589839 UOP589832:UOP589839 UET589832:UET589839 TUX589832:TUX589839 TLB589832:TLB589839 TBF589832:TBF589839 SRJ589832:SRJ589839 SHN589832:SHN589839 RXR589832:RXR589839 RNV589832:RNV589839 RDZ589832:RDZ589839 QUD589832:QUD589839 QKH589832:QKH589839 QAL589832:QAL589839 PQP589832:PQP589839 PGT589832:PGT589839 OWX589832:OWX589839 ONB589832:ONB589839 ODF589832:ODF589839 NTJ589832:NTJ589839 NJN589832:NJN589839 MZR589832:MZR589839 MPV589832:MPV589839 MFZ589832:MFZ589839 LWD589832:LWD589839 LMH589832:LMH589839 LCL589832:LCL589839 KSP589832:KSP589839 KIT589832:KIT589839 JYX589832:JYX589839 JPB589832:JPB589839 JFF589832:JFF589839 IVJ589832:IVJ589839 ILN589832:ILN589839 IBR589832:IBR589839 HRV589832:HRV589839 HHZ589832:HHZ589839 GYD589832:GYD589839 GOH589832:GOH589839 GEL589832:GEL589839 FUP589832:FUP589839 FKT589832:FKT589839 FAX589832:FAX589839 ERB589832:ERB589839 EHF589832:EHF589839 DXJ589832:DXJ589839 DNN589832:DNN589839 DDR589832:DDR589839 CTV589832:CTV589839 CJZ589832:CJZ589839 CAD589832:CAD589839 BQH589832:BQH589839 BGL589832:BGL589839 AWP589832:AWP589839 AMT589832:AMT589839 ACX589832:ACX589839 TB589832:TB589839 JF589832:JF589839 H589832:H589839 WVR524296:WVR524303 WLV524296:WLV524303 WBZ524296:WBZ524303 VSD524296:VSD524303 VIH524296:VIH524303 UYL524296:UYL524303 UOP524296:UOP524303 UET524296:UET524303 TUX524296:TUX524303 TLB524296:TLB524303 TBF524296:TBF524303 SRJ524296:SRJ524303 SHN524296:SHN524303 RXR524296:RXR524303 RNV524296:RNV524303 RDZ524296:RDZ524303 QUD524296:QUD524303 QKH524296:QKH524303 QAL524296:QAL524303 PQP524296:PQP524303 PGT524296:PGT524303 OWX524296:OWX524303 ONB524296:ONB524303 ODF524296:ODF524303 NTJ524296:NTJ524303 NJN524296:NJN524303 MZR524296:MZR524303 MPV524296:MPV524303 MFZ524296:MFZ524303 LWD524296:LWD524303 LMH524296:LMH524303 LCL524296:LCL524303 KSP524296:KSP524303 KIT524296:KIT524303 JYX524296:JYX524303 JPB524296:JPB524303 JFF524296:JFF524303 IVJ524296:IVJ524303 ILN524296:ILN524303 IBR524296:IBR524303 HRV524296:HRV524303 HHZ524296:HHZ524303 GYD524296:GYD524303 GOH524296:GOH524303 GEL524296:GEL524303 FUP524296:FUP524303 FKT524296:FKT524303 FAX524296:FAX524303 ERB524296:ERB524303 EHF524296:EHF524303 DXJ524296:DXJ524303 DNN524296:DNN524303 DDR524296:DDR524303 CTV524296:CTV524303 CJZ524296:CJZ524303 CAD524296:CAD524303 BQH524296:BQH524303 BGL524296:BGL524303 AWP524296:AWP524303 AMT524296:AMT524303 ACX524296:ACX524303 TB524296:TB524303 JF524296:JF524303 H524296:H524303 WVR458760:WVR458767 WLV458760:WLV458767 WBZ458760:WBZ458767 VSD458760:VSD458767 VIH458760:VIH458767 UYL458760:UYL458767 UOP458760:UOP458767 UET458760:UET458767 TUX458760:TUX458767 TLB458760:TLB458767 TBF458760:TBF458767 SRJ458760:SRJ458767 SHN458760:SHN458767 RXR458760:RXR458767 RNV458760:RNV458767 RDZ458760:RDZ458767 QUD458760:QUD458767 QKH458760:QKH458767 QAL458760:QAL458767 PQP458760:PQP458767 PGT458760:PGT458767 OWX458760:OWX458767 ONB458760:ONB458767 ODF458760:ODF458767 NTJ458760:NTJ458767 NJN458760:NJN458767 MZR458760:MZR458767 MPV458760:MPV458767 MFZ458760:MFZ458767 LWD458760:LWD458767 LMH458760:LMH458767 LCL458760:LCL458767 KSP458760:KSP458767 KIT458760:KIT458767 JYX458760:JYX458767 JPB458760:JPB458767 JFF458760:JFF458767 IVJ458760:IVJ458767 ILN458760:ILN458767 IBR458760:IBR458767 HRV458760:HRV458767 HHZ458760:HHZ458767 GYD458760:GYD458767 GOH458760:GOH458767 GEL458760:GEL458767 FUP458760:FUP458767 FKT458760:FKT458767 FAX458760:FAX458767 ERB458760:ERB458767 EHF458760:EHF458767 DXJ458760:DXJ458767 DNN458760:DNN458767 DDR458760:DDR458767 CTV458760:CTV458767 CJZ458760:CJZ458767 CAD458760:CAD458767 BQH458760:BQH458767 BGL458760:BGL458767 AWP458760:AWP458767 AMT458760:AMT458767 ACX458760:ACX458767 TB458760:TB458767 JF458760:JF458767 H458760:H458767 WVR393224:WVR393231 WLV393224:WLV393231 WBZ393224:WBZ393231 VSD393224:VSD393231 VIH393224:VIH393231 UYL393224:UYL393231 UOP393224:UOP393231 UET393224:UET393231 TUX393224:TUX393231 TLB393224:TLB393231 TBF393224:TBF393231 SRJ393224:SRJ393231 SHN393224:SHN393231 RXR393224:RXR393231 RNV393224:RNV393231 RDZ393224:RDZ393231 QUD393224:QUD393231 QKH393224:QKH393231 QAL393224:QAL393231 PQP393224:PQP393231 PGT393224:PGT393231 OWX393224:OWX393231 ONB393224:ONB393231 ODF393224:ODF393231 NTJ393224:NTJ393231 NJN393224:NJN393231 MZR393224:MZR393231 MPV393224:MPV393231 MFZ393224:MFZ393231 LWD393224:LWD393231 LMH393224:LMH393231 LCL393224:LCL393231 KSP393224:KSP393231 KIT393224:KIT393231 JYX393224:JYX393231 JPB393224:JPB393231 JFF393224:JFF393231 IVJ393224:IVJ393231 ILN393224:ILN393231 IBR393224:IBR393231 HRV393224:HRV393231 HHZ393224:HHZ393231 GYD393224:GYD393231 GOH393224:GOH393231 GEL393224:GEL393231 FUP393224:FUP393231 FKT393224:FKT393231 FAX393224:FAX393231 ERB393224:ERB393231 EHF393224:EHF393231 DXJ393224:DXJ393231 DNN393224:DNN393231 DDR393224:DDR393231 CTV393224:CTV393231 CJZ393224:CJZ393231 CAD393224:CAD393231 BQH393224:BQH393231 BGL393224:BGL393231 AWP393224:AWP393231 AMT393224:AMT393231 ACX393224:ACX393231 TB393224:TB393231 JF393224:JF393231 H393224:H393231 WVR327688:WVR327695 WLV327688:WLV327695 WBZ327688:WBZ327695 VSD327688:VSD327695 VIH327688:VIH327695 UYL327688:UYL327695 UOP327688:UOP327695 UET327688:UET327695 TUX327688:TUX327695 TLB327688:TLB327695 TBF327688:TBF327695 SRJ327688:SRJ327695 SHN327688:SHN327695 RXR327688:RXR327695 RNV327688:RNV327695 RDZ327688:RDZ327695 QUD327688:QUD327695 QKH327688:QKH327695 QAL327688:QAL327695 PQP327688:PQP327695 PGT327688:PGT327695 OWX327688:OWX327695 ONB327688:ONB327695 ODF327688:ODF327695 NTJ327688:NTJ327695 NJN327688:NJN327695 MZR327688:MZR327695 MPV327688:MPV327695 MFZ327688:MFZ327695 LWD327688:LWD327695 LMH327688:LMH327695 LCL327688:LCL327695 KSP327688:KSP327695 KIT327688:KIT327695 JYX327688:JYX327695 JPB327688:JPB327695 JFF327688:JFF327695 IVJ327688:IVJ327695 ILN327688:ILN327695 IBR327688:IBR327695 HRV327688:HRV327695 HHZ327688:HHZ327695 GYD327688:GYD327695 GOH327688:GOH327695 GEL327688:GEL327695 FUP327688:FUP327695 FKT327688:FKT327695 FAX327688:FAX327695 ERB327688:ERB327695 EHF327688:EHF327695 DXJ327688:DXJ327695 DNN327688:DNN327695 DDR327688:DDR327695 CTV327688:CTV327695 CJZ327688:CJZ327695 CAD327688:CAD327695 BQH327688:BQH327695 BGL327688:BGL327695 AWP327688:AWP327695 AMT327688:AMT327695 ACX327688:ACX327695 TB327688:TB327695 JF327688:JF327695 H327688:H327695 WVR262152:WVR262159 WLV262152:WLV262159 WBZ262152:WBZ262159 VSD262152:VSD262159 VIH262152:VIH262159 UYL262152:UYL262159 UOP262152:UOP262159 UET262152:UET262159 TUX262152:TUX262159 TLB262152:TLB262159 TBF262152:TBF262159 SRJ262152:SRJ262159 SHN262152:SHN262159 RXR262152:RXR262159 RNV262152:RNV262159 RDZ262152:RDZ262159 QUD262152:QUD262159 QKH262152:QKH262159 QAL262152:QAL262159 PQP262152:PQP262159 PGT262152:PGT262159 OWX262152:OWX262159 ONB262152:ONB262159 ODF262152:ODF262159 NTJ262152:NTJ262159 NJN262152:NJN262159 MZR262152:MZR262159 MPV262152:MPV262159 MFZ262152:MFZ262159 LWD262152:LWD262159 LMH262152:LMH262159 LCL262152:LCL262159 KSP262152:KSP262159 KIT262152:KIT262159 JYX262152:JYX262159 JPB262152:JPB262159 JFF262152:JFF262159 IVJ262152:IVJ262159 ILN262152:ILN262159 IBR262152:IBR262159 HRV262152:HRV262159 HHZ262152:HHZ262159 GYD262152:GYD262159 GOH262152:GOH262159 GEL262152:GEL262159 FUP262152:FUP262159 FKT262152:FKT262159 FAX262152:FAX262159 ERB262152:ERB262159 EHF262152:EHF262159 DXJ262152:DXJ262159 DNN262152:DNN262159 DDR262152:DDR262159 CTV262152:CTV262159 CJZ262152:CJZ262159 CAD262152:CAD262159 BQH262152:BQH262159 BGL262152:BGL262159 AWP262152:AWP262159 AMT262152:AMT262159 ACX262152:ACX262159 TB262152:TB262159 JF262152:JF262159 H262152:H262159 WVR196616:WVR196623 WLV196616:WLV196623 WBZ196616:WBZ196623 VSD196616:VSD196623 VIH196616:VIH196623 UYL196616:UYL196623 UOP196616:UOP196623 UET196616:UET196623 TUX196616:TUX196623 TLB196616:TLB196623 TBF196616:TBF196623 SRJ196616:SRJ196623 SHN196616:SHN196623 RXR196616:RXR196623 RNV196616:RNV196623 RDZ196616:RDZ196623 QUD196616:QUD196623 QKH196616:QKH196623 QAL196616:QAL196623 PQP196616:PQP196623 PGT196616:PGT196623 OWX196616:OWX196623 ONB196616:ONB196623 ODF196616:ODF196623 NTJ196616:NTJ196623 NJN196616:NJN196623 MZR196616:MZR196623 MPV196616:MPV196623 MFZ196616:MFZ196623 LWD196616:LWD196623 LMH196616:LMH196623 LCL196616:LCL196623 KSP196616:KSP196623 KIT196616:KIT196623 JYX196616:JYX196623 JPB196616:JPB196623 JFF196616:JFF196623 IVJ196616:IVJ196623 ILN196616:ILN196623 IBR196616:IBR196623 HRV196616:HRV196623 HHZ196616:HHZ196623 GYD196616:GYD196623 GOH196616:GOH196623 GEL196616:GEL196623 FUP196616:FUP196623 FKT196616:FKT196623 FAX196616:FAX196623 ERB196616:ERB196623 EHF196616:EHF196623 DXJ196616:DXJ196623 DNN196616:DNN196623 DDR196616:DDR196623 CTV196616:CTV196623 CJZ196616:CJZ196623 CAD196616:CAD196623 BQH196616:BQH196623 BGL196616:BGL196623 AWP196616:AWP196623 AMT196616:AMT196623 ACX196616:ACX196623 TB196616:TB196623 JF196616:JF196623 H196616:H196623 WVR131080:WVR131087 WLV131080:WLV131087 WBZ131080:WBZ131087 VSD131080:VSD131087 VIH131080:VIH131087 UYL131080:UYL131087 UOP131080:UOP131087 UET131080:UET131087 TUX131080:TUX131087 TLB131080:TLB131087 TBF131080:TBF131087 SRJ131080:SRJ131087 SHN131080:SHN131087 RXR131080:RXR131087 RNV131080:RNV131087 RDZ131080:RDZ131087 QUD131080:QUD131087 QKH131080:QKH131087 QAL131080:QAL131087 PQP131080:PQP131087 PGT131080:PGT131087 OWX131080:OWX131087 ONB131080:ONB131087 ODF131080:ODF131087 NTJ131080:NTJ131087 NJN131080:NJN131087 MZR131080:MZR131087 MPV131080:MPV131087 MFZ131080:MFZ131087 LWD131080:LWD131087 LMH131080:LMH131087 LCL131080:LCL131087 KSP131080:KSP131087 KIT131080:KIT131087 JYX131080:JYX131087 JPB131080:JPB131087 JFF131080:JFF131087 IVJ131080:IVJ131087 ILN131080:ILN131087 IBR131080:IBR131087 HRV131080:HRV131087 HHZ131080:HHZ131087 GYD131080:GYD131087 GOH131080:GOH131087 GEL131080:GEL131087 FUP131080:FUP131087 FKT131080:FKT131087 FAX131080:FAX131087 ERB131080:ERB131087 EHF131080:EHF131087 DXJ131080:DXJ131087 DNN131080:DNN131087 DDR131080:DDR131087 CTV131080:CTV131087 CJZ131080:CJZ131087 CAD131080:CAD131087 BQH131080:BQH131087 BGL131080:BGL131087 AWP131080:AWP131087 AMT131080:AMT131087 ACX131080:ACX131087 TB131080:TB131087 JF131080:JF131087 H131080:H131087 WVR65544:WVR65551 WLV65544:WLV65551 WBZ65544:WBZ65551 VSD65544:VSD65551 VIH65544:VIH65551 UYL65544:UYL65551 UOP65544:UOP65551 UET65544:UET65551 TUX65544:TUX65551 TLB65544:TLB65551 TBF65544:TBF65551 SRJ65544:SRJ65551 SHN65544:SHN65551 RXR65544:RXR65551 RNV65544:RNV65551 RDZ65544:RDZ65551 QUD65544:QUD65551 QKH65544:QKH65551 QAL65544:QAL65551 PQP65544:PQP65551 PGT65544:PGT65551 OWX65544:OWX65551 ONB65544:ONB65551 ODF65544:ODF65551 NTJ65544:NTJ65551 NJN65544:NJN65551 MZR65544:MZR65551 MPV65544:MPV65551 MFZ65544:MFZ65551 LWD65544:LWD65551 LMH65544:LMH65551 LCL65544:LCL65551 KSP65544:KSP65551 KIT65544:KIT65551 JYX65544:JYX65551 JPB65544:JPB65551 JFF65544:JFF65551 IVJ65544:IVJ65551 ILN65544:ILN65551 IBR65544:IBR65551 HRV65544:HRV65551 HHZ65544:HHZ65551 GYD65544:GYD65551 GOH65544:GOH65551 GEL65544:GEL65551 FUP65544:FUP65551 FKT65544:FKT65551 FAX65544:FAX65551 ERB65544:ERB65551 EHF65544:EHF65551 DXJ65544:DXJ65551 DNN65544:DNN65551 DDR65544:DDR65551 CTV65544:CTV65551 CJZ65544:CJZ65551 CAD65544:CAD65551 BQH65544:BQH65551 BGL65544:BGL65551 AWP65544:AWP65551 AMT65544:AMT65551 ACX65544:ACX65551 TB65544:TB65551 JF65544:JF65551 H65544:H65551 WVR8:WVR15 WLV8:WLV15 WBZ8:WBZ15 VSD8:VSD15 VIH8:VIH15 UYL8:UYL15 UOP8:UOP15 UET8:UET15 TUX8:TUX15 TLB8:TLB15 TBF8:TBF15 SRJ8:SRJ15 SHN8:SHN15 RXR8:RXR15 RNV8:RNV15 RDZ8:RDZ15 QUD8:QUD15 QKH8:QKH15 QAL8:QAL15 PQP8:PQP15 PGT8:PGT15 OWX8:OWX15 ONB8:ONB15 ODF8:ODF15 NTJ8:NTJ15 NJN8:NJN15 MZR8:MZR15 MPV8:MPV15 MFZ8:MFZ15 LWD8:LWD15 LMH8:LMH15 LCL8:LCL15 KSP8:KSP15 KIT8:KIT15 JYX8:JYX15 JPB8:JPB15 JFF8:JFF15 IVJ8:IVJ15 ILN8:ILN15 IBR8:IBR15 HRV8:HRV15 HHZ8:HHZ15 GYD8:GYD15 GOH8:GOH15 GEL8:GEL15 FUP8:FUP15 FKT8:FKT15 FAX8:FAX15 ERB8:ERB15 EHF8:EHF15 DXJ8:DXJ15 DNN8:DNN15 DDR8:DDR15 CTV8:CTV15 CJZ8:CJZ15 CAD8:CAD15 BQH8:BQH15 BGL8:BGL15 AWP8:AWP15 AMT8:AMT15 ACX8:ACX15 TB8:TB15 JF8:JF15" xr:uid="{8962A31A-0E9F-4422-9C94-BA969E5AD2EA}">
      <formula1>$C$32:$C$35</formula1>
    </dataValidation>
    <dataValidation type="list" allowBlank="1" showInputMessage="1" showErrorMessage="1" sqref="D8:D15 WVO983048:WVO983055 WLS983048:WLS983055 WBW983048:WBW983055 VSA983048:VSA983055 VIE983048:VIE983055 UYI983048:UYI983055 UOM983048:UOM983055 UEQ983048:UEQ983055 TUU983048:TUU983055 TKY983048:TKY983055 TBC983048:TBC983055 SRG983048:SRG983055 SHK983048:SHK983055 RXO983048:RXO983055 RNS983048:RNS983055 RDW983048:RDW983055 QUA983048:QUA983055 QKE983048:QKE983055 QAI983048:QAI983055 PQM983048:PQM983055 PGQ983048:PGQ983055 OWU983048:OWU983055 OMY983048:OMY983055 ODC983048:ODC983055 NTG983048:NTG983055 NJK983048:NJK983055 MZO983048:MZO983055 MPS983048:MPS983055 MFW983048:MFW983055 LWA983048:LWA983055 LME983048:LME983055 LCI983048:LCI983055 KSM983048:KSM983055 KIQ983048:KIQ983055 JYU983048:JYU983055 JOY983048:JOY983055 JFC983048:JFC983055 IVG983048:IVG983055 ILK983048:ILK983055 IBO983048:IBO983055 HRS983048:HRS983055 HHW983048:HHW983055 GYA983048:GYA983055 GOE983048:GOE983055 GEI983048:GEI983055 FUM983048:FUM983055 FKQ983048:FKQ983055 FAU983048:FAU983055 EQY983048:EQY983055 EHC983048:EHC983055 DXG983048:DXG983055 DNK983048:DNK983055 DDO983048:DDO983055 CTS983048:CTS983055 CJW983048:CJW983055 CAA983048:CAA983055 BQE983048:BQE983055 BGI983048:BGI983055 AWM983048:AWM983055 AMQ983048:AMQ983055 ACU983048:ACU983055 SY983048:SY983055 JC983048:JC983055 D983048:D983055 WVO917512:WVO917519 WLS917512:WLS917519 WBW917512:WBW917519 VSA917512:VSA917519 VIE917512:VIE917519 UYI917512:UYI917519 UOM917512:UOM917519 UEQ917512:UEQ917519 TUU917512:TUU917519 TKY917512:TKY917519 TBC917512:TBC917519 SRG917512:SRG917519 SHK917512:SHK917519 RXO917512:RXO917519 RNS917512:RNS917519 RDW917512:RDW917519 QUA917512:QUA917519 QKE917512:QKE917519 QAI917512:QAI917519 PQM917512:PQM917519 PGQ917512:PGQ917519 OWU917512:OWU917519 OMY917512:OMY917519 ODC917512:ODC917519 NTG917512:NTG917519 NJK917512:NJK917519 MZO917512:MZO917519 MPS917512:MPS917519 MFW917512:MFW917519 LWA917512:LWA917519 LME917512:LME917519 LCI917512:LCI917519 KSM917512:KSM917519 KIQ917512:KIQ917519 JYU917512:JYU917519 JOY917512:JOY917519 JFC917512:JFC917519 IVG917512:IVG917519 ILK917512:ILK917519 IBO917512:IBO917519 HRS917512:HRS917519 HHW917512:HHW917519 GYA917512:GYA917519 GOE917512:GOE917519 GEI917512:GEI917519 FUM917512:FUM917519 FKQ917512:FKQ917519 FAU917512:FAU917519 EQY917512:EQY917519 EHC917512:EHC917519 DXG917512:DXG917519 DNK917512:DNK917519 DDO917512:DDO917519 CTS917512:CTS917519 CJW917512:CJW917519 CAA917512:CAA917519 BQE917512:BQE917519 BGI917512:BGI917519 AWM917512:AWM917519 AMQ917512:AMQ917519 ACU917512:ACU917519 SY917512:SY917519 JC917512:JC917519 D917512:D917519 WVO851976:WVO851983 WLS851976:WLS851983 WBW851976:WBW851983 VSA851976:VSA851983 VIE851976:VIE851983 UYI851976:UYI851983 UOM851976:UOM851983 UEQ851976:UEQ851983 TUU851976:TUU851983 TKY851976:TKY851983 TBC851976:TBC851983 SRG851976:SRG851983 SHK851976:SHK851983 RXO851976:RXO851983 RNS851976:RNS851983 RDW851976:RDW851983 QUA851976:QUA851983 QKE851976:QKE851983 QAI851976:QAI851983 PQM851976:PQM851983 PGQ851976:PGQ851983 OWU851976:OWU851983 OMY851976:OMY851983 ODC851976:ODC851983 NTG851976:NTG851983 NJK851976:NJK851983 MZO851976:MZO851983 MPS851976:MPS851983 MFW851976:MFW851983 LWA851976:LWA851983 LME851976:LME851983 LCI851976:LCI851983 KSM851976:KSM851983 KIQ851976:KIQ851983 JYU851976:JYU851983 JOY851976:JOY851983 JFC851976:JFC851983 IVG851976:IVG851983 ILK851976:ILK851983 IBO851976:IBO851983 HRS851976:HRS851983 HHW851976:HHW851983 GYA851976:GYA851983 GOE851976:GOE851983 GEI851976:GEI851983 FUM851976:FUM851983 FKQ851976:FKQ851983 FAU851976:FAU851983 EQY851976:EQY851983 EHC851976:EHC851983 DXG851976:DXG851983 DNK851976:DNK851983 DDO851976:DDO851983 CTS851976:CTS851983 CJW851976:CJW851983 CAA851976:CAA851983 BQE851976:BQE851983 BGI851976:BGI851983 AWM851976:AWM851983 AMQ851976:AMQ851983 ACU851976:ACU851983 SY851976:SY851983 JC851976:JC851983 D851976:D851983 WVO786440:WVO786447 WLS786440:WLS786447 WBW786440:WBW786447 VSA786440:VSA786447 VIE786440:VIE786447 UYI786440:UYI786447 UOM786440:UOM786447 UEQ786440:UEQ786447 TUU786440:TUU786447 TKY786440:TKY786447 TBC786440:TBC786447 SRG786440:SRG786447 SHK786440:SHK786447 RXO786440:RXO786447 RNS786440:RNS786447 RDW786440:RDW786447 QUA786440:QUA786447 QKE786440:QKE786447 QAI786440:QAI786447 PQM786440:PQM786447 PGQ786440:PGQ786447 OWU786440:OWU786447 OMY786440:OMY786447 ODC786440:ODC786447 NTG786440:NTG786447 NJK786440:NJK786447 MZO786440:MZO786447 MPS786440:MPS786447 MFW786440:MFW786447 LWA786440:LWA786447 LME786440:LME786447 LCI786440:LCI786447 KSM786440:KSM786447 KIQ786440:KIQ786447 JYU786440:JYU786447 JOY786440:JOY786447 JFC786440:JFC786447 IVG786440:IVG786447 ILK786440:ILK786447 IBO786440:IBO786447 HRS786440:HRS786447 HHW786440:HHW786447 GYA786440:GYA786447 GOE786440:GOE786447 GEI786440:GEI786447 FUM786440:FUM786447 FKQ786440:FKQ786447 FAU786440:FAU786447 EQY786440:EQY786447 EHC786440:EHC786447 DXG786440:DXG786447 DNK786440:DNK786447 DDO786440:DDO786447 CTS786440:CTS786447 CJW786440:CJW786447 CAA786440:CAA786447 BQE786440:BQE786447 BGI786440:BGI786447 AWM786440:AWM786447 AMQ786440:AMQ786447 ACU786440:ACU786447 SY786440:SY786447 JC786440:JC786447 D786440:D786447 WVO720904:WVO720911 WLS720904:WLS720911 WBW720904:WBW720911 VSA720904:VSA720911 VIE720904:VIE720911 UYI720904:UYI720911 UOM720904:UOM720911 UEQ720904:UEQ720911 TUU720904:TUU720911 TKY720904:TKY720911 TBC720904:TBC720911 SRG720904:SRG720911 SHK720904:SHK720911 RXO720904:RXO720911 RNS720904:RNS720911 RDW720904:RDW720911 QUA720904:QUA720911 QKE720904:QKE720911 QAI720904:QAI720911 PQM720904:PQM720911 PGQ720904:PGQ720911 OWU720904:OWU720911 OMY720904:OMY720911 ODC720904:ODC720911 NTG720904:NTG720911 NJK720904:NJK720911 MZO720904:MZO720911 MPS720904:MPS720911 MFW720904:MFW720911 LWA720904:LWA720911 LME720904:LME720911 LCI720904:LCI720911 KSM720904:KSM720911 KIQ720904:KIQ720911 JYU720904:JYU720911 JOY720904:JOY720911 JFC720904:JFC720911 IVG720904:IVG720911 ILK720904:ILK720911 IBO720904:IBO720911 HRS720904:HRS720911 HHW720904:HHW720911 GYA720904:GYA720911 GOE720904:GOE720911 GEI720904:GEI720911 FUM720904:FUM720911 FKQ720904:FKQ720911 FAU720904:FAU720911 EQY720904:EQY720911 EHC720904:EHC720911 DXG720904:DXG720911 DNK720904:DNK720911 DDO720904:DDO720911 CTS720904:CTS720911 CJW720904:CJW720911 CAA720904:CAA720911 BQE720904:BQE720911 BGI720904:BGI720911 AWM720904:AWM720911 AMQ720904:AMQ720911 ACU720904:ACU720911 SY720904:SY720911 JC720904:JC720911 D720904:D720911 WVO655368:WVO655375 WLS655368:WLS655375 WBW655368:WBW655375 VSA655368:VSA655375 VIE655368:VIE655375 UYI655368:UYI655375 UOM655368:UOM655375 UEQ655368:UEQ655375 TUU655368:TUU655375 TKY655368:TKY655375 TBC655368:TBC655375 SRG655368:SRG655375 SHK655368:SHK655375 RXO655368:RXO655375 RNS655368:RNS655375 RDW655368:RDW655375 QUA655368:QUA655375 QKE655368:QKE655375 QAI655368:QAI655375 PQM655368:PQM655375 PGQ655368:PGQ655375 OWU655368:OWU655375 OMY655368:OMY655375 ODC655368:ODC655375 NTG655368:NTG655375 NJK655368:NJK655375 MZO655368:MZO655375 MPS655368:MPS655375 MFW655368:MFW655375 LWA655368:LWA655375 LME655368:LME655375 LCI655368:LCI655375 KSM655368:KSM655375 KIQ655368:KIQ655375 JYU655368:JYU655375 JOY655368:JOY655375 JFC655368:JFC655375 IVG655368:IVG655375 ILK655368:ILK655375 IBO655368:IBO655375 HRS655368:HRS655375 HHW655368:HHW655375 GYA655368:GYA655375 GOE655368:GOE655375 GEI655368:GEI655375 FUM655368:FUM655375 FKQ655368:FKQ655375 FAU655368:FAU655375 EQY655368:EQY655375 EHC655368:EHC655375 DXG655368:DXG655375 DNK655368:DNK655375 DDO655368:DDO655375 CTS655368:CTS655375 CJW655368:CJW655375 CAA655368:CAA655375 BQE655368:BQE655375 BGI655368:BGI655375 AWM655368:AWM655375 AMQ655368:AMQ655375 ACU655368:ACU655375 SY655368:SY655375 JC655368:JC655375 D655368:D655375 WVO589832:WVO589839 WLS589832:WLS589839 WBW589832:WBW589839 VSA589832:VSA589839 VIE589832:VIE589839 UYI589832:UYI589839 UOM589832:UOM589839 UEQ589832:UEQ589839 TUU589832:TUU589839 TKY589832:TKY589839 TBC589832:TBC589839 SRG589832:SRG589839 SHK589832:SHK589839 RXO589832:RXO589839 RNS589832:RNS589839 RDW589832:RDW589839 QUA589832:QUA589839 QKE589832:QKE589839 QAI589832:QAI589839 PQM589832:PQM589839 PGQ589832:PGQ589839 OWU589832:OWU589839 OMY589832:OMY589839 ODC589832:ODC589839 NTG589832:NTG589839 NJK589832:NJK589839 MZO589832:MZO589839 MPS589832:MPS589839 MFW589832:MFW589839 LWA589832:LWA589839 LME589832:LME589839 LCI589832:LCI589839 KSM589832:KSM589839 KIQ589832:KIQ589839 JYU589832:JYU589839 JOY589832:JOY589839 JFC589832:JFC589839 IVG589832:IVG589839 ILK589832:ILK589839 IBO589832:IBO589839 HRS589832:HRS589839 HHW589832:HHW589839 GYA589832:GYA589839 GOE589832:GOE589839 GEI589832:GEI589839 FUM589832:FUM589839 FKQ589832:FKQ589839 FAU589832:FAU589839 EQY589832:EQY589839 EHC589832:EHC589839 DXG589832:DXG589839 DNK589832:DNK589839 DDO589832:DDO589839 CTS589832:CTS589839 CJW589832:CJW589839 CAA589832:CAA589839 BQE589832:BQE589839 BGI589832:BGI589839 AWM589832:AWM589839 AMQ589832:AMQ589839 ACU589832:ACU589839 SY589832:SY589839 JC589832:JC589839 D589832:D589839 WVO524296:WVO524303 WLS524296:WLS524303 WBW524296:WBW524303 VSA524296:VSA524303 VIE524296:VIE524303 UYI524296:UYI524303 UOM524296:UOM524303 UEQ524296:UEQ524303 TUU524296:TUU524303 TKY524296:TKY524303 TBC524296:TBC524303 SRG524296:SRG524303 SHK524296:SHK524303 RXO524296:RXO524303 RNS524296:RNS524303 RDW524296:RDW524303 QUA524296:QUA524303 QKE524296:QKE524303 QAI524296:QAI524303 PQM524296:PQM524303 PGQ524296:PGQ524303 OWU524296:OWU524303 OMY524296:OMY524303 ODC524296:ODC524303 NTG524296:NTG524303 NJK524296:NJK524303 MZO524296:MZO524303 MPS524296:MPS524303 MFW524296:MFW524303 LWA524296:LWA524303 LME524296:LME524303 LCI524296:LCI524303 KSM524296:KSM524303 KIQ524296:KIQ524303 JYU524296:JYU524303 JOY524296:JOY524303 JFC524296:JFC524303 IVG524296:IVG524303 ILK524296:ILK524303 IBO524296:IBO524303 HRS524296:HRS524303 HHW524296:HHW524303 GYA524296:GYA524303 GOE524296:GOE524303 GEI524296:GEI524303 FUM524296:FUM524303 FKQ524296:FKQ524303 FAU524296:FAU524303 EQY524296:EQY524303 EHC524296:EHC524303 DXG524296:DXG524303 DNK524296:DNK524303 DDO524296:DDO524303 CTS524296:CTS524303 CJW524296:CJW524303 CAA524296:CAA524303 BQE524296:BQE524303 BGI524296:BGI524303 AWM524296:AWM524303 AMQ524296:AMQ524303 ACU524296:ACU524303 SY524296:SY524303 JC524296:JC524303 D524296:D524303 WVO458760:WVO458767 WLS458760:WLS458767 WBW458760:WBW458767 VSA458760:VSA458767 VIE458760:VIE458767 UYI458760:UYI458767 UOM458760:UOM458767 UEQ458760:UEQ458767 TUU458760:TUU458767 TKY458760:TKY458767 TBC458760:TBC458767 SRG458760:SRG458767 SHK458760:SHK458767 RXO458760:RXO458767 RNS458760:RNS458767 RDW458760:RDW458767 QUA458760:QUA458767 QKE458760:QKE458767 QAI458760:QAI458767 PQM458760:PQM458767 PGQ458760:PGQ458767 OWU458760:OWU458767 OMY458760:OMY458767 ODC458760:ODC458767 NTG458760:NTG458767 NJK458760:NJK458767 MZO458760:MZO458767 MPS458760:MPS458767 MFW458760:MFW458767 LWA458760:LWA458767 LME458760:LME458767 LCI458760:LCI458767 KSM458760:KSM458767 KIQ458760:KIQ458767 JYU458760:JYU458767 JOY458760:JOY458767 JFC458760:JFC458767 IVG458760:IVG458767 ILK458760:ILK458767 IBO458760:IBO458767 HRS458760:HRS458767 HHW458760:HHW458767 GYA458760:GYA458767 GOE458760:GOE458767 GEI458760:GEI458767 FUM458760:FUM458767 FKQ458760:FKQ458767 FAU458760:FAU458767 EQY458760:EQY458767 EHC458760:EHC458767 DXG458760:DXG458767 DNK458760:DNK458767 DDO458760:DDO458767 CTS458760:CTS458767 CJW458760:CJW458767 CAA458760:CAA458767 BQE458760:BQE458767 BGI458760:BGI458767 AWM458760:AWM458767 AMQ458760:AMQ458767 ACU458760:ACU458767 SY458760:SY458767 JC458760:JC458767 D458760:D458767 WVO393224:WVO393231 WLS393224:WLS393231 WBW393224:WBW393231 VSA393224:VSA393231 VIE393224:VIE393231 UYI393224:UYI393231 UOM393224:UOM393231 UEQ393224:UEQ393231 TUU393224:TUU393231 TKY393224:TKY393231 TBC393224:TBC393231 SRG393224:SRG393231 SHK393224:SHK393231 RXO393224:RXO393231 RNS393224:RNS393231 RDW393224:RDW393231 QUA393224:QUA393231 QKE393224:QKE393231 QAI393224:QAI393231 PQM393224:PQM393231 PGQ393224:PGQ393231 OWU393224:OWU393231 OMY393224:OMY393231 ODC393224:ODC393231 NTG393224:NTG393231 NJK393224:NJK393231 MZO393224:MZO393231 MPS393224:MPS393231 MFW393224:MFW393231 LWA393224:LWA393231 LME393224:LME393231 LCI393224:LCI393231 KSM393224:KSM393231 KIQ393224:KIQ393231 JYU393224:JYU393231 JOY393224:JOY393231 JFC393224:JFC393231 IVG393224:IVG393231 ILK393224:ILK393231 IBO393224:IBO393231 HRS393224:HRS393231 HHW393224:HHW393231 GYA393224:GYA393231 GOE393224:GOE393231 GEI393224:GEI393231 FUM393224:FUM393231 FKQ393224:FKQ393231 FAU393224:FAU393231 EQY393224:EQY393231 EHC393224:EHC393231 DXG393224:DXG393231 DNK393224:DNK393231 DDO393224:DDO393231 CTS393224:CTS393231 CJW393224:CJW393231 CAA393224:CAA393231 BQE393224:BQE393231 BGI393224:BGI393231 AWM393224:AWM393231 AMQ393224:AMQ393231 ACU393224:ACU393231 SY393224:SY393231 JC393224:JC393231 D393224:D393231 WVO327688:WVO327695 WLS327688:WLS327695 WBW327688:WBW327695 VSA327688:VSA327695 VIE327688:VIE327695 UYI327688:UYI327695 UOM327688:UOM327695 UEQ327688:UEQ327695 TUU327688:TUU327695 TKY327688:TKY327695 TBC327688:TBC327695 SRG327688:SRG327695 SHK327688:SHK327695 RXO327688:RXO327695 RNS327688:RNS327695 RDW327688:RDW327695 QUA327688:QUA327695 QKE327688:QKE327695 QAI327688:QAI327695 PQM327688:PQM327695 PGQ327688:PGQ327695 OWU327688:OWU327695 OMY327688:OMY327695 ODC327688:ODC327695 NTG327688:NTG327695 NJK327688:NJK327695 MZO327688:MZO327695 MPS327688:MPS327695 MFW327688:MFW327695 LWA327688:LWA327695 LME327688:LME327695 LCI327688:LCI327695 KSM327688:KSM327695 KIQ327688:KIQ327695 JYU327688:JYU327695 JOY327688:JOY327695 JFC327688:JFC327695 IVG327688:IVG327695 ILK327688:ILK327695 IBO327688:IBO327695 HRS327688:HRS327695 HHW327688:HHW327695 GYA327688:GYA327695 GOE327688:GOE327695 GEI327688:GEI327695 FUM327688:FUM327695 FKQ327688:FKQ327695 FAU327688:FAU327695 EQY327688:EQY327695 EHC327688:EHC327695 DXG327688:DXG327695 DNK327688:DNK327695 DDO327688:DDO327695 CTS327688:CTS327695 CJW327688:CJW327695 CAA327688:CAA327695 BQE327688:BQE327695 BGI327688:BGI327695 AWM327688:AWM327695 AMQ327688:AMQ327695 ACU327688:ACU327695 SY327688:SY327695 JC327688:JC327695 D327688:D327695 WVO262152:WVO262159 WLS262152:WLS262159 WBW262152:WBW262159 VSA262152:VSA262159 VIE262152:VIE262159 UYI262152:UYI262159 UOM262152:UOM262159 UEQ262152:UEQ262159 TUU262152:TUU262159 TKY262152:TKY262159 TBC262152:TBC262159 SRG262152:SRG262159 SHK262152:SHK262159 RXO262152:RXO262159 RNS262152:RNS262159 RDW262152:RDW262159 QUA262152:QUA262159 QKE262152:QKE262159 QAI262152:QAI262159 PQM262152:PQM262159 PGQ262152:PGQ262159 OWU262152:OWU262159 OMY262152:OMY262159 ODC262152:ODC262159 NTG262152:NTG262159 NJK262152:NJK262159 MZO262152:MZO262159 MPS262152:MPS262159 MFW262152:MFW262159 LWA262152:LWA262159 LME262152:LME262159 LCI262152:LCI262159 KSM262152:KSM262159 KIQ262152:KIQ262159 JYU262152:JYU262159 JOY262152:JOY262159 JFC262152:JFC262159 IVG262152:IVG262159 ILK262152:ILK262159 IBO262152:IBO262159 HRS262152:HRS262159 HHW262152:HHW262159 GYA262152:GYA262159 GOE262152:GOE262159 GEI262152:GEI262159 FUM262152:FUM262159 FKQ262152:FKQ262159 FAU262152:FAU262159 EQY262152:EQY262159 EHC262152:EHC262159 DXG262152:DXG262159 DNK262152:DNK262159 DDO262152:DDO262159 CTS262152:CTS262159 CJW262152:CJW262159 CAA262152:CAA262159 BQE262152:BQE262159 BGI262152:BGI262159 AWM262152:AWM262159 AMQ262152:AMQ262159 ACU262152:ACU262159 SY262152:SY262159 JC262152:JC262159 D262152:D262159 WVO196616:WVO196623 WLS196616:WLS196623 WBW196616:WBW196623 VSA196616:VSA196623 VIE196616:VIE196623 UYI196616:UYI196623 UOM196616:UOM196623 UEQ196616:UEQ196623 TUU196616:TUU196623 TKY196616:TKY196623 TBC196616:TBC196623 SRG196616:SRG196623 SHK196616:SHK196623 RXO196616:RXO196623 RNS196616:RNS196623 RDW196616:RDW196623 QUA196616:QUA196623 QKE196616:QKE196623 QAI196616:QAI196623 PQM196616:PQM196623 PGQ196616:PGQ196623 OWU196616:OWU196623 OMY196616:OMY196623 ODC196616:ODC196623 NTG196616:NTG196623 NJK196616:NJK196623 MZO196616:MZO196623 MPS196616:MPS196623 MFW196616:MFW196623 LWA196616:LWA196623 LME196616:LME196623 LCI196616:LCI196623 KSM196616:KSM196623 KIQ196616:KIQ196623 JYU196616:JYU196623 JOY196616:JOY196623 JFC196616:JFC196623 IVG196616:IVG196623 ILK196616:ILK196623 IBO196616:IBO196623 HRS196616:HRS196623 HHW196616:HHW196623 GYA196616:GYA196623 GOE196616:GOE196623 GEI196616:GEI196623 FUM196616:FUM196623 FKQ196616:FKQ196623 FAU196616:FAU196623 EQY196616:EQY196623 EHC196616:EHC196623 DXG196616:DXG196623 DNK196616:DNK196623 DDO196616:DDO196623 CTS196616:CTS196623 CJW196616:CJW196623 CAA196616:CAA196623 BQE196616:BQE196623 BGI196616:BGI196623 AWM196616:AWM196623 AMQ196616:AMQ196623 ACU196616:ACU196623 SY196616:SY196623 JC196616:JC196623 D196616:D196623 WVO131080:WVO131087 WLS131080:WLS131087 WBW131080:WBW131087 VSA131080:VSA131087 VIE131080:VIE131087 UYI131080:UYI131087 UOM131080:UOM131087 UEQ131080:UEQ131087 TUU131080:TUU131087 TKY131080:TKY131087 TBC131080:TBC131087 SRG131080:SRG131087 SHK131080:SHK131087 RXO131080:RXO131087 RNS131080:RNS131087 RDW131080:RDW131087 QUA131080:QUA131087 QKE131080:QKE131087 QAI131080:QAI131087 PQM131080:PQM131087 PGQ131080:PGQ131087 OWU131080:OWU131087 OMY131080:OMY131087 ODC131080:ODC131087 NTG131080:NTG131087 NJK131080:NJK131087 MZO131080:MZO131087 MPS131080:MPS131087 MFW131080:MFW131087 LWA131080:LWA131087 LME131080:LME131087 LCI131080:LCI131087 KSM131080:KSM131087 KIQ131080:KIQ131087 JYU131080:JYU131087 JOY131080:JOY131087 JFC131080:JFC131087 IVG131080:IVG131087 ILK131080:ILK131087 IBO131080:IBO131087 HRS131080:HRS131087 HHW131080:HHW131087 GYA131080:GYA131087 GOE131080:GOE131087 GEI131080:GEI131087 FUM131080:FUM131087 FKQ131080:FKQ131087 FAU131080:FAU131087 EQY131080:EQY131087 EHC131080:EHC131087 DXG131080:DXG131087 DNK131080:DNK131087 DDO131080:DDO131087 CTS131080:CTS131087 CJW131080:CJW131087 CAA131080:CAA131087 BQE131080:BQE131087 BGI131080:BGI131087 AWM131080:AWM131087 AMQ131080:AMQ131087 ACU131080:ACU131087 SY131080:SY131087 JC131080:JC131087 D131080:D131087 WVO65544:WVO65551 WLS65544:WLS65551 WBW65544:WBW65551 VSA65544:VSA65551 VIE65544:VIE65551 UYI65544:UYI65551 UOM65544:UOM65551 UEQ65544:UEQ65551 TUU65544:TUU65551 TKY65544:TKY65551 TBC65544:TBC65551 SRG65544:SRG65551 SHK65544:SHK65551 RXO65544:RXO65551 RNS65544:RNS65551 RDW65544:RDW65551 QUA65544:QUA65551 QKE65544:QKE65551 QAI65544:QAI65551 PQM65544:PQM65551 PGQ65544:PGQ65551 OWU65544:OWU65551 OMY65544:OMY65551 ODC65544:ODC65551 NTG65544:NTG65551 NJK65544:NJK65551 MZO65544:MZO65551 MPS65544:MPS65551 MFW65544:MFW65551 LWA65544:LWA65551 LME65544:LME65551 LCI65544:LCI65551 KSM65544:KSM65551 KIQ65544:KIQ65551 JYU65544:JYU65551 JOY65544:JOY65551 JFC65544:JFC65551 IVG65544:IVG65551 ILK65544:ILK65551 IBO65544:IBO65551 HRS65544:HRS65551 HHW65544:HHW65551 GYA65544:GYA65551 GOE65544:GOE65551 GEI65544:GEI65551 FUM65544:FUM65551 FKQ65544:FKQ65551 FAU65544:FAU65551 EQY65544:EQY65551 EHC65544:EHC65551 DXG65544:DXG65551 DNK65544:DNK65551 DDO65544:DDO65551 CTS65544:CTS65551 CJW65544:CJW65551 CAA65544:CAA65551 BQE65544:BQE65551 BGI65544:BGI65551 AWM65544:AWM65551 AMQ65544:AMQ65551 ACU65544:ACU65551 SY65544:SY65551 JC65544:JC65551 D65544:D65551 WVO8:WVO15 WLS8:WLS15 WBW8:WBW15 VSA8:VSA15 VIE8:VIE15 UYI8:UYI15 UOM8:UOM15 UEQ8:UEQ15 TUU8:TUU15 TKY8:TKY15 TBC8:TBC15 SRG8:SRG15 SHK8:SHK15 RXO8:RXO15 RNS8:RNS15 RDW8:RDW15 QUA8:QUA15 QKE8:QKE15 QAI8:QAI15 PQM8:PQM15 PGQ8:PGQ15 OWU8:OWU15 OMY8:OMY15 ODC8:ODC15 NTG8:NTG15 NJK8:NJK15 MZO8:MZO15 MPS8:MPS15 MFW8:MFW15 LWA8:LWA15 LME8:LME15 LCI8:LCI15 KSM8:KSM15 KIQ8:KIQ15 JYU8:JYU15 JOY8:JOY15 JFC8:JFC15 IVG8:IVG15 ILK8:ILK15 IBO8:IBO15 HRS8:HRS15 HHW8:HHW15 GYA8:GYA15 GOE8:GOE15 GEI8:GEI15 FUM8:FUM15 FKQ8:FKQ15 FAU8:FAU15 EQY8:EQY15 EHC8:EHC15 DXG8:DXG15 DNK8:DNK15 DDO8:DDO15 CTS8:CTS15 CJW8:CJW15 CAA8:CAA15 BQE8:BQE15 BGI8:BGI15 AWM8:AWM15 AMQ8:AMQ15 ACU8:ACU15 SY8:SY15 JC8:JC15" xr:uid="{120B3756-2A25-4F80-B497-E91064717D80}">
      <formula1>$E$20:$E$21</formula1>
    </dataValidation>
  </dataValidations>
  <hyperlinks>
    <hyperlink ref="B3" location="'Calculator Index'!A1" display="Return to Index" xr:uid="{D33A24C1-FC6E-4143-88A6-D8A668602F19}"/>
    <hyperlink ref="B3:C3" location="'Project Summary'!A1" display="Return to Index" xr:uid="{1AB0B30E-1B00-458F-84C7-69A23F288973}"/>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F113"/>
  <sheetViews>
    <sheetView topLeftCell="Q1" workbookViewId="0">
      <pane ySplit="1" topLeftCell="A38" activePane="bottomLeft" state="frozen"/>
      <selection pane="bottomLeft" activeCell="AB50" sqref="AB50"/>
    </sheetView>
  </sheetViews>
  <sheetFormatPr defaultRowHeight="15"/>
  <cols>
    <col min="1" max="1" width="10.85546875" style="34" customWidth="1"/>
    <col min="2" max="2" width="43" style="34" bestFit="1" customWidth="1"/>
    <col min="3" max="3" width="17.42578125" style="34" customWidth="1"/>
    <col min="4" max="4" width="19.140625" style="34" customWidth="1"/>
    <col min="5" max="5" width="30.5703125" style="34" bestFit="1" customWidth="1"/>
    <col min="6" max="6" width="20" style="34" bestFit="1" customWidth="1"/>
    <col min="7" max="7" width="16.7109375" style="34" bestFit="1" customWidth="1"/>
    <col min="8" max="8" width="16.5703125" style="34" bestFit="1" customWidth="1"/>
    <col min="9" max="9" width="11.42578125" style="34" customWidth="1"/>
    <col min="10" max="10" width="19" style="34" customWidth="1"/>
    <col min="11" max="11" width="21" style="34" bestFit="1" customWidth="1"/>
    <col min="12" max="12" width="19.42578125" style="34" customWidth="1"/>
    <col min="13" max="13" width="13.42578125" style="34" customWidth="1"/>
    <col min="14" max="14" width="14.42578125" style="34" customWidth="1"/>
    <col min="15" max="15" width="16.42578125" style="34" customWidth="1"/>
    <col min="16" max="16" width="18" style="34" customWidth="1"/>
    <col min="17" max="17" width="20.140625" style="34" bestFit="1" customWidth="1"/>
    <col min="18" max="18" width="18" style="34" bestFit="1" customWidth="1"/>
    <col min="19" max="19" width="13.42578125" style="34" customWidth="1"/>
    <col min="20" max="20" width="12.28515625" style="34" bestFit="1" customWidth="1"/>
    <col min="21" max="21" width="15.140625" style="34" customWidth="1"/>
    <col min="22" max="22" width="46.28515625" style="34" bestFit="1" customWidth="1"/>
    <col min="23" max="23" width="30.7109375" style="34" bestFit="1" customWidth="1"/>
    <col min="24" max="24" width="22.85546875" style="34" bestFit="1" customWidth="1"/>
    <col min="25" max="25" width="23.140625" style="34" bestFit="1" customWidth="1"/>
    <col min="26" max="26" width="19.28515625" style="34" bestFit="1" customWidth="1"/>
    <col min="27" max="27" width="22.42578125" style="34" bestFit="1" customWidth="1"/>
    <col min="28" max="28" width="20.5703125" style="34" bestFit="1" customWidth="1"/>
    <col min="29" max="29" width="21.85546875" style="34" bestFit="1" customWidth="1"/>
    <col min="30" max="30" width="16.28515625" style="34" customWidth="1"/>
    <col min="31" max="31" width="13.42578125" style="34" customWidth="1"/>
    <col min="32" max="16384" width="9.140625" style="34"/>
  </cols>
  <sheetData>
    <row r="1" spans="1:32" ht="33.75" customHeight="1">
      <c r="A1" s="137" t="s">
        <v>658</v>
      </c>
      <c r="B1" s="34" t="s">
        <v>659</v>
      </c>
      <c r="C1" s="34" t="s">
        <v>660</v>
      </c>
      <c r="D1" s="34" t="s">
        <v>661</v>
      </c>
      <c r="E1" s="34" t="s">
        <v>662</v>
      </c>
      <c r="F1" s="34" t="s">
        <v>663</v>
      </c>
      <c r="G1" s="34" t="s">
        <v>78</v>
      </c>
      <c r="H1" s="34" t="s">
        <v>76</v>
      </c>
      <c r="I1" s="137" t="s">
        <v>664</v>
      </c>
      <c r="J1" s="34" t="s">
        <v>665</v>
      </c>
      <c r="K1" s="34" t="s">
        <v>666</v>
      </c>
      <c r="L1" s="34" t="s">
        <v>145</v>
      </c>
      <c r="M1" s="137" t="s">
        <v>667</v>
      </c>
      <c r="N1" s="34" t="s">
        <v>75</v>
      </c>
      <c r="O1" s="137" t="s">
        <v>668</v>
      </c>
      <c r="P1" s="137" t="s">
        <v>669</v>
      </c>
      <c r="Q1" s="34" t="s">
        <v>55</v>
      </c>
      <c r="R1" s="34" t="s">
        <v>398</v>
      </c>
      <c r="S1" s="34" t="s">
        <v>308</v>
      </c>
      <c r="T1" s="34" t="s">
        <v>670</v>
      </c>
      <c r="U1" s="137" t="s">
        <v>671</v>
      </c>
      <c r="V1" s="34" t="s">
        <v>237</v>
      </c>
      <c r="W1" s="34" t="s">
        <v>672</v>
      </c>
      <c r="X1" s="34" t="s">
        <v>673</v>
      </c>
      <c r="Y1" s="34" t="s">
        <v>674</v>
      </c>
      <c r="Z1" s="34" t="s">
        <v>675</v>
      </c>
      <c r="AA1" s="34" t="s">
        <v>676</v>
      </c>
      <c r="AB1" s="34" t="s">
        <v>677</v>
      </c>
      <c r="AC1" s="34" t="s">
        <v>466</v>
      </c>
      <c r="AD1" s="34" t="s">
        <v>480</v>
      </c>
      <c r="AE1" s="34" t="s">
        <v>522</v>
      </c>
      <c r="AF1" s="141"/>
    </row>
    <row r="2" spans="1:32">
      <c r="A2" s="34" t="str">
        <f>IF(B2="", "", 'Project Summary'!R37)</f>
        <v/>
      </c>
      <c r="B2" s="34" t="str">
        <f>IF('Commercial Refrigerators'!S8="", "", "Commercial Reach In Refrigerators")</f>
        <v/>
      </c>
      <c r="C2" s="34" t="str">
        <f>IF(B2="", "", 'Project Summary'!$C$10)</f>
        <v/>
      </c>
      <c r="D2" s="34" t="str">
        <f>IF(B2="", "", "FPFSPR")</f>
        <v/>
      </c>
      <c r="E2" s="34" t="str">
        <f>IF(B2="", "", CONCATENATE('Project Summary'!$C$7, " - ", 'Project Summary'!$C$10))</f>
        <v/>
      </c>
      <c r="F2" s="34" t="str">
        <f>IF(B2="", "", 'Project Summary'!$C$11)</f>
        <v/>
      </c>
      <c r="G2" s="34" t="str">
        <f>IF(B2="","",VLOOKUP(B2,'Project Summary'!$K$180:$L$200,2,FALSE))</f>
        <v/>
      </c>
      <c r="H2" s="34" t="str">
        <f>IF(B2="", "", 'Project Summary'!P38)</f>
        <v/>
      </c>
      <c r="I2" s="36" t="str">
        <f>IF(B2="", "", Instructions!$L$2)</f>
        <v/>
      </c>
      <c r="J2" s="34" t="str">
        <f>IF(B2="", "", 'Commercial Refrigerators'!D8)</f>
        <v/>
      </c>
      <c r="K2" s="34" t="str">
        <f>IF(B2="", "", 'Commercial Refrigerators'!G8)</f>
        <v/>
      </c>
      <c r="L2" s="34" t="str">
        <f>IF(B2="", "", 'Commercial Refrigerators'!H8)</f>
        <v/>
      </c>
      <c r="M2" s="34" t="str">
        <f>IF(B2="", "", 'Commercial Refrigerators'!K8)</f>
        <v/>
      </c>
      <c r="N2" s="36" t="str">
        <f>IF(B2="","",'Commercial Refrigerators'!S8)</f>
        <v/>
      </c>
      <c r="O2" s="37" t="str">
        <f>IF(B2="", "", 'Commercial Refrigerators'!Q8)</f>
        <v/>
      </c>
      <c r="P2" s="37" t="str">
        <f>IF(B2="", "", O2)</f>
        <v/>
      </c>
      <c r="Q2" s="36" t="str">
        <f>IF(B2="", "", 'Commercial Refrigerators'!R8)</f>
        <v/>
      </c>
      <c r="R2" s="143" t="str">
        <f>IF(B2="", "", 'Commercial Refrigerators'!O8)</f>
        <v/>
      </c>
      <c r="S2" s="38" t="str">
        <f>IF(B2="", "", 'Commercial Refrigerators'!$C$31)</f>
        <v/>
      </c>
      <c r="T2" s="34" t="str">
        <f>IF(B2="", "", 'Commercial Refrigerators'!J8)</f>
        <v/>
      </c>
      <c r="V2" s="34" t="str">
        <f>IF(B2="", "", 'Commercial Refrigerators'!I8)</f>
        <v/>
      </c>
    </row>
    <row r="3" spans="1:32">
      <c r="A3" s="34" t="str">
        <f>IF(B3="", "", 'Project Summary'!R38)</f>
        <v/>
      </c>
      <c r="B3" s="34" t="str">
        <f>IF('Commercial Refrigerators'!S9="", "", "Commercial Reach In Refrigerators")</f>
        <v/>
      </c>
      <c r="C3" s="34" t="str">
        <f>IF(B3="", "", 'Project Summary'!$C$10)</f>
        <v/>
      </c>
      <c r="D3" s="34" t="str">
        <f t="shared" ref="D3:D66" si="0">IF(B3="", "", "FPFSPR")</f>
        <v/>
      </c>
      <c r="E3" s="34" t="str">
        <f>IF(B3="", "", CONCATENATE('Project Summary'!$C$7, " - ", 'Project Summary'!$C$10))</f>
        <v/>
      </c>
      <c r="F3" s="34" t="str">
        <f>IF(B3="", "", 'Project Summary'!$C$11)</f>
        <v/>
      </c>
      <c r="G3" s="34" t="str">
        <f>IF(B3="","",VLOOKUP(B3,'Project Summary'!$K$180:$L$193,2,FALSE))</f>
        <v/>
      </c>
      <c r="H3" s="34" t="str">
        <f>IF(B3="", "", 'Project Summary'!P39)</f>
        <v/>
      </c>
      <c r="I3" s="36" t="str">
        <f>IF(B3="", "", Instructions!$L$2)</f>
        <v/>
      </c>
      <c r="J3" s="34" t="str">
        <f>IF(B3="", "", 'Commercial Refrigerators'!D9)</f>
        <v/>
      </c>
      <c r="K3" s="34" t="str">
        <f>IF(B3="", "", 'Commercial Refrigerators'!G9)</f>
        <v/>
      </c>
      <c r="L3" s="34" t="str">
        <f>IF(B3="", "", 'Commercial Refrigerators'!H9)</f>
        <v/>
      </c>
      <c r="M3" s="34" t="str">
        <f>IF(B3="", "", 'Commercial Refrigerators'!K9)</f>
        <v/>
      </c>
      <c r="N3" s="36" t="str">
        <f>IF(B3="","",'Commercial Refrigerators'!S9)</f>
        <v/>
      </c>
      <c r="O3" s="37" t="str">
        <f>IF(B3="", "", 'Commercial Refrigerators'!Q9)</f>
        <v/>
      </c>
      <c r="P3" s="37" t="str">
        <f t="shared" ref="P3:P66" si="1">IF(B3="", "", O3)</f>
        <v/>
      </c>
      <c r="Q3" s="36" t="str">
        <f>IF(B3="", "", 'Commercial Refrigerators'!R9)</f>
        <v/>
      </c>
      <c r="R3" s="143" t="str">
        <f>IF(B3="", "", 'Commercial Refrigerators'!O9)</f>
        <v/>
      </c>
      <c r="S3" s="38" t="str">
        <f>IF(B3="", "", 'Commercial Refrigerators'!$C$31)</f>
        <v/>
      </c>
      <c r="T3" s="34" t="str">
        <f>IF(B3="", "", 'Commercial Refrigerators'!J9)</f>
        <v/>
      </c>
      <c r="V3" s="34" t="str">
        <f>IF(B3="", "", 'Commercial Refrigerators'!I9)</f>
        <v/>
      </c>
    </row>
    <row r="4" spans="1:32">
      <c r="A4" s="34" t="str">
        <f>IF(B4="", "", 'Project Summary'!R39)</f>
        <v/>
      </c>
      <c r="B4" s="34" t="str">
        <f>IF('Commercial Refrigerators'!S10="", "", "Commercial Reach In Refrigerators")</f>
        <v/>
      </c>
      <c r="C4" s="34" t="str">
        <f>IF(B4="", "", 'Project Summary'!$C$10)</f>
        <v/>
      </c>
      <c r="D4" s="34" t="str">
        <f t="shared" si="0"/>
        <v/>
      </c>
      <c r="E4" s="34" t="str">
        <f>IF(B4="", "", CONCATENATE('Project Summary'!$C$7, " - ", 'Project Summary'!$C$10))</f>
        <v/>
      </c>
      <c r="F4" s="34" t="str">
        <f>IF(B4="", "", 'Project Summary'!$C$11)</f>
        <v/>
      </c>
      <c r="G4" s="34" t="str">
        <f>IF(B4="","",VLOOKUP(B4,'Project Summary'!$K$180:$L$193,2,FALSE))</f>
        <v/>
      </c>
      <c r="H4" s="34" t="str">
        <f>IF(B4="", "", 'Project Summary'!P40)</f>
        <v/>
      </c>
      <c r="I4" s="36" t="str">
        <f>IF(B4="", "", Instructions!$L$2)</f>
        <v/>
      </c>
      <c r="J4" s="34" t="str">
        <f>IF(B4="", "", 'Commercial Refrigerators'!D10)</f>
        <v/>
      </c>
      <c r="K4" s="34" t="str">
        <f>IF(B4="", "", 'Commercial Refrigerators'!G10)</f>
        <v/>
      </c>
      <c r="L4" s="34" t="str">
        <f>IF(B4="", "", 'Commercial Refrigerators'!H10)</f>
        <v/>
      </c>
      <c r="M4" s="34" t="str">
        <f>IF(B4="", "", 'Commercial Refrigerators'!K10)</f>
        <v/>
      </c>
      <c r="N4" s="36" t="str">
        <f>IF(B4="","",'Commercial Refrigerators'!S10)</f>
        <v/>
      </c>
      <c r="O4" s="37" t="str">
        <f>IF(B4="", "", 'Commercial Refrigerators'!Q10)</f>
        <v/>
      </c>
      <c r="P4" s="37" t="str">
        <f t="shared" si="1"/>
        <v/>
      </c>
      <c r="Q4" s="36" t="str">
        <f>IF(B4="", "", 'Commercial Refrigerators'!R10)</f>
        <v/>
      </c>
      <c r="R4" s="143" t="str">
        <f>IF(B4="", "", 'Commercial Refrigerators'!O10)</f>
        <v/>
      </c>
      <c r="S4" s="38" t="str">
        <f>IF(B4="", "", 'Commercial Refrigerators'!$C$31)</f>
        <v/>
      </c>
      <c r="T4" s="34" t="str">
        <f>IF(B4="", "", 'Commercial Refrigerators'!J10)</f>
        <v/>
      </c>
      <c r="V4" s="34" t="str">
        <f>IF(B4="", "", 'Commercial Refrigerators'!I10)</f>
        <v/>
      </c>
    </row>
    <row r="5" spans="1:32">
      <c r="A5" s="34" t="str">
        <f>IF(B5="", "", 'Project Summary'!R40)</f>
        <v/>
      </c>
      <c r="B5" s="34" t="str">
        <f>IF('Commercial Refrigerators'!S11="", "", "Commercial Reach In Refrigerators")</f>
        <v/>
      </c>
      <c r="C5" s="34" t="str">
        <f>IF(B5="", "", 'Project Summary'!$C$10)</f>
        <v/>
      </c>
      <c r="D5" s="34" t="str">
        <f t="shared" si="0"/>
        <v/>
      </c>
      <c r="E5" s="34" t="str">
        <f>IF(B5="", "", CONCATENATE('Project Summary'!$C$7, " - ", 'Project Summary'!$C$10))</f>
        <v/>
      </c>
      <c r="F5" s="34" t="str">
        <f>IF(B5="", "", 'Project Summary'!$C$11)</f>
        <v/>
      </c>
      <c r="G5" s="34" t="str">
        <f>IF(B5="","",VLOOKUP(B5,'Project Summary'!$K$180:$L$193,2,FALSE))</f>
        <v/>
      </c>
      <c r="H5" s="34" t="str">
        <f>IF(B5="", "", 'Project Summary'!P41)</f>
        <v/>
      </c>
      <c r="I5" s="36" t="str">
        <f>IF(B5="", "", Instructions!$L$2)</f>
        <v/>
      </c>
      <c r="J5" s="34" t="str">
        <f>IF(B5="", "", 'Commercial Refrigerators'!D11)</f>
        <v/>
      </c>
      <c r="K5" s="34" t="str">
        <f>IF(B5="", "", 'Commercial Refrigerators'!G11)</f>
        <v/>
      </c>
      <c r="L5" s="34" t="str">
        <f>IF(B5="", "", 'Commercial Refrigerators'!H11)</f>
        <v/>
      </c>
      <c r="M5" s="34" t="str">
        <f>IF(B5="", "", 'Commercial Refrigerators'!K11)</f>
        <v/>
      </c>
      <c r="N5" s="36" t="str">
        <f>IF(B5="","",'Commercial Refrigerators'!S11)</f>
        <v/>
      </c>
      <c r="O5" s="37" t="str">
        <f>IF(B5="", "", 'Commercial Refrigerators'!Q11)</f>
        <v/>
      </c>
      <c r="P5" s="37" t="str">
        <f t="shared" si="1"/>
        <v/>
      </c>
      <c r="Q5" s="36" t="str">
        <f>IF(B5="", "", 'Commercial Refrigerators'!R11)</f>
        <v/>
      </c>
      <c r="R5" s="143" t="str">
        <f>IF(B5="", "", 'Commercial Refrigerators'!O11)</f>
        <v/>
      </c>
      <c r="S5" s="38" t="str">
        <f>IF(B5="", "", 'Commercial Refrigerators'!$C$31)</f>
        <v/>
      </c>
      <c r="T5" s="34" t="str">
        <f>IF(B5="", "", 'Commercial Refrigerators'!J11)</f>
        <v/>
      </c>
      <c r="V5" s="34" t="str">
        <f>IF(B5="", "", 'Commercial Refrigerators'!I11)</f>
        <v/>
      </c>
    </row>
    <row r="6" spans="1:32">
      <c r="A6" s="34" t="str">
        <f>IF(B6="", "", 'Project Summary'!R41)</f>
        <v/>
      </c>
      <c r="B6" s="34" t="str">
        <f>IF('Commercial Refrigerators'!S12="", "", "Commercial Reach In Refrigerators")</f>
        <v/>
      </c>
      <c r="C6" s="34" t="str">
        <f>IF(B6="", "", 'Project Summary'!$C$10)</f>
        <v/>
      </c>
      <c r="D6" s="34" t="str">
        <f t="shared" si="0"/>
        <v/>
      </c>
      <c r="E6" s="34" t="str">
        <f>IF(B6="", "", CONCATENATE('Project Summary'!$C$7, " - ", 'Project Summary'!$C$10))</f>
        <v/>
      </c>
      <c r="F6" s="34" t="str">
        <f>IF(B6="", "", 'Project Summary'!$C$11)</f>
        <v/>
      </c>
      <c r="G6" s="34" t="str">
        <f>IF(B6="","",VLOOKUP(B6,'Project Summary'!$K$180:$L$193,2,FALSE))</f>
        <v/>
      </c>
      <c r="H6" s="34" t="str">
        <f>IF(B6="", "", 'Project Summary'!P42)</f>
        <v/>
      </c>
      <c r="I6" s="36" t="str">
        <f>IF(B6="", "", Instructions!$L$2)</f>
        <v/>
      </c>
      <c r="J6" s="34" t="str">
        <f>IF(B6="", "", 'Commercial Refrigerators'!D12)</f>
        <v/>
      </c>
      <c r="K6" s="34" t="str">
        <f>IF(B6="", "", 'Commercial Refrigerators'!G12)</f>
        <v/>
      </c>
      <c r="L6" s="34" t="str">
        <f>IF(B6="", "", 'Commercial Refrigerators'!H12)</f>
        <v/>
      </c>
      <c r="M6" s="34" t="str">
        <f>IF(B6="", "", 'Commercial Refrigerators'!K12)</f>
        <v/>
      </c>
      <c r="N6" s="36" t="str">
        <f>IF(B6="","",'Commercial Refrigerators'!S12)</f>
        <v/>
      </c>
      <c r="O6" s="37" t="str">
        <f>IF(B6="", "", 'Commercial Refrigerators'!Q12)</f>
        <v/>
      </c>
      <c r="P6" s="37" t="str">
        <f t="shared" si="1"/>
        <v/>
      </c>
      <c r="Q6" s="36" t="str">
        <f>IF(B6="", "", 'Commercial Refrigerators'!R12)</f>
        <v/>
      </c>
      <c r="R6" s="143" t="str">
        <f>IF(B6="", "", 'Commercial Refrigerators'!O12)</f>
        <v/>
      </c>
      <c r="S6" s="38" t="str">
        <f>IF(B6="", "", 'Commercial Refrigerators'!$C$31)</f>
        <v/>
      </c>
      <c r="T6" s="34" t="str">
        <f>IF(B6="", "", 'Commercial Refrigerators'!J12)</f>
        <v/>
      </c>
      <c r="V6" s="34" t="str">
        <f>IF(B6="", "", 'Commercial Refrigerators'!I12)</f>
        <v/>
      </c>
    </row>
    <row r="7" spans="1:32">
      <c r="A7" s="34" t="str">
        <f>IF(B7="", "", 'Project Summary'!R42)</f>
        <v/>
      </c>
      <c r="B7" s="34" t="str">
        <f>IF('Commercial Refrigerators'!S13="", "", "Commercial Reach In Refrigerators")</f>
        <v/>
      </c>
      <c r="C7" s="34" t="str">
        <f>IF(B7="", "", 'Project Summary'!$C$10)</f>
        <v/>
      </c>
      <c r="D7" s="34" t="str">
        <f t="shared" si="0"/>
        <v/>
      </c>
      <c r="E7" s="34" t="str">
        <f>IF(B7="", "", CONCATENATE('Project Summary'!$C$7, " - ", 'Project Summary'!$C$10))</f>
        <v/>
      </c>
      <c r="F7" s="34" t="str">
        <f>IF(B7="", "", 'Project Summary'!$C$11)</f>
        <v/>
      </c>
      <c r="G7" s="34" t="str">
        <f>IF(B7="","",VLOOKUP(B7,'Project Summary'!$K$180:$L$200,2,FALSE))</f>
        <v/>
      </c>
      <c r="H7" s="34" t="str">
        <f>IF(B7="", "", 'Project Summary'!P43)</f>
        <v/>
      </c>
      <c r="I7" s="36" t="str">
        <f>IF(B7="", "", Instructions!$L$2)</f>
        <v/>
      </c>
      <c r="J7" s="34" t="str">
        <f>IF(B7="", "", 'Commercial Refrigerators'!D13)</f>
        <v/>
      </c>
      <c r="K7" s="34" t="str">
        <f>IF(B7="", "", 'Commercial Refrigerators'!G13)</f>
        <v/>
      </c>
      <c r="L7" s="34" t="str">
        <f>IF(B7="", "", 'Commercial Refrigerators'!H13)</f>
        <v/>
      </c>
      <c r="M7" s="34" t="str">
        <f>IF(B7="", "", 'Commercial Refrigerators'!K13)</f>
        <v/>
      </c>
      <c r="N7" s="36" t="str">
        <f>IF(B7="","",'Commercial Refrigerators'!S13)</f>
        <v/>
      </c>
      <c r="O7" s="37" t="str">
        <f>IF(B7="", "", 'Commercial Refrigerators'!Q13)</f>
        <v/>
      </c>
      <c r="P7" s="37" t="str">
        <f t="shared" si="1"/>
        <v/>
      </c>
      <c r="Q7" s="36" t="str">
        <f>IF(B7="", "", 'Commercial Refrigerators'!R13)</f>
        <v/>
      </c>
      <c r="R7" s="143" t="str">
        <f>IF(B7="", "", 'Commercial Refrigerators'!O13)</f>
        <v/>
      </c>
      <c r="S7" s="38" t="str">
        <f>IF(B7="", "", 'Commercial Refrigerators'!$C$31)</f>
        <v/>
      </c>
      <c r="T7" s="34" t="str">
        <f>IF(B7="", "", 'Commercial Refrigerators'!J13)</f>
        <v/>
      </c>
      <c r="V7" s="34" t="str">
        <f>IF(B7="", "", 'Commercial Refrigerators'!I13)</f>
        <v/>
      </c>
    </row>
    <row r="8" spans="1:32">
      <c r="A8" s="34" t="str">
        <f>IF(B8="", "", 'Project Summary'!R43)</f>
        <v/>
      </c>
      <c r="B8" s="34" t="str">
        <f>IF('Commercial Refrigerators'!S14="", "", "Commercial Reach In Refrigerators")</f>
        <v/>
      </c>
      <c r="C8" s="34" t="str">
        <f>IF(B8="", "", 'Project Summary'!$C$10)</f>
        <v/>
      </c>
      <c r="D8" s="34" t="str">
        <f t="shared" si="0"/>
        <v/>
      </c>
      <c r="E8" s="34" t="str">
        <f>IF(B8="", "", CONCATENATE('Project Summary'!$C$7, " - ", 'Project Summary'!$C$10))</f>
        <v/>
      </c>
      <c r="F8" s="34" t="str">
        <f>IF(B8="", "", 'Project Summary'!$C$11)</f>
        <v/>
      </c>
      <c r="G8" s="34" t="str">
        <f>IF(B8="","",VLOOKUP(B8,'Project Summary'!$K$180:$L$200,2,FALSE))</f>
        <v/>
      </c>
      <c r="H8" s="34" t="str">
        <f>IF(B8="", "", 'Project Summary'!P44)</f>
        <v/>
      </c>
      <c r="I8" s="36" t="str">
        <f>IF(B8="", "", Instructions!$L$2)</f>
        <v/>
      </c>
      <c r="J8" s="34" t="str">
        <f>IF(B8="", "", 'Commercial Refrigerators'!D14)</f>
        <v/>
      </c>
      <c r="K8" s="34" t="str">
        <f>IF(B8="", "", 'Commercial Refrigerators'!G14)</f>
        <v/>
      </c>
      <c r="L8" s="34" t="str">
        <f>IF(B8="", "", 'Commercial Refrigerators'!H14)</f>
        <v/>
      </c>
      <c r="M8" s="34" t="str">
        <f>IF(B8="", "", 'Commercial Refrigerators'!K14)</f>
        <v/>
      </c>
      <c r="N8" s="36" t="str">
        <f>IF(B8="","",'Commercial Refrigerators'!S14)</f>
        <v/>
      </c>
      <c r="O8" s="37" t="str">
        <f>IF(B8="", "", 'Commercial Refrigerators'!Q14)</f>
        <v/>
      </c>
      <c r="P8" s="37" t="str">
        <f t="shared" si="1"/>
        <v/>
      </c>
      <c r="Q8" s="36" t="str">
        <f>IF(B8="", "", 'Commercial Refrigerators'!R14)</f>
        <v/>
      </c>
      <c r="R8" s="143" t="str">
        <f>IF(B8="", "", 'Commercial Refrigerators'!O14)</f>
        <v/>
      </c>
      <c r="S8" s="38" t="str">
        <f>IF(B8="", "", 'Commercial Refrigerators'!$C$31)</f>
        <v/>
      </c>
      <c r="T8" s="34" t="str">
        <f>IF(B8="", "", 'Commercial Refrigerators'!J14)</f>
        <v/>
      </c>
      <c r="V8" s="34" t="str">
        <f>IF(B8="", "", 'Commercial Refrigerators'!I14)</f>
        <v/>
      </c>
    </row>
    <row r="9" spans="1:32">
      <c r="A9" s="34" t="str">
        <f>IF(B9="", "", 'Project Summary'!R44)</f>
        <v/>
      </c>
      <c r="B9" s="34" t="str">
        <f>IF('Commercial Refrigerators'!S15="", "", "Commercial Reach In Refrigerators")</f>
        <v/>
      </c>
      <c r="C9" s="34" t="str">
        <f>IF(B9="", "", 'Project Summary'!$C$10)</f>
        <v/>
      </c>
      <c r="D9" s="34" t="str">
        <f t="shared" si="0"/>
        <v/>
      </c>
      <c r="E9" s="34" t="str">
        <f>IF(B9="", "", CONCATENATE('Project Summary'!$C$7, " - ", 'Project Summary'!$C$10))</f>
        <v/>
      </c>
      <c r="F9" s="34" t="str">
        <f>IF(B9="", "", 'Project Summary'!$C$11)</f>
        <v/>
      </c>
      <c r="G9" s="34" t="str">
        <f>IF(B9="","",VLOOKUP(B9,'Project Summary'!$K$180:$L$200,2,FALSE))</f>
        <v/>
      </c>
      <c r="H9" s="34" t="str">
        <f>IF(B9="", "", 'Project Summary'!P45)</f>
        <v/>
      </c>
      <c r="I9" s="36" t="str">
        <f>IF(B9="", "", Instructions!$L$2)</f>
        <v/>
      </c>
      <c r="J9" s="34" t="str">
        <f>IF(B9="", "", 'Commercial Refrigerators'!D15)</f>
        <v/>
      </c>
      <c r="K9" s="34" t="str">
        <f>IF(B9="", "", 'Commercial Refrigerators'!G15)</f>
        <v/>
      </c>
      <c r="L9" s="34" t="str">
        <f>IF(B9="", "", 'Commercial Refrigerators'!H15)</f>
        <v/>
      </c>
      <c r="M9" s="34" t="str">
        <f>IF(B9="", "", 'Commercial Refrigerators'!K15)</f>
        <v/>
      </c>
      <c r="N9" s="36" t="str">
        <f>IF(B9="","",'Commercial Refrigerators'!S15)</f>
        <v/>
      </c>
      <c r="O9" s="37" t="str">
        <f>IF(B9="", "", 'Commercial Refrigerators'!Q15)</f>
        <v/>
      </c>
      <c r="P9" s="37" t="str">
        <f t="shared" si="1"/>
        <v/>
      </c>
      <c r="Q9" s="36" t="str">
        <f>IF(B9="", "", 'Commercial Refrigerators'!R15)</f>
        <v/>
      </c>
      <c r="R9" s="143" t="str">
        <f>IF(B9="", "", 'Commercial Refrigerators'!O15)</f>
        <v/>
      </c>
      <c r="S9" s="38" t="str">
        <f>IF(B9="", "", 'Commercial Refrigerators'!$C$31)</f>
        <v/>
      </c>
      <c r="T9" s="34" t="str">
        <f>IF(B9="", "", 'Commercial Refrigerators'!J15)</f>
        <v/>
      </c>
      <c r="V9" s="34" t="str">
        <f>IF(B9="", "", 'Commercial Refrigerators'!I15)</f>
        <v/>
      </c>
    </row>
    <row r="10" spans="1:32">
      <c r="A10" s="34" t="str">
        <f>IF(B10="", "", 'Project Summary'!R45)</f>
        <v/>
      </c>
      <c r="B10" s="34" t="str">
        <f>IF('Commercial Freezers'!S8="", "", "Commercial Reach In Freezers")</f>
        <v/>
      </c>
      <c r="C10" s="34" t="str">
        <f>IF(B10="", "", 'Project Summary'!$C$10)</f>
        <v/>
      </c>
      <c r="D10" s="34" t="str">
        <f t="shared" si="0"/>
        <v/>
      </c>
      <c r="E10" s="34" t="str">
        <f>IF(B10="", "", CONCATENATE('Project Summary'!$C$7, " - ", 'Project Summary'!$C$10))</f>
        <v/>
      </c>
      <c r="F10" s="34" t="str">
        <f>IF(B10="", "", 'Project Summary'!$C$11)</f>
        <v/>
      </c>
      <c r="G10" s="34" t="str">
        <f>IF(B10="","",VLOOKUP(B10,'Project Summary'!$K$180:$L$200,2,FALSE))</f>
        <v/>
      </c>
      <c r="H10" s="34" t="str">
        <f>IF(B10="", "",'Project Summary'!P48)</f>
        <v/>
      </c>
      <c r="I10" s="36" t="str">
        <f>IF(B10="", "", Instructions!$L$2)</f>
        <v/>
      </c>
      <c r="J10" s="34" t="str">
        <f>IF(B10="", "", 'Commercial Refrigerators'!D8)</f>
        <v/>
      </c>
      <c r="K10" s="34" t="str">
        <f>IF(B10="", "", 'Commercial Freezers'!G8)</f>
        <v/>
      </c>
      <c r="L10" s="34" t="str">
        <f>IF(B10="", "", 'Commercial Freezers'!H8)</f>
        <v/>
      </c>
      <c r="M10" s="34" t="str">
        <f>IF(B10="", "", 'Commercial Freezers'!K8)</f>
        <v/>
      </c>
      <c r="N10" s="36" t="str">
        <f>IF(B10="", "", 'Commercial Freezers'!S8)</f>
        <v/>
      </c>
      <c r="O10" s="37" t="str">
        <f>IF(B10="", "", 'Commercial Freezers'!Q8)</f>
        <v/>
      </c>
      <c r="P10" s="37" t="str">
        <f t="shared" si="1"/>
        <v/>
      </c>
      <c r="Q10" s="36" t="str">
        <f>IF(B10="", "", 'Commercial Freezers'!R8)</f>
        <v/>
      </c>
      <c r="R10" s="144" t="str">
        <f>IF(B10="", "", 'Commercial Freezers'!O8)</f>
        <v/>
      </c>
      <c r="S10" s="38" t="str">
        <f>IF(B10="", "", 'Commercial Freezers'!$C$31)</f>
        <v/>
      </c>
      <c r="T10" s="34" t="str">
        <f>IF(B10="", "", 'Commercial Freezers'!J8)</f>
        <v/>
      </c>
      <c r="V10" s="34" t="str">
        <f>IF(B10="", "", 'Commercial Freezers'!I8)</f>
        <v/>
      </c>
    </row>
    <row r="11" spans="1:32">
      <c r="A11" s="34" t="str">
        <f>IF(B11="", "", 'Project Summary'!R46)</f>
        <v/>
      </c>
      <c r="B11" s="34" t="str">
        <f>IF('Commercial Freezers'!S9="", "", "Commercial Reach In Freezers")</f>
        <v/>
      </c>
      <c r="C11" s="34" t="str">
        <f>IF(B11="", "", 'Project Summary'!$C$10)</f>
        <v/>
      </c>
      <c r="D11" s="34" t="str">
        <f t="shared" si="0"/>
        <v/>
      </c>
      <c r="E11" s="34" t="str">
        <f>IF(B11="", "", CONCATENATE('Project Summary'!$C$7, " - ", 'Project Summary'!$C$10))</f>
        <v/>
      </c>
      <c r="F11" s="34" t="str">
        <f>IF(B11="", "", 'Project Summary'!$C$11)</f>
        <v/>
      </c>
      <c r="G11" s="34" t="str">
        <f>IF(B11="","",VLOOKUP(B11,'Project Summary'!$K$180:$L$200,2,FALSE))</f>
        <v/>
      </c>
      <c r="H11" s="34" t="str">
        <f>IF(B11="", "",'Project Summary'!P49)</f>
        <v/>
      </c>
      <c r="I11" s="36" t="str">
        <f>IF(B11="", "", Instructions!$L$2)</f>
        <v/>
      </c>
      <c r="J11" s="34" t="str">
        <f>IF(B11="", "", 'Commercial Refrigerators'!D9)</f>
        <v/>
      </c>
      <c r="K11" s="34" t="str">
        <f>IF(B11="", "", 'Commercial Freezers'!G9)</f>
        <v/>
      </c>
      <c r="L11" s="34" t="str">
        <f>IF(B11="", "", 'Commercial Freezers'!H9)</f>
        <v/>
      </c>
      <c r="M11" s="34" t="str">
        <f>IF(B11="", "", 'Commercial Freezers'!K9)</f>
        <v/>
      </c>
      <c r="N11" s="36" t="str">
        <f>IF(B11="", "", 'Commercial Freezers'!S9)</f>
        <v/>
      </c>
      <c r="O11" s="37" t="str">
        <f>IF(B11="", "", 'Commercial Freezers'!Q9)</f>
        <v/>
      </c>
      <c r="P11" s="37" t="str">
        <f t="shared" si="1"/>
        <v/>
      </c>
      <c r="Q11" s="36" t="str">
        <f>IF(B11="", "", 'Commercial Freezers'!R9)</f>
        <v/>
      </c>
      <c r="R11" s="144" t="str">
        <f>IF(B11="", "", 'Commercial Freezers'!O9)</f>
        <v/>
      </c>
      <c r="S11" s="38" t="str">
        <f>IF(B11="", "", 'Commercial Freezers'!$C$31)</f>
        <v/>
      </c>
      <c r="T11" s="34" t="str">
        <f>IF(B11="", "", 'Commercial Freezers'!J9)</f>
        <v/>
      </c>
      <c r="V11" s="34" t="str">
        <f>IF(B11="", "", 'Commercial Freezers'!I9)</f>
        <v/>
      </c>
    </row>
    <row r="12" spans="1:32">
      <c r="A12" s="34" t="str">
        <f>IF(B12="", "", 'Project Summary'!R47)</f>
        <v/>
      </c>
      <c r="B12" s="34" t="str">
        <f>IF('Commercial Freezers'!S10="", "", "Commercial Reach In Freezers")</f>
        <v/>
      </c>
      <c r="C12" s="34" t="str">
        <f>IF(B12="", "", 'Project Summary'!$C$10)</f>
        <v/>
      </c>
      <c r="D12" s="34" t="str">
        <f t="shared" si="0"/>
        <v/>
      </c>
      <c r="E12" s="34" t="str">
        <f>IF(B12="", "", CONCATENATE('Project Summary'!$C$7, " - ", 'Project Summary'!$C$10))</f>
        <v/>
      </c>
      <c r="F12" s="34" t="str">
        <f>IF(B12="", "", 'Project Summary'!$C$11)</f>
        <v/>
      </c>
      <c r="G12" s="34" t="str">
        <f>IF(B12="","",VLOOKUP(B12,'Project Summary'!$K$180:$L$200,2,FALSE))</f>
        <v/>
      </c>
      <c r="H12" s="34" t="str">
        <f>IF(B12="", "",'Project Summary'!P50)</f>
        <v/>
      </c>
      <c r="I12" s="36" t="str">
        <f>IF(B12="", "", Instructions!$L$2)</f>
        <v/>
      </c>
      <c r="J12" s="34" t="str">
        <f>IF(B12="", "", 'Commercial Refrigerators'!D10)</f>
        <v/>
      </c>
      <c r="K12" s="34" t="str">
        <f>IF(B12="", "", 'Commercial Freezers'!G10)</f>
        <v/>
      </c>
      <c r="L12" s="34" t="str">
        <f>IF(B12="", "", 'Commercial Freezers'!H10)</f>
        <v/>
      </c>
      <c r="M12" s="34" t="str">
        <f>IF(B12="", "", 'Commercial Freezers'!K10)</f>
        <v/>
      </c>
      <c r="N12" s="36" t="str">
        <f>IF(B12="", "", 'Commercial Freezers'!S10)</f>
        <v/>
      </c>
      <c r="O12" s="37" t="str">
        <f>IF(B12="", "", 'Commercial Freezers'!Q10)</f>
        <v/>
      </c>
      <c r="P12" s="37" t="str">
        <f t="shared" si="1"/>
        <v/>
      </c>
      <c r="Q12" s="36" t="str">
        <f>IF(B12="", "", 'Commercial Freezers'!R10)</f>
        <v/>
      </c>
      <c r="R12" s="144" t="str">
        <f>IF(B12="", "", 'Commercial Freezers'!O10)</f>
        <v/>
      </c>
      <c r="S12" s="38" t="str">
        <f>IF(B12="", "", 'Commercial Freezers'!$C$31)</f>
        <v/>
      </c>
      <c r="T12" s="34" t="str">
        <f>IF(B12="", "", 'Commercial Freezers'!J10)</f>
        <v/>
      </c>
      <c r="V12" s="34" t="str">
        <f>IF(B12="", "", 'Commercial Freezers'!I10)</f>
        <v/>
      </c>
    </row>
    <row r="13" spans="1:32">
      <c r="A13" s="34" t="str">
        <f>IF(B13="", "", 'Project Summary'!R48)</f>
        <v/>
      </c>
      <c r="B13" s="34" t="str">
        <f>IF('Commercial Freezers'!S11="", "", "Commercial Reach In Freezers")</f>
        <v/>
      </c>
      <c r="C13" s="34" t="str">
        <f>IF(B13="", "", 'Project Summary'!$C$10)</f>
        <v/>
      </c>
      <c r="D13" s="34" t="str">
        <f t="shared" si="0"/>
        <v/>
      </c>
      <c r="E13" s="34" t="str">
        <f>IF(B13="", "", CONCATENATE('Project Summary'!$C$7, " - ", 'Project Summary'!$C$10))</f>
        <v/>
      </c>
      <c r="F13" s="34" t="str">
        <f>IF(B13="", "", 'Project Summary'!$C$11)</f>
        <v/>
      </c>
      <c r="G13" s="34" t="str">
        <f>IF(B13="","",VLOOKUP(B13,'Project Summary'!$K$180:$L$200,2,FALSE))</f>
        <v/>
      </c>
      <c r="H13" s="34" t="str">
        <f>IF(B13="", "",'Project Summary'!P51)</f>
        <v/>
      </c>
      <c r="I13" s="36" t="str">
        <f>IF(B13="", "", Instructions!$L$2)</f>
        <v/>
      </c>
      <c r="J13" s="34" t="str">
        <f>IF(B13="", "", 'Commercial Refrigerators'!D11)</f>
        <v/>
      </c>
      <c r="K13" s="34" t="str">
        <f>IF(B13="", "", 'Commercial Freezers'!G11)</f>
        <v/>
      </c>
      <c r="L13" s="34" t="str">
        <f>IF(B13="", "", 'Commercial Freezers'!H11)</f>
        <v/>
      </c>
      <c r="M13" s="34" t="str">
        <f>IF(B13="", "", 'Commercial Freezers'!K11)</f>
        <v/>
      </c>
      <c r="N13" s="36" t="str">
        <f>IF(B13="", "", 'Commercial Freezers'!S11)</f>
        <v/>
      </c>
      <c r="O13" s="37" t="str">
        <f>IF(B13="", "", 'Commercial Freezers'!Q11)</f>
        <v/>
      </c>
      <c r="P13" s="37" t="str">
        <f t="shared" si="1"/>
        <v/>
      </c>
      <c r="Q13" s="36" t="str">
        <f>IF(B13="", "", 'Commercial Freezers'!R11)</f>
        <v/>
      </c>
      <c r="R13" s="144" t="str">
        <f>IF(B13="", "", 'Commercial Freezers'!O11)</f>
        <v/>
      </c>
      <c r="S13" s="38" t="str">
        <f>IF(B13="", "", 'Commercial Freezers'!$C$31)</f>
        <v/>
      </c>
      <c r="T13" s="34" t="str">
        <f>IF(B13="", "", 'Commercial Freezers'!J11)</f>
        <v/>
      </c>
      <c r="V13" s="34" t="str">
        <f>IF(B13="", "", 'Commercial Freezers'!I11)</f>
        <v/>
      </c>
    </row>
    <row r="14" spans="1:32">
      <c r="A14" s="34" t="str">
        <f>IF(B14="", "", 'Project Summary'!R49)</f>
        <v/>
      </c>
      <c r="B14" s="34" t="str">
        <f>IF('Commercial Freezers'!S12="", "", "Commercial Reach In Freezers")</f>
        <v/>
      </c>
      <c r="C14" s="34" t="str">
        <f>IF(B14="", "", 'Project Summary'!$C$10)</f>
        <v/>
      </c>
      <c r="D14" s="34" t="str">
        <f t="shared" si="0"/>
        <v/>
      </c>
      <c r="E14" s="34" t="str">
        <f>IF(B14="", "", CONCATENATE('Project Summary'!$C$7, " - ", 'Project Summary'!$C$10))</f>
        <v/>
      </c>
      <c r="F14" s="34" t="str">
        <f>IF(B14="", "", 'Project Summary'!$C$11)</f>
        <v/>
      </c>
      <c r="G14" s="34" t="str">
        <f>IF(B14="","",VLOOKUP(B14,'Project Summary'!$K$180:$L$200,2,FALSE))</f>
        <v/>
      </c>
      <c r="H14" s="34" t="str">
        <f>IF(B14="", "",'Project Summary'!P52)</f>
        <v/>
      </c>
      <c r="I14" s="36" t="str">
        <f>IF(B14="", "", Instructions!$L$2)</f>
        <v/>
      </c>
      <c r="J14" s="34" t="str">
        <f>IF(B14="", "", 'Commercial Refrigerators'!D12)</f>
        <v/>
      </c>
      <c r="K14" s="34" t="str">
        <f>IF(B14="", "", 'Commercial Freezers'!G12)</f>
        <v/>
      </c>
      <c r="L14" s="34" t="str">
        <f>IF(B14="", "", 'Commercial Freezers'!H12)</f>
        <v/>
      </c>
      <c r="M14" s="34" t="str">
        <f>IF(B14="", "", 'Commercial Freezers'!K12)</f>
        <v/>
      </c>
      <c r="N14" s="36" t="str">
        <f>IF(B14="", "", 'Commercial Freezers'!S12)</f>
        <v/>
      </c>
      <c r="O14" s="37" t="str">
        <f>IF(B14="", "", 'Commercial Freezers'!Q12)</f>
        <v/>
      </c>
      <c r="P14" s="37" t="str">
        <f t="shared" si="1"/>
        <v/>
      </c>
      <c r="Q14" s="36" t="str">
        <f>IF(B14="", "", 'Commercial Freezers'!R12)</f>
        <v/>
      </c>
      <c r="R14" s="144" t="str">
        <f>IF(B14="", "", 'Commercial Freezers'!O12)</f>
        <v/>
      </c>
      <c r="S14" s="38" t="str">
        <f>IF(B14="", "", 'Commercial Freezers'!$C$31)</f>
        <v/>
      </c>
      <c r="T14" s="34" t="str">
        <f>IF(B14="", "", 'Commercial Freezers'!J12)</f>
        <v/>
      </c>
      <c r="V14" s="34" t="str">
        <f>IF(B14="", "", 'Commercial Freezers'!I12)</f>
        <v/>
      </c>
    </row>
    <row r="15" spans="1:32">
      <c r="A15" s="34" t="str">
        <f>IF(B15="", "", 'Project Summary'!R50)</f>
        <v/>
      </c>
      <c r="B15" s="34" t="str">
        <f>IF('Commercial Freezers'!S13="", "", "Commercial Reach In Freezers")</f>
        <v/>
      </c>
      <c r="C15" s="34" t="str">
        <f>IF(B15="", "", 'Project Summary'!$C$10)</f>
        <v/>
      </c>
      <c r="D15" s="34" t="str">
        <f t="shared" si="0"/>
        <v/>
      </c>
      <c r="E15" s="34" t="str">
        <f>IF(B15="", "", CONCATENATE('Project Summary'!$C$7, " - ", 'Project Summary'!$C$10))</f>
        <v/>
      </c>
      <c r="F15" s="34" t="str">
        <f>IF(B15="", "", 'Project Summary'!$C$11)</f>
        <v/>
      </c>
      <c r="G15" s="34" t="str">
        <f>IF(B15="","",VLOOKUP(B15,'Project Summary'!$K$180:$L$200,2,FALSE))</f>
        <v/>
      </c>
      <c r="H15" s="34" t="str">
        <f>IF(B15="", "",'Project Summary'!P53)</f>
        <v/>
      </c>
      <c r="I15" s="36" t="str">
        <f>IF(B15="", "", Instructions!$L$2)</f>
        <v/>
      </c>
      <c r="J15" s="34" t="str">
        <f>IF(B15="", "", 'Commercial Refrigerators'!D13)</f>
        <v/>
      </c>
      <c r="K15" s="34" t="str">
        <f>IF(B15="", "", 'Commercial Freezers'!G13)</f>
        <v/>
      </c>
      <c r="L15" s="34" t="str">
        <f>IF(B15="", "", 'Commercial Freezers'!H13)</f>
        <v/>
      </c>
      <c r="M15" s="34" t="str">
        <f>IF(B15="", "", 'Commercial Freezers'!K13)</f>
        <v/>
      </c>
      <c r="N15" s="36" t="str">
        <f>IF(B15="", "", 'Commercial Freezers'!S13)</f>
        <v/>
      </c>
      <c r="O15" s="37" t="str">
        <f>IF(B15="", "", 'Commercial Freezers'!Q13)</f>
        <v/>
      </c>
      <c r="P15" s="37" t="str">
        <f t="shared" si="1"/>
        <v/>
      </c>
      <c r="Q15" s="36" t="str">
        <f>IF(B15="", "", 'Commercial Freezers'!R13)</f>
        <v/>
      </c>
      <c r="R15" s="144" t="str">
        <f>IF(B15="", "", 'Commercial Freezers'!O13)</f>
        <v/>
      </c>
      <c r="S15" s="38" t="str">
        <f>IF(B15="", "", 'Commercial Freezers'!$C$31)</f>
        <v/>
      </c>
      <c r="T15" s="34" t="str">
        <f>IF(B15="", "", 'Commercial Freezers'!J13)</f>
        <v/>
      </c>
      <c r="V15" s="34" t="str">
        <f>IF(B15="", "", 'Commercial Freezers'!I13)</f>
        <v/>
      </c>
    </row>
    <row r="16" spans="1:32">
      <c r="A16" s="34" t="str">
        <f>IF(B16="", "", 'Project Summary'!R51)</f>
        <v/>
      </c>
      <c r="B16" s="34" t="str">
        <f>IF('Commercial Freezers'!S14="", "", "Commercial Reach In Freezers")</f>
        <v/>
      </c>
      <c r="C16" s="34" t="str">
        <f>IF(B16="", "", 'Project Summary'!$C$10)</f>
        <v/>
      </c>
      <c r="D16" s="34" t="str">
        <f t="shared" si="0"/>
        <v/>
      </c>
      <c r="E16" s="34" t="str">
        <f>IF(B16="", "", CONCATENATE('Project Summary'!$C$7, " - ", 'Project Summary'!$C$10))</f>
        <v/>
      </c>
      <c r="F16" s="34" t="str">
        <f>IF(B16="", "", 'Project Summary'!$C$11)</f>
        <v/>
      </c>
      <c r="G16" s="34" t="str">
        <f>IF(B16="","",VLOOKUP(B16,'Project Summary'!$K$180:$L$200,2,FALSE))</f>
        <v/>
      </c>
      <c r="H16" s="34" t="str">
        <f>IF(B16="", "",'Project Summary'!P54)</f>
        <v/>
      </c>
      <c r="I16" s="36" t="str">
        <f>IF(B16="", "", Instructions!$L$2)</f>
        <v/>
      </c>
      <c r="J16" s="34" t="str">
        <f>IF(B16="", "", 'Commercial Refrigerators'!D14)</f>
        <v/>
      </c>
      <c r="K16" s="34" t="str">
        <f>IF(B16="", "", 'Commercial Freezers'!G14)</f>
        <v/>
      </c>
      <c r="L16" s="34" t="str">
        <f>IF(B16="", "", 'Commercial Freezers'!H14)</f>
        <v/>
      </c>
      <c r="M16" s="34" t="str">
        <f>IF(B16="", "", 'Commercial Freezers'!K14)</f>
        <v/>
      </c>
      <c r="N16" s="36" t="str">
        <f>IF(B16="", "", 'Commercial Freezers'!S14)</f>
        <v/>
      </c>
      <c r="O16" s="37" t="str">
        <f>IF(B16="", "", 'Commercial Freezers'!Q14)</f>
        <v/>
      </c>
      <c r="P16" s="37" t="str">
        <f t="shared" si="1"/>
        <v/>
      </c>
      <c r="Q16" s="36" t="str">
        <f>IF(B16="", "", 'Commercial Freezers'!R14)</f>
        <v/>
      </c>
      <c r="R16" s="144" t="str">
        <f>IF(B16="", "", 'Commercial Freezers'!O14)</f>
        <v/>
      </c>
      <c r="S16" s="38" t="str">
        <f>IF(B16="", "", 'Commercial Freezers'!$C$31)</f>
        <v/>
      </c>
      <c r="T16" s="34" t="str">
        <f>IF(B16="", "", 'Commercial Freezers'!J14)</f>
        <v/>
      </c>
      <c r="V16" s="34" t="str">
        <f>IF(B16="", "", 'Commercial Freezers'!I14)</f>
        <v/>
      </c>
    </row>
    <row r="17" spans="1:25">
      <c r="A17" s="34" t="str">
        <f>IF(B17="", "", 'Project Summary'!R52)</f>
        <v/>
      </c>
      <c r="B17" s="34" t="str">
        <f>IF('Commercial Freezers'!S15="", "", "Commercial Reach In Freezers")</f>
        <v/>
      </c>
      <c r="C17" s="34" t="str">
        <f>IF(B17="", "", 'Project Summary'!$C$10)</f>
        <v/>
      </c>
      <c r="D17" s="34" t="str">
        <f t="shared" si="0"/>
        <v/>
      </c>
      <c r="E17" s="34" t="str">
        <f>IF(B17="", "", CONCATENATE('Project Summary'!$C$7, " - ", 'Project Summary'!$C$10))</f>
        <v/>
      </c>
      <c r="F17" s="34" t="str">
        <f>IF(B17="", "", 'Project Summary'!$C$11)</f>
        <v/>
      </c>
      <c r="G17" s="34" t="str">
        <f>IF(B17="","",VLOOKUP(B17,'Project Summary'!$K$180:$L$200,2,FALSE))</f>
        <v/>
      </c>
      <c r="H17" s="34" t="str">
        <f>IF(B17="", "",'Project Summary'!P55)</f>
        <v/>
      </c>
      <c r="I17" s="36" t="str">
        <f>IF(B17="", "", Instructions!$L$2)</f>
        <v/>
      </c>
      <c r="J17" s="34" t="str">
        <f>IF(B17="", "", 'Commercial Refrigerators'!D15)</f>
        <v/>
      </c>
      <c r="K17" s="34" t="str">
        <f>IF(B17="", "", 'Commercial Freezers'!G15)</f>
        <v/>
      </c>
      <c r="L17" s="34" t="str">
        <f>IF(B17="", "", 'Commercial Freezers'!H15)</f>
        <v/>
      </c>
      <c r="M17" s="34" t="str">
        <f>IF(B17="", "", 'Commercial Freezers'!K15)</f>
        <v/>
      </c>
      <c r="N17" s="36" t="str">
        <f>IF(B17="", "", 'Commercial Freezers'!S15)</f>
        <v/>
      </c>
      <c r="O17" s="37" t="str">
        <f>IF(B17="", "", 'Commercial Freezers'!Q15)</f>
        <v/>
      </c>
      <c r="P17" s="37" t="str">
        <f t="shared" si="1"/>
        <v/>
      </c>
      <c r="Q17" s="36" t="str">
        <f>IF(B17="", "", 'Commercial Freezers'!R15)</f>
        <v/>
      </c>
      <c r="R17" s="144" t="str">
        <f>IF(B17="", "", 'Commercial Freezers'!O15)</f>
        <v/>
      </c>
      <c r="S17" s="38" t="str">
        <f>IF(B17="", "", 'Commercial Freezers'!$C$31)</f>
        <v/>
      </c>
      <c r="T17" s="34" t="str">
        <f>IF(B17="", "", 'Commercial Freezers'!J15)</f>
        <v/>
      </c>
      <c r="V17" s="34" t="str">
        <f>IF(B17="", "", 'Commercial Freezers'!I15)</f>
        <v/>
      </c>
    </row>
    <row r="18" spans="1:25">
      <c r="A18" s="34" t="str">
        <f>IF(OR('Ice Machines'!AO8="DNQ", B18=""), "", 'Project Summary'!R53)</f>
        <v/>
      </c>
      <c r="B18" s="34" t="str">
        <f>IF(OR('Ice Machines'!AO8="DNQ", 'Ice Machines'!AO8=""), "", 'Ice Machines'!T8)</f>
        <v/>
      </c>
      <c r="C18" s="34" t="str">
        <f>IF(B18="", "", 'Project Summary'!$C$10)</f>
        <v/>
      </c>
      <c r="D18" s="34" t="str">
        <f t="shared" si="0"/>
        <v/>
      </c>
      <c r="E18" s="34" t="str">
        <f>IF(B18="", "", CONCATENATE('Project Summary'!$C$7, " - ", 'Project Summary'!$C$10))</f>
        <v/>
      </c>
      <c r="F18" s="34" t="str">
        <f>IF(B18="", "", 'Project Summary'!$C$11)</f>
        <v/>
      </c>
      <c r="G18" s="34" t="str">
        <f>IF(B18="","",VLOOKUP(B18,'Project Summary'!$K$180:$L$200,2,FALSE))</f>
        <v/>
      </c>
      <c r="H18" s="34" t="str">
        <f>IF(B18="", "",'Project Summary'!P58)</f>
        <v/>
      </c>
      <c r="I18" s="36" t="str">
        <f>IF(B18="", "", Instructions!$L$2)</f>
        <v/>
      </c>
      <c r="J18" s="34" t="str">
        <f>IF(B18="", "", 'Ice Machines'!D8)</f>
        <v/>
      </c>
      <c r="K18" s="34" t="str">
        <f>IF(B18="", "", 'Ice Machines'!E8)</f>
        <v/>
      </c>
      <c r="L18" s="34" t="str">
        <f>IF(B18="", "", 'Ice Machines'!F8)</f>
        <v/>
      </c>
      <c r="M18" s="34" t="str">
        <f>IF(B18="", "", 'Ice Machines'!M8)</f>
        <v/>
      </c>
      <c r="N18" s="36" t="str">
        <f>IF(B18="", "", 'Ice Machines'!AO8)</f>
        <v/>
      </c>
      <c r="O18" s="37" t="str">
        <f>IF(B18="", "", 'Ice Machines'!AM8)</f>
        <v/>
      </c>
      <c r="P18" s="37" t="str">
        <f t="shared" si="1"/>
        <v/>
      </c>
      <c r="Q18" s="36" t="str">
        <f>IF(B18="", "", 'Ice Machines'!AN8)</f>
        <v/>
      </c>
      <c r="R18" s="143" t="str">
        <f>IF(B18="", "", 'Ice Machines'!S8)</f>
        <v/>
      </c>
      <c r="S18" s="38" t="str">
        <f>IF(B18="", "", 'Ice Machines'!$C$38)</f>
        <v/>
      </c>
      <c r="V18" s="34" t="str">
        <f>IF(B18="", "", 'Ice Machines'!I8)</f>
        <v/>
      </c>
      <c r="W18" s="34" t="str">
        <f>IF(B18="", "", 'Ice Machines'!K8)</f>
        <v/>
      </c>
    </row>
    <row r="19" spans="1:25">
      <c r="A19" s="34" t="str">
        <f>IF(OR('Ice Machines'!AO9="DNQ", B19=""), "", 'Project Summary'!R54)</f>
        <v/>
      </c>
      <c r="B19" s="34" t="str">
        <f>IF(OR('Ice Machines'!AO9="DNQ", 'Ice Machines'!AO9=""), "", 'Ice Machines'!T9)</f>
        <v/>
      </c>
      <c r="C19" s="34" t="str">
        <f>IF(B19="", "", 'Project Summary'!$C$10)</f>
        <v/>
      </c>
      <c r="D19" s="34" t="str">
        <f t="shared" si="0"/>
        <v/>
      </c>
      <c r="E19" s="34" t="str">
        <f>IF(B19="", "", CONCATENATE('Project Summary'!$C$7, " - ", 'Project Summary'!$C$10))</f>
        <v/>
      </c>
      <c r="F19" s="34" t="str">
        <f>IF(B19="", "", 'Project Summary'!$C$11)</f>
        <v/>
      </c>
      <c r="G19" s="34" t="str">
        <f>IF(B19="","",VLOOKUP(B19,'Project Summary'!$K$180:$L$200,2,FALSE))</f>
        <v/>
      </c>
      <c r="H19" s="34" t="str">
        <f>IF(B19="", "",'Project Summary'!P59)</f>
        <v/>
      </c>
      <c r="I19" s="36" t="str">
        <f>IF(B19="", "", Instructions!$L$2)</f>
        <v/>
      </c>
      <c r="J19" s="34" t="str">
        <f>IF(B19="", "", 'Ice Machines'!D9)</f>
        <v/>
      </c>
      <c r="K19" s="34" t="str">
        <f>IF(B19="", "", 'Ice Machines'!E9)</f>
        <v/>
      </c>
      <c r="L19" s="34" t="str">
        <f>IF(B19="", "", 'Ice Machines'!F9)</f>
        <v/>
      </c>
      <c r="M19" s="34" t="str">
        <f>IF(B19="", "", 'Ice Machines'!M9)</f>
        <v/>
      </c>
      <c r="N19" s="36" t="str">
        <f>IF(B19="", "", 'Ice Machines'!AO9)</f>
        <v/>
      </c>
      <c r="O19" s="37" t="str">
        <f>IF(B19="", "", 'Ice Machines'!AM9)</f>
        <v/>
      </c>
      <c r="P19" s="37" t="str">
        <f t="shared" si="1"/>
        <v/>
      </c>
      <c r="Q19" s="36" t="str">
        <f>IF(B19="", "", 'Ice Machines'!AN9)</f>
        <v/>
      </c>
      <c r="R19" s="143" t="str">
        <f>IF(B19="", "", 'Ice Machines'!S9)</f>
        <v/>
      </c>
      <c r="S19" s="38" t="str">
        <f>IF(B19="", "", 'Ice Machines'!$C$38)</f>
        <v/>
      </c>
      <c r="V19" s="34" t="str">
        <f>IF(B19="", "", 'Ice Machines'!I9)</f>
        <v/>
      </c>
      <c r="W19" s="34" t="str">
        <f>IF(B19="", "", 'Ice Machines'!K9)</f>
        <v/>
      </c>
    </row>
    <row r="20" spans="1:25">
      <c r="A20" s="34" t="str">
        <f>IF(OR('Ice Machines'!AO10="DNQ", B20=""), "", 'Project Summary'!R55)</f>
        <v/>
      </c>
      <c r="B20" s="34" t="str">
        <f>IF(OR('Ice Machines'!AO10="DNQ", 'Ice Machines'!AO10=""), "", 'Ice Machines'!T10)</f>
        <v/>
      </c>
      <c r="C20" s="34" t="str">
        <f>IF(B20="", "", 'Project Summary'!$C$10)</f>
        <v/>
      </c>
      <c r="D20" s="34" t="str">
        <f t="shared" si="0"/>
        <v/>
      </c>
      <c r="E20" s="34" t="str">
        <f>IF(B20="", "", CONCATENATE('Project Summary'!$C$7, " - ", 'Project Summary'!$C$10))</f>
        <v/>
      </c>
      <c r="F20" s="34" t="str">
        <f>IF(B20="", "", 'Project Summary'!$C$11)</f>
        <v/>
      </c>
      <c r="G20" s="34" t="str">
        <f>IF(B20="","",VLOOKUP(B20,'Project Summary'!$K$180:$L$200,2,FALSE))</f>
        <v/>
      </c>
      <c r="H20" s="34" t="str">
        <f>IF(B20="", "",'Project Summary'!P60)</f>
        <v/>
      </c>
      <c r="I20" s="36" t="str">
        <f>IF(B20="", "", Instructions!$L$2)</f>
        <v/>
      </c>
      <c r="J20" s="34" t="str">
        <f>IF(B20="", "", 'Ice Machines'!D10)</f>
        <v/>
      </c>
      <c r="K20" s="34" t="str">
        <f>IF(B20="", "", 'Ice Machines'!E10)</f>
        <v/>
      </c>
      <c r="L20" s="34" t="str">
        <f>IF(B20="", "", 'Ice Machines'!F10)</f>
        <v/>
      </c>
      <c r="M20" s="34" t="str">
        <f>IF(B20="", "", 'Ice Machines'!M10)</f>
        <v/>
      </c>
      <c r="N20" s="36" t="str">
        <f>IF(B20="", "", 'Ice Machines'!AO10)</f>
        <v/>
      </c>
      <c r="O20" s="37" t="str">
        <f>IF(B20="", "", 'Ice Machines'!AM10)</f>
        <v/>
      </c>
      <c r="P20" s="37" t="str">
        <f t="shared" si="1"/>
        <v/>
      </c>
      <c r="Q20" s="36" t="str">
        <f>IF(B20="", "", 'Ice Machines'!AN10)</f>
        <v/>
      </c>
      <c r="R20" s="143" t="str">
        <f>IF(B20="", "", 'Ice Machines'!S10)</f>
        <v/>
      </c>
      <c r="S20" s="38" t="str">
        <f>IF(B20="", "", 'Ice Machines'!$C$38)</f>
        <v/>
      </c>
      <c r="V20" s="34" t="str">
        <f>IF(B20="", "", 'Ice Machines'!I10)</f>
        <v/>
      </c>
      <c r="W20" s="34" t="str">
        <f>IF(B20="", "", 'Ice Machines'!K10)</f>
        <v/>
      </c>
    </row>
    <row r="21" spans="1:25">
      <c r="A21" s="34" t="str">
        <f>IF(OR('Ice Machines'!AO11="DNQ", B21=""), "", 'Project Summary'!R56)</f>
        <v/>
      </c>
      <c r="B21" s="34" t="str">
        <f>IF(OR('Ice Machines'!AO11="DNQ", 'Ice Machines'!AO11=""), "", 'Ice Machines'!T11)</f>
        <v/>
      </c>
      <c r="C21" s="34" t="str">
        <f>IF(B21="", "", 'Project Summary'!$C$10)</f>
        <v/>
      </c>
      <c r="D21" s="34" t="str">
        <f t="shared" si="0"/>
        <v/>
      </c>
      <c r="E21" s="34" t="str">
        <f>IF(B21="", "", CONCATENATE('Project Summary'!$C$7, " - ", 'Project Summary'!$C$10))</f>
        <v/>
      </c>
      <c r="F21" s="34" t="str">
        <f>IF(B21="", "", 'Project Summary'!$C$11)</f>
        <v/>
      </c>
      <c r="G21" s="34" t="str">
        <f>IF(B21="","",VLOOKUP(B21,'Project Summary'!$K$180:$L$200,2,FALSE))</f>
        <v/>
      </c>
      <c r="H21" s="34" t="str">
        <f>IF(B21="", "",'Project Summary'!P61)</f>
        <v/>
      </c>
      <c r="I21" s="36" t="str">
        <f>IF(B21="", "", Instructions!$L$2)</f>
        <v/>
      </c>
      <c r="J21" s="34" t="str">
        <f>IF(B21="", "", 'Ice Machines'!D11)</f>
        <v/>
      </c>
      <c r="K21" s="34" t="str">
        <f>IF(B21="", "", 'Ice Machines'!E11)</f>
        <v/>
      </c>
      <c r="L21" s="34" t="str">
        <f>IF(B21="", "", 'Ice Machines'!F11)</f>
        <v/>
      </c>
      <c r="M21" s="34" t="str">
        <f>IF(B21="", "", 'Ice Machines'!M11)</f>
        <v/>
      </c>
      <c r="N21" s="36" t="str">
        <f>IF(B21="", "", 'Ice Machines'!AO11)</f>
        <v/>
      </c>
      <c r="O21" s="37" t="str">
        <f>IF(B21="", "", 'Ice Machines'!AM11)</f>
        <v/>
      </c>
      <c r="P21" s="37" t="str">
        <f t="shared" si="1"/>
        <v/>
      </c>
      <c r="Q21" s="36" t="str">
        <f>IF(B21="", "", 'Ice Machines'!AN11)</f>
        <v/>
      </c>
      <c r="R21" s="143" t="str">
        <f>IF(B21="", "", 'Ice Machines'!S11)</f>
        <v/>
      </c>
      <c r="S21" s="38" t="str">
        <f>IF(B21="", "", 'Ice Machines'!$C$38)</f>
        <v/>
      </c>
      <c r="V21" s="34" t="str">
        <f>IF(B21="", "", 'Ice Machines'!I11)</f>
        <v/>
      </c>
      <c r="W21" s="34" t="str">
        <f>IF(B21="", "", 'Ice Machines'!K11)</f>
        <v/>
      </c>
    </row>
    <row r="22" spans="1:25">
      <c r="A22" s="34" t="str">
        <f>IF(OR('Ice Machines'!AO12="DNQ", B22=""), "", 'Project Summary'!R57)</f>
        <v/>
      </c>
      <c r="B22" s="34" t="str">
        <f>IF(OR('Ice Machines'!AO12="DNQ", 'Ice Machines'!AO12=""), "", 'Ice Machines'!T12)</f>
        <v/>
      </c>
      <c r="C22" s="34" t="str">
        <f>IF(B22="", "", 'Project Summary'!$C$10)</f>
        <v/>
      </c>
      <c r="D22" s="34" t="str">
        <f t="shared" si="0"/>
        <v/>
      </c>
      <c r="E22" s="34" t="str">
        <f>IF(B22="", "", CONCATENATE('Project Summary'!$C$7, " - ", 'Project Summary'!$C$10))</f>
        <v/>
      </c>
      <c r="F22" s="34" t="str">
        <f>IF(B22="", "", 'Project Summary'!$C$11)</f>
        <v/>
      </c>
      <c r="G22" s="34" t="str">
        <f>IF(B22="","",VLOOKUP(B22,'Project Summary'!$K$180:$L$200,2,FALSE))</f>
        <v/>
      </c>
      <c r="H22" s="34" t="str">
        <f>IF(B22="", "",'Project Summary'!P62)</f>
        <v/>
      </c>
      <c r="I22" s="36" t="str">
        <f>IF(B22="", "", Instructions!$L$2)</f>
        <v/>
      </c>
      <c r="J22" s="34" t="str">
        <f>IF(B22="", "", 'Ice Machines'!D12)</f>
        <v/>
      </c>
      <c r="K22" s="34" t="str">
        <f>IF(B22="", "", 'Ice Machines'!E12)</f>
        <v/>
      </c>
      <c r="L22" s="34" t="str">
        <f>IF(B22="", "", 'Ice Machines'!F12)</f>
        <v/>
      </c>
      <c r="M22" s="34" t="str">
        <f>IF(B22="", "", 'Ice Machines'!M12)</f>
        <v/>
      </c>
      <c r="N22" s="36" t="str">
        <f>IF(B22="", "", 'Ice Machines'!AO12)</f>
        <v/>
      </c>
      <c r="O22" s="37" t="str">
        <f>IF(B22="", "", 'Ice Machines'!AM12)</f>
        <v/>
      </c>
      <c r="P22" s="37" t="str">
        <f t="shared" si="1"/>
        <v/>
      </c>
      <c r="Q22" s="36" t="str">
        <f>IF(B22="", "", 'Ice Machines'!AN12)</f>
        <v/>
      </c>
      <c r="R22" s="143" t="str">
        <f>IF(B22="", "", 'Ice Machines'!S12)</f>
        <v/>
      </c>
      <c r="S22" s="38" t="str">
        <f>IF(B22="", "", 'Ice Machines'!$C$38)</f>
        <v/>
      </c>
      <c r="V22" s="34" t="str">
        <f>IF(B22="", "", 'Ice Machines'!I12)</f>
        <v/>
      </c>
      <c r="W22" s="34" t="str">
        <f>IF(B22="", "", 'Ice Machines'!K12)</f>
        <v/>
      </c>
    </row>
    <row r="23" spans="1:25">
      <c r="A23" s="34" t="str">
        <f>IF(OR('Ice Machines'!AO13="DNQ", B23=""), "", 'Project Summary'!R58)</f>
        <v/>
      </c>
      <c r="B23" s="34" t="str">
        <f>IF(OR('Ice Machines'!AO13="DNQ", 'Ice Machines'!AO13=""), "", 'Ice Machines'!T13)</f>
        <v/>
      </c>
      <c r="C23" s="34" t="str">
        <f>IF(B23="", "", 'Project Summary'!$C$10)</f>
        <v/>
      </c>
      <c r="D23" s="34" t="str">
        <f t="shared" si="0"/>
        <v/>
      </c>
      <c r="E23" s="34" t="str">
        <f>IF(B23="", "", CONCATENATE('Project Summary'!$C$7, " - ", 'Project Summary'!$C$10))</f>
        <v/>
      </c>
      <c r="F23" s="34" t="str">
        <f>IF(B23="", "", 'Project Summary'!$C$11)</f>
        <v/>
      </c>
      <c r="G23" s="34" t="str">
        <f>IF(B23="","",VLOOKUP(B23,'Project Summary'!$K$180:$L$200,2,FALSE))</f>
        <v/>
      </c>
      <c r="H23" s="34" t="str">
        <f>IF(B23="", "",'Project Summary'!P63)</f>
        <v/>
      </c>
      <c r="I23" s="36" t="str">
        <f>IF(B23="", "", Instructions!$L$2)</f>
        <v/>
      </c>
      <c r="J23" s="34" t="str">
        <f>IF(B23="", "", 'Ice Machines'!D13)</f>
        <v/>
      </c>
      <c r="K23" s="34" t="str">
        <f>IF(B23="", "", 'Ice Machines'!E13)</f>
        <v/>
      </c>
      <c r="L23" s="34" t="str">
        <f>IF(B23="", "", 'Ice Machines'!F13)</f>
        <v/>
      </c>
      <c r="M23" s="34" t="str">
        <f>IF(B23="", "", 'Ice Machines'!M13)</f>
        <v/>
      </c>
      <c r="N23" s="36" t="str">
        <f>IF(B23="", "", 'Ice Machines'!AO13)</f>
        <v/>
      </c>
      <c r="O23" s="37" t="str">
        <f>IF(B23="", "", 'Ice Machines'!AM13)</f>
        <v/>
      </c>
      <c r="P23" s="37" t="str">
        <f t="shared" si="1"/>
        <v/>
      </c>
      <c r="Q23" s="36" t="str">
        <f>IF(B23="", "", 'Ice Machines'!AN13)</f>
        <v/>
      </c>
      <c r="R23" s="143" t="str">
        <f>IF(B23="", "", 'Ice Machines'!S13)</f>
        <v/>
      </c>
      <c r="S23" s="38" t="str">
        <f>IF(B23="", "", 'Ice Machines'!$C$38)</f>
        <v/>
      </c>
      <c r="V23" s="34" t="str">
        <f>IF(B23="", "", 'Ice Machines'!I13)</f>
        <v/>
      </c>
      <c r="W23" s="34" t="str">
        <f>IF(B23="", "", 'Ice Machines'!K13)</f>
        <v/>
      </c>
    </row>
    <row r="24" spans="1:25">
      <c r="A24" s="34" t="str">
        <f>IF(OR('Ice Machines'!AO14="DNQ", B24=""), "", 'Project Summary'!R59)</f>
        <v/>
      </c>
      <c r="B24" s="34" t="str">
        <f>IF(OR('Ice Machines'!AO14="DNQ", 'Ice Machines'!AO14=""), "", 'Ice Machines'!T14)</f>
        <v/>
      </c>
      <c r="C24" s="34" t="str">
        <f>IF(B24="", "", 'Project Summary'!$C$10)</f>
        <v/>
      </c>
      <c r="D24" s="34" t="str">
        <f t="shared" si="0"/>
        <v/>
      </c>
      <c r="E24" s="34" t="str">
        <f>IF(B24="", "", CONCATENATE('Project Summary'!$C$7, " - ", 'Project Summary'!$C$10))</f>
        <v/>
      </c>
      <c r="F24" s="34" t="str">
        <f>IF(B24="", "", 'Project Summary'!$C$11)</f>
        <v/>
      </c>
      <c r="G24" s="34" t="str">
        <f>IF(B24="","",VLOOKUP(B24,'Project Summary'!$K$180:$L$200,2,FALSE))</f>
        <v/>
      </c>
      <c r="H24" s="34" t="str">
        <f>IF(B24="", "",'Project Summary'!P64)</f>
        <v/>
      </c>
      <c r="I24" s="36" t="str">
        <f>IF(B24="", "", Instructions!$L$2)</f>
        <v/>
      </c>
      <c r="J24" s="34" t="str">
        <f>IF(B24="", "", 'Ice Machines'!D14)</f>
        <v/>
      </c>
      <c r="K24" s="34" t="str">
        <f>IF(B24="", "", 'Ice Machines'!E14)</f>
        <v/>
      </c>
      <c r="L24" s="34" t="str">
        <f>IF(B24="", "", 'Ice Machines'!F14)</f>
        <v/>
      </c>
      <c r="M24" s="34" t="str">
        <f>IF(B24="", "", 'Ice Machines'!M14)</f>
        <v/>
      </c>
      <c r="N24" s="36" t="str">
        <f>IF(B24="", "", 'Ice Machines'!AO14)</f>
        <v/>
      </c>
      <c r="O24" s="37" t="str">
        <f>IF(B24="", "", 'Ice Machines'!AM14)</f>
        <v/>
      </c>
      <c r="P24" s="37" t="str">
        <f t="shared" si="1"/>
        <v/>
      </c>
      <c r="Q24" s="36" t="str">
        <f>IF(B24="", "", 'Ice Machines'!AN14)</f>
        <v/>
      </c>
      <c r="R24" s="143" t="str">
        <f>IF(B24="", "", 'Ice Machines'!S14)</f>
        <v/>
      </c>
      <c r="S24" s="38" t="str">
        <f>IF(B24="", "", 'Ice Machines'!$C$38)</f>
        <v/>
      </c>
      <c r="V24" s="34" t="str">
        <f>IF(B24="", "", 'Ice Machines'!I14)</f>
        <v/>
      </c>
      <c r="W24" s="34" t="str">
        <f>IF(B24="", "", 'Ice Machines'!K14)</f>
        <v/>
      </c>
    </row>
    <row r="25" spans="1:25">
      <c r="A25" s="34" t="str">
        <f>IF(OR('Ice Machines'!AO15="DNQ", B25=""), "", 'Project Summary'!R60)</f>
        <v/>
      </c>
      <c r="B25" s="34" t="str">
        <f>IF(OR('Ice Machines'!AO15="DNQ", 'Ice Machines'!AO15=""), "", 'Ice Machines'!T15)</f>
        <v/>
      </c>
      <c r="C25" s="34" t="str">
        <f>IF(B25="", "", 'Project Summary'!$C$10)</f>
        <v/>
      </c>
      <c r="D25" s="34" t="str">
        <f t="shared" si="0"/>
        <v/>
      </c>
      <c r="E25" s="34" t="str">
        <f>IF(B25="", "", CONCATENATE('Project Summary'!$C$7, " - ", 'Project Summary'!$C$10))</f>
        <v/>
      </c>
      <c r="F25" s="34" t="str">
        <f>IF(B25="", "", 'Project Summary'!$C$11)</f>
        <v/>
      </c>
      <c r="G25" s="34" t="str">
        <f>IF(B25="","",VLOOKUP(B25,'Project Summary'!$K$180:$L$200,2,FALSE))</f>
        <v/>
      </c>
      <c r="H25" s="34" t="str">
        <f>IF(B25="", "",'Project Summary'!P65)</f>
        <v/>
      </c>
      <c r="I25" s="36" t="str">
        <f>IF(B25="", "", Instructions!$L$2)</f>
        <v/>
      </c>
      <c r="J25" s="34" t="str">
        <f>IF(B25="", "", 'Ice Machines'!D15)</f>
        <v/>
      </c>
      <c r="K25" s="34" t="str">
        <f>IF(B25="", "", 'Ice Machines'!E15)</f>
        <v/>
      </c>
      <c r="L25" s="34" t="str">
        <f>IF(B25="", "", 'Ice Machines'!F15)</f>
        <v/>
      </c>
      <c r="M25" s="34" t="str">
        <f>IF(B25="", "", 'Ice Machines'!M15)</f>
        <v/>
      </c>
      <c r="N25" s="36" t="str">
        <f>IF(B25="", "", 'Ice Machines'!AO15)</f>
        <v/>
      </c>
      <c r="O25" s="37" t="str">
        <f>IF(B25="", "", 'Ice Machines'!AM15)</f>
        <v/>
      </c>
      <c r="P25" s="37" t="str">
        <f t="shared" si="1"/>
        <v/>
      </c>
      <c r="Q25" s="36" t="str">
        <f>IF(B25="", "", 'Ice Machines'!AN15)</f>
        <v/>
      </c>
      <c r="R25" s="143" t="str">
        <f>IF(B25="", "", 'Ice Machines'!S15)</f>
        <v/>
      </c>
      <c r="S25" s="38" t="str">
        <f>IF(B25="", "", 'Ice Machines'!$C$38)</f>
        <v/>
      </c>
      <c r="V25" s="34" t="str">
        <f>IF(B25="", "", 'Ice Machines'!I15)</f>
        <v/>
      </c>
      <c r="W25" s="34" t="str">
        <f>IF(B25="", "", 'Ice Machines'!K15)</f>
        <v/>
      </c>
    </row>
    <row r="26" spans="1:25">
      <c r="A26" s="34" t="str">
        <f>IF(B26="", "", 'Project Summary'!R61)</f>
        <v/>
      </c>
      <c r="B26" s="34" t="str">
        <f>IF('Night Covers'!O8="", "", "Refrigerated Case Covers")</f>
        <v/>
      </c>
      <c r="C26" s="34" t="str">
        <f>IF(B26="", "", 'Project Summary'!$C$10)</f>
        <v/>
      </c>
      <c r="D26" s="34" t="str">
        <f t="shared" si="0"/>
        <v/>
      </c>
      <c r="E26" s="34" t="str">
        <f>IF(B26="", "", CONCATENATE('Project Summary'!$C$7, " - ", 'Project Summary'!$C$10))</f>
        <v/>
      </c>
      <c r="F26" s="34" t="str">
        <f>IF(B26="", "", 'Project Summary'!$C$11)</f>
        <v/>
      </c>
      <c r="G26" s="34" t="str">
        <f>IF(B26="","",VLOOKUP(B26,'Project Summary'!$K$180:$L$200,2,FALSE))</f>
        <v/>
      </c>
      <c r="H26" s="34" t="str">
        <f>IF(B26="", "",'Project Summary'!P68)</f>
        <v/>
      </c>
      <c r="I26" s="36" t="str">
        <f>IF(B26="", "", Instructions!$L$2)</f>
        <v/>
      </c>
      <c r="J26" s="34" t="str">
        <f>IF(B26="", "", 'Night Covers'!D8)</f>
        <v/>
      </c>
      <c r="K26" s="34" t="str">
        <f>IF(B26="", "", 'Night Covers'!F8)</f>
        <v/>
      </c>
      <c r="L26" s="34" t="str">
        <f>IF(B26="", "", 'Night Covers'!G8)</f>
        <v/>
      </c>
      <c r="M26" s="34" t="str">
        <f>IF(B26="", "", 'Night Covers'!I8)</f>
        <v/>
      </c>
      <c r="N26" s="36" t="str">
        <f>IF(B26="", "", 'Night Covers'!O8)</f>
        <v/>
      </c>
      <c r="O26" s="37" t="str">
        <f>IF(B26="", "", 'Night Covers'!M8)</f>
        <v/>
      </c>
      <c r="P26" s="37" t="str">
        <f t="shared" si="1"/>
        <v/>
      </c>
      <c r="Q26" s="36" t="str">
        <f>IF(B26="", "", 'Night Covers'!N8)</f>
        <v/>
      </c>
      <c r="R26" s="143" t="str">
        <f>IF('Data Export'!J26="", "", 'Night Covers'!$F$35)</f>
        <v/>
      </c>
      <c r="S26" s="38" t="str">
        <f>IF(B26="", "", 'Night Covers'!$F$32)</f>
        <v/>
      </c>
      <c r="X26" s="34" t="str">
        <f>IF(B26="", "", 'Night Covers'!I8)</f>
        <v/>
      </c>
      <c r="Y26" s="36" t="str">
        <f>IF(B26="", "", 'Night Covers'!J8)</f>
        <v/>
      </c>
    </row>
    <row r="27" spans="1:25">
      <c r="A27" s="34" t="str">
        <f>IF(B27="", "", 'Project Summary'!R62)</f>
        <v/>
      </c>
      <c r="B27" s="34" t="str">
        <f>IF('Night Covers'!O9="", "", "Refrigerated Case Covers")</f>
        <v/>
      </c>
      <c r="C27" s="34" t="str">
        <f>IF(B27="", "", 'Project Summary'!$C$10)</f>
        <v/>
      </c>
      <c r="D27" s="34" t="str">
        <f t="shared" si="0"/>
        <v/>
      </c>
      <c r="E27" s="34" t="str">
        <f>IF(B27="", "", CONCATENATE('Project Summary'!$C$7, " - ", 'Project Summary'!$C$10))</f>
        <v/>
      </c>
      <c r="F27" s="34" t="str">
        <f>IF(B27="", "", 'Project Summary'!$C$11)</f>
        <v/>
      </c>
      <c r="G27" s="34" t="str">
        <f>IF(B27="","",VLOOKUP(B27,'Project Summary'!$K$180:$L$200,2,FALSE))</f>
        <v/>
      </c>
      <c r="H27" s="34" t="str">
        <f>IF(B27="", "",'Project Summary'!P69)</f>
        <v/>
      </c>
      <c r="I27" s="36" t="str">
        <f>IF(B27="", "", Instructions!$L$2)</f>
        <v/>
      </c>
      <c r="J27" s="34" t="str">
        <f>IF(B27="", "", 'Night Covers'!D9)</f>
        <v/>
      </c>
      <c r="K27" s="34" t="str">
        <f>IF(B27="", "", 'Night Covers'!F9)</f>
        <v/>
      </c>
      <c r="L27" s="34" t="str">
        <f>IF(B27="", "", 'Night Covers'!G9)</f>
        <v/>
      </c>
      <c r="M27" s="34" t="str">
        <f>IF(B27="", "", 'Night Covers'!I9)</f>
        <v/>
      </c>
      <c r="N27" s="36" t="str">
        <f>IF(B27="", "", 'Night Covers'!O9)</f>
        <v/>
      </c>
      <c r="O27" s="37" t="str">
        <f>IF(B27="", "", 'Night Covers'!M9)</f>
        <v/>
      </c>
      <c r="P27" s="37" t="str">
        <f t="shared" si="1"/>
        <v/>
      </c>
      <c r="Q27" s="36" t="str">
        <f>IF(B27="", "", 'Night Covers'!N9)</f>
        <v/>
      </c>
      <c r="R27" s="143" t="str">
        <f>IF('Data Export'!J27="", "", 'Night Covers'!$F$35)</f>
        <v/>
      </c>
      <c r="S27" s="38" t="str">
        <f>IF(B27="", "", 'Night Covers'!$F$32)</f>
        <v/>
      </c>
      <c r="X27" s="34" t="str">
        <f>IF(B27="", "", 'Night Covers'!I9)</f>
        <v/>
      </c>
      <c r="Y27" s="36" t="str">
        <f>IF(B27="", "", 'Night Covers'!J9)</f>
        <v/>
      </c>
    </row>
    <row r="28" spans="1:25">
      <c r="A28" s="34" t="str">
        <f>IF(B28="", "", 'Project Summary'!R63)</f>
        <v/>
      </c>
      <c r="B28" s="34" t="str">
        <f>IF('Night Covers'!O10="", "", "Refrigerated Case Covers")</f>
        <v/>
      </c>
      <c r="C28" s="34" t="str">
        <f>IF(B28="", "", 'Project Summary'!$C$10)</f>
        <v/>
      </c>
      <c r="D28" s="34" t="str">
        <f t="shared" si="0"/>
        <v/>
      </c>
      <c r="E28" s="34" t="str">
        <f>IF(B28="", "", CONCATENATE('Project Summary'!$C$7, " - ", 'Project Summary'!$C$10))</f>
        <v/>
      </c>
      <c r="F28" s="34" t="str">
        <f>IF(B28="", "", 'Project Summary'!$C$11)</f>
        <v/>
      </c>
      <c r="G28" s="34" t="str">
        <f>IF(B28="","",VLOOKUP(B28,'Project Summary'!$K$180:$L$200,2,FALSE))</f>
        <v/>
      </c>
      <c r="H28" s="34" t="str">
        <f>IF(B28="", "",'Project Summary'!P70)</f>
        <v/>
      </c>
      <c r="I28" s="36" t="str">
        <f>IF(B28="", "", Instructions!$L$2)</f>
        <v/>
      </c>
      <c r="J28" s="34" t="str">
        <f>IF(B28="", "", 'Night Covers'!D10)</f>
        <v/>
      </c>
      <c r="K28" s="34" t="str">
        <f>IF(B28="", "", 'Night Covers'!F10)</f>
        <v/>
      </c>
      <c r="L28" s="34" t="str">
        <f>IF(B28="", "", 'Night Covers'!G10)</f>
        <v/>
      </c>
      <c r="M28" s="34" t="str">
        <f>IF(B28="", "", 'Night Covers'!I10)</f>
        <v/>
      </c>
      <c r="N28" s="36" t="str">
        <f>IF(B28="", "", 'Night Covers'!O10)</f>
        <v/>
      </c>
      <c r="O28" s="37" t="str">
        <f>IF(B28="", "", 'Night Covers'!M10)</f>
        <v/>
      </c>
      <c r="P28" s="37" t="str">
        <f t="shared" si="1"/>
        <v/>
      </c>
      <c r="Q28" s="36" t="str">
        <f>IF(B28="", "", 'Night Covers'!N10)</f>
        <v/>
      </c>
      <c r="R28" s="143" t="str">
        <f>IF('Data Export'!J28="", "", 'Night Covers'!$F$35)</f>
        <v/>
      </c>
      <c r="S28" s="38" t="str">
        <f>IF(B28="", "", 'Night Covers'!$F$32)</f>
        <v/>
      </c>
      <c r="X28" s="34" t="str">
        <f>IF(B28="", "", 'Night Covers'!I10)</f>
        <v/>
      </c>
      <c r="Y28" s="36" t="str">
        <f>IF(B28="", "", 'Night Covers'!J10)</f>
        <v/>
      </c>
    </row>
    <row r="29" spans="1:25">
      <c r="A29" s="34" t="str">
        <f>IF(B29="", "", 'Project Summary'!R64)</f>
        <v/>
      </c>
      <c r="B29" s="34" t="str">
        <f>IF('Night Covers'!O11="", "", "Refrigerated Case Covers")</f>
        <v/>
      </c>
      <c r="C29" s="34" t="str">
        <f>IF(B29="", "", 'Project Summary'!$C$10)</f>
        <v/>
      </c>
      <c r="D29" s="34" t="str">
        <f t="shared" si="0"/>
        <v/>
      </c>
      <c r="E29" s="34" t="str">
        <f>IF(B29="", "", CONCATENATE('Project Summary'!$C$7, " - ", 'Project Summary'!$C$10))</f>
        <v/>
      </c>
      <c r="F29" s="34" t="str">
        <f>IF(B29="", "", 'Project Summary'!$C$11)</f>
        <v/>
      </c>
      <c r="G29" s="34" t="str">
        <f>IF(B29="","",VLOOKUP(B29,'Project Summary'!$K$180:$L$200,2,FALSE))</f>
        <v/>
      </c>
      <c r="H29" s="34" t="str">
        <f>IF(B29="", "",'Project Summary'!P71)</f>
        <v/>
      </c>
      <c r="I29" s="36" t="str">
        <f>IF(B29="", "", Instructions!$L$2)</f>
        <v/>
      </c>
      <c r="J29" s="34" t="str">
        <f>IF(B29="", "", 'Night Covers'!D11)</f>
        <v/>
      </c>
      <c r="K29" s="34" t="str">
        <f>IF(B29="", "", 'Night Covers'!F11)</f>
        <v/>
      </c>
      <c r="L29" s="34" t="str">
        <f>IF(B29="", "", 'Night Covers'!G11)</f>
        <v/>
      </c>
      <c r="M29" s="34" t="str">
        <f>IF(B29="", "", 'Night Covers'!I11)</f>
        <v/>
      </c>
      <c r="N29" s="36" t="str">
        <f>IF(B29="", "", 'Night Covers'!O11)</f>
        <v/>
      </c>
      <c r="O29" s="37" t="str">
        <f>IF(B29="", "", 'Night Covers'!M11)</f>
        <v/>
      </c>
      <c r="P29" s="37" t="str">
        <f t="shared" si="1"/>
        <v/>
      </c>
      <c r="Q29" s="36" t="str">
        <f>IF(B29="", "", 'Night Covers'!N11)</f>
        <v/>
      </c>
      <c r="R29" s="143" t="str">
        <f>IF('Data Export'!J29="", "", 'Night Covers'!$F$35)</f>
        <v/>
      </c>
      <c r="S29" s="38" t="str">
        <f>IF(B29="", "", 'Night Covers'!$F$32)</f>
        <v/>
      </c>
      <c r="X29" s="34" t="str">
        <f>IF(B29="", "", 'Night Covers'!I11)</f>
        <v/>
      </c>
      <c r="Y29" s="36" t="str">
        <f>IF(B29="", "", 'Night Covers'!J11)</f>
        <v/>
      </c>
    </row>
    <row r="30" spans="1:25">
      <c r="A30" s="34" t="str">
        <f>IF(B30="", "", 'Project Summary'!R65)</f>
        <v/>
      </c>
      <c r="B30" s="34" t="str">
        <f>IF('Night Covers'!O12="", "", "Refrigerated Case Covers")</f>
        <v/>
      </c>
      <c r="C30" s="34" t="str">
        <f>IF(B30="", "", 'Project Summary'!$C$10)</f>
        <v/>
      </c>
      <c r="D30" s="34" t="str">
        <f t="shared" si="0"/>
        <v/>
      </c>
      <c r="E30" s="34" t="str">
        <f>IF(B30="", "", CONCATENATE('Project Summary'!$C$7, " - ", 'Project Summary'!$C$10))</f>
        <v/>
      </c>
      <c r="F30" s="34" t="str">
        <f>IF(B30="", "", 'Project Summary'!$C$11)</f>
        <v/>
      </c>
      <c r="G30" s="34" t="str">
        <f>IF(B30="","",VLOOKUP(B30,'Project Summary'!$K$180:$L$200,2,FALSE))</f>
        <v/>
      </c>
      <c r="H30" s="34" t="str">
        <f>IF(B30="", "",'Project Summary'!P72)</f>
        <v/>
      </c>
      <c r="I30" s="36" t="str">
        <f>IF(B30="", "", Instructions!$L$2)</f>
        <v/>
      </c>
      <c r="J30" s="34" t="str">
        <f>IF(B30="", "", 'Night Covers'!D12)</f>
        <v/>
      </c>
      <c r="K30" s="34" t="str">
        <f>IF(B30="", "", 'Night Covers'!F12)</f>
        <v/>
      </c>
      <c r="L30" s="34" t="str">
        <f>IF(B30="", "", 'Night Covers'!G12)</f>
        <v/>
      </c>
      <c r="M30" s="34" t="str">
        <f>IF(B30="", "", 'Night Covers'!I12)</f>
        <v/>
      </c>
      <c r="N30" s="36" t="str">
        <f>IF(B30="", "", 'Night Covers'!O12)</f>
        <v/>
      </c>
      <c r="O30" s="37" t="str">
        <f>IF(B30="", "", 'Night Covers'!M12)</f>
        <v/>
      </c>
      <c r="P30" s="37" t="str">
        <f t="shared" si="1"/>
        <v/>
      </c>
      <c r="Q30" s="36" t="str">
        <f>IF(B30="", "", 'Night Covers'!N12)</f>
        <v/>
      </c>
      <c r="R30" s="143" t="str">
        <f>IF('Data Export'!J30="", "", 'Night Covers'!$F$35)</f>
        <v/>
      </c>
      <c r="S30" s="38" t="str">
        <f>IF(B30="", "", 'Night Covers'!$F$32)</f>
        <v/>
      </c>
      <c r="X30" s="34" t="str">
        <f>IF(B30="", "", 'Night Covers'!I12)</f>
        <v/>
      </c>
      <c r="Y30" s="36" t="str">
        <f>IF(B30="", "", 'Night Covers'!J12)</f>
        <v/>
      </c>
    </row>
    <row r="31" spans="1:25">
      <c r="A31" s="34" t="str">
        <f>IF(B31="", "", 'Project Summary'!R66)</f>
        <v/>
      </c>
      <c r="B31" s="34" t="str">
        <f>IF('Night Covers'!O13="", "", "Refrigerated Case Covers")</f>
        <v/>
      </c>
      <c r="C31" s="34" t="str">
        <f>IF(B31="", "", 'Project Summary'!$C$10)</f>
        <v/>
      </c>
      <c r="D31" s="34" t="str">
        <f t="shared" si="0"/>
        <v/>
      </c>
      <c r="E31" s="34" t="str">
        <f>IF(B31="", "", CONCATENATE('Project Summary'!$C$7, " - ", 'Project Summary'!$C$10))</f>
        <v/>
      </c>
      <c r="F31" s="34" t="str">
        <f>IF(B31="", "", 'Project Summary'!$C$11)</f>
        <v/>
      </c>
      <c r="G31" s="34" t="str">
        <f>IF(B31="","",VLOOKUP(B31,'Project Summary'!$K$180:$L$200,2,FALSE))</f>
        <v/>
      </c>
      <c r="H31" s="34" t="str">
        <f>IF(B31="", "",'Project Summary'!P73)</f>
        <v/>
      </c>
      <c r="I31" s="36" t="str">
        <f>IF(B31="", "", Instructions!$L$2)</f>
        <v/>
      </c>
      <c r="J31" s="34" t="str">
        <f>IF(B31="", "", 'Night Covers'!D13)</f>
        <v/>
      </c>
      <c r="K31" s="34" t="str">
        <f>IF(B31="", "", 'Night Covers'!F13)</f>
        <v/>
      </c>
      <c r="L31" s="34" t="str">
        <f>IF(B31="", "", 'Night Covers'!G13)</f>
        <v/>
      </c>
      <c r="M31" s="34" t="str">
        <f>IF(B31="", "", 'Night Covers'!I13)</f>
        <v/>
      </c>
      <c r="N31" s="36" t="str">
        <f>IF(B31="", "", 'Night Covers'!O13)</f>
        <v/>
      </c>
      <c r="O31" s="37" t="str">
        <f>IF(B31="", "", 'Night Covers'!M13)</f>
        <v/>
      </c>
      <c r="P31" s="37" t="str">
        <f t="shared" si="1"/>
        <v/>
      </c>
      <c r="Q31" s="36" t="str">
        <f>IF(B31="", "", 'Night Covers'!N13)</f>
        <v/>
      </c>
      <c r="R31" s="143" t="str">
        <f>IF('Data Export'!J31="", "", 'Night Covers'!$F$35)</f>
        <v/>
      </c>
      <c r="S31" s="38" t="str">
        <f>IF(B31="", "", 'Night Covers'!$F$32)</f>
        <v/>
      </c>
      <c r="X31" s="34" t="str">
        <f>IF(B31="", "", 'Night Covers'!I13)</f>
        <v/>
      </c>
      <c r="Y31" s="36" t="str">
        <f>IF(B31="", "", 'Night Covers'!J13)</f>
        <v/>
      </c>
    </row>
    <row r="32" spans="1:25">
      <c r="A32" s="34" t="str">
        <f>IF(B32="", "", 'Project Summary'!R67)</f>
        <v/>
      </c>
      <c r="B32" s="34" t="str">
        <f>IF('Night Covers'!O14="", "", "Refrigerated Case Covers")</f>
        <v/>
      </c>
      <c r="C32" s="34" t="str">
        <f>IF(B32="", "", 'Project Summary'!$C$10)</f>
        <v/>
      </c>
      <c r="D32" s="34" t="str">
        <f t="shared" si="0"/>
        <v/>
      </c>
      <c r="E32" s="34" t="str">
        <f>IF(B32="", "", CONCATENATE('Project Summary'!$C$7, " - ", 'Project Summary'!$C$10))</f>
        <v/>
      </c>
      <c r="F32" s="34" t="str">
        <f>IF(B32="", "", 'Project Summary'!$C$11)</f>
        <v/>
      </c>
      <c r="G32" s="34" t="str">
        <f>IF(B32="","",VLOOKUP(B32,'Project Summary'!$K$180:$L$200,2,FALSE))</f>
        <v/>
      </c>
      <c r="H32" s="34" t="str">
        <f>IF(B32="", "",'Project Summary'!P74)</f>
        <v/>
      </c>
      <c r="I32" s="36" t="str">
        <f>IF(B32="", "", Instructions!$L$2)</f>
        <v/>
      </c>
      <c r="J32" s="34" t="str">
        <f>IF(B32="", "", 'Night Covers'!D14)</f>
        <v/>
      </c>
      <c r="K32" s="34" t="str">
        <f>IF(B32="", "", 'Night Covers'!F14)</f>
        <v/>
      </c>
      <c r="L32" s="34" t="str">
        <f>IF(B32="", "", 'Night Covers'!G14)</f>
        <v/>
      </c>
      <c r="M32" s="34" t="str">
        <f>IF(B32="", "", 'Night Covers'!I14)</f>
        <v/>
      </c>
      <c r="N32" s="36" t="str">
        <f>IF(B32="", "", 'Night Covers'!O14)</f>
        <v/>
      </c>
      <c r="O32" s="37" t="str">
        <f>IF(B32="", "", 'Night Covers'!M14)</f>
        <v/>
      </c>
      <c r="P32" s="37" t="str">
        <f t="shared" si="1"/>
        <v/>
      </c>
      <c r="Q32" s="36" t="str">
        <f>IF(B32="", "", 'Night Covers'!N14)</f>
        <v/>
      </c>
      <c r="R32" s="143" t="str">
        <f>IF('Data Export'!J32="", "", 'Night Covers'!$F$35)</f>
        <v/>
      </c>
      <c r="S32" s="38" t="str">
        <f>IF(B32="", "", 'Night Covers'!$F$32)</f>
        <v/>
      </c>
      <c r="X32" s="34" t="str">
        <f>IF(B32="", "", 'Night Covers'!I14)</f>
        <v/>
      </c>
      <c r="Y32" s="36" t="str">
        <f>IF(B32="", "", 'Night Covers'!J14)</f>
        <v/>
      </c>
    </row>
    <row r="33" spans="1:27">
      <c r="A33" s="34" t="str">
        <f>IF(B33="", "", 'Project Summary'!R68)</f>
        <v/>
      </c>
      <c r="B33" s="34" t="str">
        <f>IF('Night Covers'!O15="", "", "Refrigerated Case Covers")</f>
        <v/>
      </c>
      <c r="C33" s="34" t="str">
        <f>IF(B33="", "", 'Project Summary'!$C$10)</f>
        <v/>
      </c>
      <c r="D33" s="34" t="str">
        <f t="shared" si="0"/>
        <v/>
      </c>
      <c r="E33" s="34" t="str">
        <f>IF(B33="", "", CONCATENATE('Project Summary'!$C$7, " - ", 'Project Summary'!$C$10))</f>
        <v/>
      </c>
      <c r="F33" s="34" t="str">
        <f>IF(B33="", "", 'Project Summary'!$C$11)</f>
        <v/>
      </c>
      <c r="G33" s="34" t="str">
        <f>IF(B33="","",VLOOKUP(B33,'Project Summary'!$K$180:$L$200,2,FALSE))</f>
        <v/>
      </c>
      <c r="H33" s="34" t="str">
        <f>IF(B33="", "",'Project Summary'!P75)</f>
        <v/>
      </c>
      <c r="I33" s="36" t="str">
        <f>IF(B33="", "", Instructions!$L$2)</f>
        <v/>
      </c>
      <c r="J33" s="34" t="str">
        <f>IF(B33="", "", 'Night Covers'!D15)</f>
        <v/>
      </c>
      <c r="K33" s="34" t="str">
        <f>IF(B33="", "", 'Night Covers'!F15)</f>
        <v/>
      </c>
      <c r="L33" s="34" t="str">
        <f>IF(B33="", "", 'Night Covers'!G15)</f>
        <v/>
      </c>
      <c r="M33" s="34" t="str">
        <f>IF(B33="", "", 'Night Covers'!I15)</f>
        <v/>
      </c>
      <c r="N33" s="36" t="str">
        <f>IF(B33="", "", 'Night Covers'!O15)</f>
        <v/>
      </c>
      <c r="O33" s="37" t="str">
        <f>IF(B33="", "", 'Night Covers'!M15)</f>
        <v/>
      </c>
      <c r="P33" s="37" t="str">
        <f t="shared" si="1"/>
        <v/>
      </c>
      <c r="Q33" s="36" t="str">
        <f>IF(B33="", "", 'Night Covers'!N15)</f>
        <v/>
      </c>
      <c r="R33" s="143" t="str">
        <f>IF('Data Export'!J33="", "", 'Night Covers'!$F$35)</f>
        <v/>
      </c>
      <c r="S33" s="38" t="str">
        <f>IF(B33="", "", 'Night Covers'!$F$32)</f>
        <v/>
      </c>
      <c r="X33" s="34" t="str">
        <f>IF(B33="", "", 'Night Covers'!I15)</f>
        <v/>
      </c>
      <c r="Y33" s="36" t="str">
        <f>IF(B33="", "", 'Night Covers'!J15)</f>
        <v/>
      </c>
    </row>
    <row r="34" spans="1:27">
      <c r="A34" s="34" t="str">
        <f>IF(B34="", "", 'Project Summary'!R69)</f>
        <v/>
      </c>
      <c r="B34" s="34" t="str">
        <f>IF('Strip Curtains'!M8="", "", "Strip Curtains")</f>
        <v/>
      </c>
      <c r="C34" s="34" t="str">
        <f>IF(B34="", "", 'Project Summary'!$C$10)</f>
        <v/>
      </c>
      <c r="D34" s="34" t="str">
        <f t="shared" si="0"/>
        <v/>
      </c>
      <c r="E34" s="34" t="str">
        <f>IF(B34="", "", CONCATENATE('Project Summary'!$C$7, " - ", 'Project Summary'!$C$10))</f>
        <v/>
      </c>
      <c r="F34" s="34" t="str">
        <f>IF(B34="", "", 'Project Summary'!$C$11)</f>
        <v/>
      </c>
      <c r="G34" s="34" t="str">
        <f>IF(B34="","",VLOOKUP(B34,'Project Summary'!$K$180:$L$200,2,FALSE))</f>
        <v/>
      </c>
      <c r="H34" s="34" t="str">
        <f>IF(B34="", "",'Project Summary'!P78)</f>
        <v/>
      </c>
      <c r="I34" s="36" t="str">
        <f>IF(B34="", "", Instructions!$L$2)</f>
        <v/>
      </c>
      <c r="J34" s="34" t="str">
        <f>IF(B34="", "", 'Strip Curtains'!D8)</f>
        <v/>
      </c>
      <c r="K34" s="34" t="str">
        <f>IF(B34="", "", 'Strip Curtains'!E8)</f>
        <v/>
      </c>
      <c r="L34" s="34" t="str">
        <f>IF(B34="", "", 'Strip Curtains'!F8)</f>
        <v/>
      </c>
      <c r="M34" s="34" t="str">
        <f>IF(B34="", "", 'Strip Curtains'!I8)</f>
        <v/>
      </c>
      <c r="N34" s="36" t="str">
        <f>IF(B34="", "", 'Strip Curtains'!M8)</f>
        <v/>
      </c>
      <c r="O34" s="37" t="str">
        <f>IF(B34="", "", 'Strip Curtains'!K8)</f>
        <v/>
      </c>
      <c r="P34" s="37" t="str">
        <f t="shared" si="1"/>
        <v/>
      </c>
      <c r="Q34" s="36" t="str">
        <f>IF(B34="", "", 'Strip Curtains'!L8)</f>
        <v/>
      </c>
      <c r="R34" s="143" t="str">
        <f>IF('Data Export'!J34="", "", 'Strip Curtains'!$K$37)</f>
        <v/>
      </c>
      <c r="S34" s="38" t="str">
        <f>IF(B34="", "", 'Strip Curtains'!$K$34)</f>
        <v/>
      </c>
      <c r="V34" s="34" t="str">
        <f>IF(B34="", "", 'Strip Curtains'!G8)</f>
        <v/>
      </c>
      <c r="Z34" s="34" t="str">
        <f>IF(B34="", "", 'Strip Curtains'!H8)</f>
        <v/>
      </c>
      <c r="AA34" s="145" t="str">
        <f>IF(B34="", "", 'Strip Curtains'!I8)</f>
        <v/>
      </c>
    </row>
    <row r="35" spans="1:27">
      <c r="A35" s="34" t="str">
        <f>IF(B35="", "", 'Project Summary'!R70)</f>
        <v/>
      </c>
      <c r="B35" s="34" t="str">
        <f>IF('Strip Curtains'!M9="", "", "Strip Curtains")</f>
        <v/>
      </c>
      <c r="C35" s="34" t="str">
        <f>IF(B35="", "", 'Project Summary'!$C$10)</f>
        <v/>
      </c>
      <c r="D35" s="34" t="str">
        <f t="shared" si="0"/>
        <v/>
      </c>
      <c r="E35" s="34" t="str">
        <f>IF(B35="", "", CONCATENATE('Project Summary'!$C$7, " - ", 'Project Summary'!$C$10))</f>
        <v/>
      </c>
      <c r="F35" s="34" t="str">
        <f>IF(B35="", "", 'Project Summary'!$C$11)</f>
        <v/>
      </c>
      <c r="G35" s="34" t="str">
        <f>IF(B35="","",VLOOKUP(B35,'Project Summary'!$K$180:$L$200,2,FALSE))</f>
        <v/>
      </c>
      <c r="H35" s="34" t="str">
        <f>IF(B35="", "",'Project Summary'!P79)</f>
        <v/>
      </c>
      <c r="I35" s="36" t="str">
        <f>IF(B35="", "", Instructions!$L$2)</f>
        <v/>
      </c>
      <c r="J35" s="34" t="str">
        <f>IF(B35="", "", 'Strip Curtains'!D9)</f>
        <v/>
      </c>
      <c r="K35" s="34" t="str">
        <f>IF(B35="", "", 'Strip Curtains'!E9)</f>
        <v/>
      </c>
      <c r="L35" s="34" t="str">
        <f>IF(B35="", "", 'Strip Curtains'!F9)</f>
        <v/>
      </c>
      <c r="M35" s="34" t="str">
        <f>IF(B35="", "", 'Strip Curtains'!I9)</f>
        <v/>
      </c>
      <c r="N35" s="36" t="str">
        <f>IF(B35="", "", 'Strip Curtains'!M9)</f>
        <v/>
      </c>
      <c r="O35" s="37" t="str">
        <f>IF(B35="", "", 'Strip Curtains'!K9)</f>
        <v/>
      </c>
      <c r="P35" s="37" t="str">
        <f t="shared" si="1"/>
        <v/>
      </c>
      <c r="Q35" s="36" t="str">
        <f>IF(B35="", "", 'Strip Curtains'!L9)</f>
        <v/>
      </c>
      <c r="R35" s="143" t="str">
        <f>IF('Data Export'!J35="", "", 'Strip Curtains'!$K$37)</f>
        <v/>
      </c>
      <c r="S35" s="38" t="str">
        <f>IF(B35="", "", 'Strip Curtains'!$K$34)</f>
        <v/>
      </c>
      <c r="V35" s="34" t="str">
        <f>IF(B35="", "", 'Strip Curtains'!G9)</f>
        <v/>
      </c>
      <c r="Z35" s="34" t="str">
        <f>IF(B35="", "", 'Strip Curtains'!H9)</f>
        <v/>
      </c>
      <c r="AA35" s="145" t="str">
        <f>IF(B35="", "", 'Strip Curtains'!I9)</f>
        <v/>
      </c>
    </row>
    <row r="36" spans="1:27">
      <c r="A36" s="34" t="str">
        <f>IF(B36="", "", 'Project Summary'!R71)</f>
        <v/>
      </c>
      <c r="B36" s="34" t="str">
        <f>IF('Strip Curtains'!M10="", "", "Strip Curtains")</f>
        <v/>
      </c>
      <c r="C36" s="34" t="str">
        <f>IF(B36="", "", 'Project Summary'!$C$10)</f>
        <v/>
      </c>
      <c r="D36" s="34" t="str">
        <f t="shared" si="0"/>
        <v/>
      </c>
      <c r="E36" s="34" t="str">
        <f>IF(B36="", "", CONCATENATE('Project Summary'!$C$7, " - ", 'Project Summary'!$C$10))</f>
        <v/>
      </c>
      <c r="F36" s="34" t="str">
        <f>IF(B36="", "", 'Project Summary'!$C$11)</f>
        <v/>
      </c>
      <c r="G36" s="34" t="str">
        <f>IF(B36="","",VLOOKUP(B36,'Project Summary'!$K$180:$L$200,2,FALSE))</f>
        <v/>
      </c>
      <c r="H36" s="34" t="str">
        <f>IF(B36="", "",'Project Summary'!P80)</f>
        <v/>
      </c>
      <c r="I36" s="36" t="str">
        <f>IF(B36="", "", Instructions!$L$2)</f>
        <v/>
      </c>
      <c r="J36" s="34" t="str">
        <f>IF(B36="", "", 'Strip Curtains'!D10)</f>
        <v/>
      </c>
      <c r="K36" s="34" t="str">
        <f>IF(B36="", "", 'Strip Curtains'!E10)</f>
        <v/>
      </c>
      <c r="L36" s="34" t="str">
        <f>IF(B36="", "", 'Strip Curtains'!F10)</f>
        <v/>
      </c>
      <c r="M36" s="34" t="str">
        <f>IF(B36="", "", 'Strip Curtains'!I10)</f>
        <v/>
      </c>
      <c r="N36" s="36" t="str">
        <f>IF(B36="", "", 'Strip Curtains'!M10)</f>
        <v/>
      </c>
      <c r="O36" s="37" t="str">
        <f>IF(B36="", "", 'Strip Curtains'!K10)</f>
        <v/>
      </c>
      <c r="P36" s="37" t="str">
        <f t="shared" si="1"/>
        <v/>
      </c>
      <c r="Q36" s="36" t="str">
        <f>IF(B36="", "", 'Strip Curtains'!L10)</f>
        <v/>
      </c>
      <c r="R36" s="143" t="str">
        <f>IF('Data Export'!J36="", "", 'Strip Curtains'!$K$37)</f>
        <v/>
      </c>
      <c r="S36" s="38" t="str">
        <f>IF(B36="", "", 'Strip Curtains'!$K$34)</f>
        <v/>
      </c>
      <c r="V36" s="34" t="str">
        <f>IF(B36="", "", 'Strip Curtains'!G10)</f>
        <v/>
      </c>
      <c r="Z36" s="34" t="str">
        <f>IF(B36="", "", 'Strip Curtains'!H10)</f>
        <v/>
      </c>
      <c r="AA36" s="145" t="str">
        <f>IF(B36="", "", 'Strip Curtains'!I10)</f>
        <v/>
      </c>
    </row>
    <row r="37" spans="1:27">
      <c r="A37" s="34" t="str">
        <f>IF(B37="", "", 'Project Summary'!R72)</f>
        <v/>
      </c>
      <c r="B37" s="34" t="str">
        <f>IF('Strip Curtains'!M11="", "", "Strip Curtains")</f>
        <v/>
      </c>
      <c r="C37" s="34" t="str">
        <f>IF(B37="", "", 'Project Summary'!$C$10)</f>
        <v/>
      </c>
      <c r="D37" s="34" t="str">
        <f t="shared" si="0"/>
        <v/>
      </c>
      <c r="E37" s="34" t="str">
        <f>IF(B37="", "", CONCATENATE('Project Summary'!$C$7, " - ", 'Project Summary'!$C$10))</f>
        <v/>
      </c>
      <c r="F37" s="34" t="str">
        <f>IF(B37="", "", 'Project Summary'!$C$11)</f>
        <v/>
      </c>
      <c r="G37" s="34" t="str">
        <f>IF(B37="","",VLOOKUP(B37,'Project Summary'!$K$180:$L$200,2,FALSE))</f>
        <v/>
      </c>
      <c r="H37" s="34" t="str">
        <f>IF(B37="", "",'Project Summary'!P81)</f>
        <v/>
      </c>
      <c r="I37" s="36" t="str">
        <f>IF(B37="", "", Instructions!$L$2)</f>
        <v/>
      </c>
      <c r="J37" s="34" t="str">
        <f>IF(B37="", "", 'Strip Curtains'!D11)</f>
        <v/>
      </c>
      <c r="K37" s="34" t="str">
        <f>IF(B37="", "", 'Strip Curtains'!E11)</f>
        <v/>
      </c>
      <c r="L37" s="34" t="str">
        <f>IF(B37="", "", 'Strip Curtains'!F11)</f>
        <v/>
      </c>
      <c r="M37" s="34" t="str">
        <f>IF(B37="", "", 'Strip Curtains'!I11)</f>
        <v/>
      </c>
      <c r="N37" s="36" t="str">
        <f>IF(B37="", "", 'Strip Curtains'!M11)</f>
        <v/>
      </c>
      <c r="O37" s="37" t="str">
        <f>IF(B37="", "", 'Strip Curtains'!K11)</f>
        <v/>
      </c>
      <c r="P37" s="37" t="str">
        <f t="shared" si="1"/>
        <v/>
      </c>
      <c r="Q37" s="36" t="str">
        <f>IF(B37="", "", 'Strip Curtains'!L11)</f>
        <v/>
      </c>
      <c r="R37" s="143" t="str">
        <f>IF('Data Export'!J37="", "", 'Strip Curtains'!$K$37)</f>
        <v/>
      </c>
      <c r="S37" s="38" t="str">
        <f>IF(B37="", "", 'Strip Curtains'!$K$34)</f>
        <v/>
      </c>
      <c r="V37" s="34" t="str">
        <f>IF(B37="", "", 'Strip Curtains'!G11)</f>
        <v/>
      </c>
      <c r="Z37" s="34" t="str">
        <f>IF(B37="", "", 'Strip Curtains'!H11)</f>
        <v/>
      </c>
      <c r="AA37" s="145" t="str">
        <f>IF(B37="", "", 'Strip Curtains'!I11)</f>
        <v/>
      </c>
    </row>
    <row r="38" spans="1:27">
      <c r="A38" s="34" t="str">
        <f>IF(B38="", "", 'Project Summary'!R73)</f>
        <v/>
      </c>
      <c r="B38" s="34" t="str">
        <f>IF('Strip Curtains'!M12="", "", "Strip Curtains")</f>
        <v/>
      </c>
      <c r="C38" s="34" t="str">
        <f>IF(B38="", "", 'Project Summary'!$C$10)</f>
        <v/>
      </c>
      <c r="D38" s="34" t="str">
        <f t="shared" si="0"/>
        <v/>
      </c>
      <c r="E38" s="34" t="str">
        <f>IF(B38="", "", CONCATENATE('Project Summary'!$C$7, " - ", 'Project Summary'!$C$10))</f>
        <v/>
      </c>
      <c r="F38" s="34" t="str">
        <f>IF(B38="", "", 'Project Summary'!$C$11)</f>
        <v/>
      </c>
      <c r="G38" s="34" t="str">
        <f>IF(B38="","",VLOOKUP(B38,'Project Summary'!$K$180:$L$200,2,FALSE))</f>
        <v/>
      </c>
      <c r="H38" s="34" t="str">
        <f>IF(B38="", "",'Project Summary'!P82)</f>
        <v/>
      </c>
      <c r="I38" s="36" t="str">
        <f>IF(B38="", "", Instructions!$L$2)</f>
        <v/>
      </c>
      <c r="J38" s="34" t="str">
        <f>IF(B38="", "", 'Strip Curtains'!D12)</f>
        <v/>
      </c>
      <c r="K38" s="34" t="str">
        <f>IF(B38="", "", 'Strip Curtains'!E12)</f>
        <v/>
      </c>
      <c r="L38" s="34" t="str">
        <f>IF(B38="", "", 'Strip Curtains'!F12)</f>
        <v/>
      </c>
      <c r="M38" s="34" t="str">
        <f>IF(B38="", "", 'Strip Curtains'!I12)</f>
        <v/>
      </c>
      <c r="N38" s="36" t="str">
        <f>IF(B38="", "", 'Strip Curtains'!M12)</f>
        <v/>
      </c>
      <c r="O38" s="37" t="str">
        <f>IF(B38="", "", 'Strip Curtains'!K12)</f>
        <v/>
      </c>
      <c r="P38" s="37" t="str">
        <f t="shared" si="1"/>
        <v/>
      </c>
      <c r="Q38" s="36" t="str">
        <f>IF(B38="", "", 'Strip Curtains'!L12)</f>
        <v/>
      </c>
      <c r="R38" s="143" t="str">
        <f>IF('Data Export'!J38="", "", 'Strip Curtains'!$K$37)</f>
        <v/>
      </c>
      <c r="S38" s="38" t="str">
        <f>IF(B38="", "", 'Strip Curtains'!$K$34)</f>
        <v/>
      </c>
      <c r="V38" s="34" t="str">
        <f>IF(B38="", "", 'Strip Curtains'!G12)</f>
        <v/>
      </c>
      <c r="Z38" s="34" t="str">
        <f>IF(B38="", "", 'Strip Curtains'!H12)</f>
        <v/>
      </c>
      <c r="AA38" s="145" t="str">
        <f>IF(B38="", "", 'Strip Curtains'!I12)</f>
        <v/>
      </c>
    </row>
    <row r="39" spans="1:27">
      <c r="A39" s="34" t="str">
        <f>IF(B39="", "", 'Project Summary'!R74)</f>
        <v/>
      </c>
      <c r="B39" s="34" t="str">
        <f>IF('Strip Curtains'!M13="", "", "Strip Curtains")</f>
        <v/>
      </c>
      <c r="C39" s="34" t="str">
        <f>IF(B39="", "", 'Project Summary'!$C$10)</f>
        <v/>
      </c>
      <c r="D39" s="34" t="str">
        <f t="shared" si="0"/>
        <v/>
      </c>
      <c r="E39" s="34" t="str">
        <f>IF(B39="", "", CONCATENATE('Project Summary'!$C$7, " - ", 'Project Summary'!$C$10))</f>
        <v/>
      </c>
      <c r="F39" s="34" t="str">
        <f>IF(B39="", "", 'Project Summary'!$C$11)</f>
        <v/>
      </c>
      <c r="G39" s="34" t="str">
        <f>IF(B39="","",VLOOKUP(B39,'Project Summary'!$K$180:$L$200,2,FALSE))</f>
        <v/>
      </c>
      <c r="H39" s="34" t="str">
        <f>IF(B39="", "",'Project Summary'!P83)</f>
        <v/>
      </c>
      <c r="I39" s="36" t="str">
        <f>IF(B39="", "", Instructions!$L$2)</f>
        <v/>
      </c>
      <c r="J39" s="34" t="str">
        <f>IF(B39="", "", 'Strip Curtains'!D13)</f>
        <v/>
      </c>
      <c r="K39" s="34" t="str">
        <f>IF(B39="", "", 'Strip Curtains'!E13)</f>
        <v/>
      </c>
      <c r="L39" s="34" t="str">
        <f>IF(B39="", "", 'Strip Curtains'!F13)</f>
        <v/>
      </c>
      <c r="M39" s="34" t="str">
        <f>IF(B39="", "", 'Strip Curtains'!I13)</f>
        <v/>
      </c>
      <c r="N39" s="36" t="str">
        <f>IF(B39="", "", 'Strip Curtains'!M13)</f>
        <v/>
      </c>
      <c r="O39" s="37" t="str">
        <f>IF(B39="", "", 'Strip Curtains'!K13)</f>
        <v/>
      </c>
      <c r="P39" s="37" t="str">
        <f t="shared" si="1"/>
        <v/>
      </c>
      <c r="Q39" s="36" t="str">
        <f>IF(B39="", "", 'Strip Curtains'!L13)</f>
        <v/>
      </c>
      <c r="R39" s="143" t="str">
        <f>IF('Data Export'!J39="", "", 'Strip Curtains'!$K$37)</f>
        <v/>
      </c>
      <c r="S39" s="38" t="str">
        <f>IF(B39="", "", 'Strip Curtains'!$K$34)</f>
        <v/>
      </c>
      <c r="V39" s="34" t="str">
        <f>IF(B39="", "", 'Strip Curtains'!G13)</f>
        <v/>
      </c>
      <c r="Z39" s="34" t="str">
        <f>IF(B39="", "", 'Strip Curtains'!H13)</f>
        <v/>
      </c>
      <c r="AA39" s="145" t="str">
        <f>IF(B39="", "", 'Strip Curtains'!I13)</f>
        <v/>
      </c>
    </row>
    <row r="40" spans="1:27">
      <c r="A40" s="34" t="str">
        <f>IF(B40="", "", 'Project Summary'!R75)</f>
        <v/>
      </c>
      <c r="B40" s="34" t="str">
        <f>IF('Strip Curtains'!M14="", "", "Strip Curtains")</f>
        <v/>
      </c>
      <c r="C40" s="34" t="str">
        <f>IF(B40="", "", 'Project Summary'!$C$10)</f>
        <v/>
      </c>
      <c r="D40" s="34" t="str">
        <f t="shared" si="0"/>
        <v/>
      </c>
      <c r="E40" s="34" t="str">
        <f>IF(B40="", "", CONCATENATE('Project Summary'!$C$7, " - ", 'Project Summary'!$C$10))</f>
        <v/>
      </c>
      <c r="F40" s="34" t="str">
        <f>IF(B40="", "", 'Project Summary'!$C$11)</f>
        <v/>
      </c>
      <c r="G40" s="34" t="str">
        <f>IF(B40="","",VLOOKUP(B40,'Project Summary'!$K$180:$L$200,2,FALSE))</f>
        <v/>
      </c>
      <c r="H40" s="34" t="str">
        <f>IF(B40="", "",'Project Summary'!P84)</f>
        <v/>
      </c>
      <c r="I40" s="36" t="str">
        <f>IF(B40="", "", Instructions!$L$2)</f>
        <v/>
      </c>
      <c r="J40" s="34" t="str">
        <f>IF(B40="", "", 'Strip Curtains'!D14)</f>
        <v/>
      </c>
      <c r="K40" s="34" t="str">
        <f>IF(B40="", "", 'Strip Curtains'!E14)</f>
        <v/>
      </c>
      <c r="L40" s="34" t="str">
        <f>IF(B40="", "", 'Strip Curtains'!F14)</f>
        <v/>
      </c>
      <c r="M40" s="34" t="str">
        <f>IF(B40="", "", 'Strip Curtains'!I14)</f>
        <v/>
      </c>
      <c r="N40" s="36" t="str">
        <f>IF(B40="", "", 'Strip Curtains'!M14)</f>
        <v/>
      </c>
      <c r="O40" s="37" t="str">
        <f>IF(B40="", "", 'Strip Curtains'!K14)</f>
        <v/>
      </c>
      <c r="P40" s="37" t="str">
        <f t="shared" si="1"/>
        <v/>
      </c>
      <c r="Q40" s="36" t="str">
        <f>IF(B40="", "", 'Strip Curtains'!L14)</f>
        <v/>
      </c>
      <c r="R40" s="143" t="str">
        <f>IF('Data Export'!J40="", "", 'Strip Curtains'!$K$37)</f>
        <v/>
      </c>
      <c r="S40" s="38" t="str">
        <f>IF(B40="", "", 'Strip Curtains'!$K$34)</f>
        <v/>
      </c>
      <c r="V40" s="34" t="str">
        <f>IF(B40="", "", 'Strip Curtains'!G14)</f>
        <v/>
      </c>
      <c r="Z40" s="34" t="str">
        <f>IF(B40="", "", 'Strip Curtains'!H14)</f>
        <v/>
      </c>
      <c r="AA40" s="145" t="str">
        <f>IF(B40="", "", 'Strip Curtains'!I14)</f>
        <v/>
      </c>
    </row>
    <row r="41" spans="1:27">
      <c r="A41" s="34" t="str">
        <f>IF(B41="", "", 'Project Summary'!R76)</f>
        <v/>
      </c>
      <c r="B41" s="34" t="str">
        <f>IF('Strip Curtains'!M15="", "", "Strip Curtains")</f>
        <v/>
      </c>
      <c r="C41" s="34" t="str">
        <f>IF(B41="", "", 'Project Summary'!$C$10)</f>
        <v/>
      </c>
      <c r="D41" s="34" t="str">
        <f t="shared" si="0"/>
        <v/>
      </c>
      <c r="E41" s="34" t="str">
        <f>IF(B41="", "", CONCATENATE('Project Summary'!$C$7, " - ", 'Project Summary'!$C$10))</f>
        <v/>
      </c>
      <c r="F41" s="34" t="str">
        <f>IF(B41="", "", 'Project Summary'!$C$11)</f>
        <v/>
      </c>
      <c r="G41" s="34" t="str">
        <f>IF(B41="","",VLOOKUP(B41,'Project Summary'!$K$180:$L$200,2,FALSE))</f>
        <v/>
      </c>
      <c r="H41" s="34" t="str">
        <f>IF(B41="", "",'Project Summary'!P85)</f>
        <v/>
      </c>
      <c r="I41" s="36" t="str">
        <f>IF(B41="", "", Instructions!$L$2)</f>
        <v/>
      </c>
      <c r="J41" s="34" t="str">
        <f>IF(B41="", "", 'Strip Curtains'!D15)</f>
        <v/>
      </c>
      <c r="K41" s="34" t="str">
        <f>IF(B41="", "", 'Strip Curtains'!E15)</f>
        <v/>
      </c>
      <c r="L41" s="34" t="str">
        <f>IF(B41="", "", 'Strip Curtains'!F15)</f>
        <v/>
      </c>
      <c r="M41" s="34" t="str">
        <f>IF(B41="", "", 'Strip Curtains'!I15)</f>
        <v/>
      </c>
      <c r="N41" s="36" t="str">
        <f>IF(B41="", "", 'Strip Curtains'!M15)</f>
        <v/>
      </c>
      <c r="O41" s="37" t="str">
        <f>IF(B41="", "", 'Strip Curtains'!K15)</f>
        <v/>
      </c>
      <c r="P41" s="37" t="str">
        <f t="shared" si="1"/>
        <v/>
      </c>
      <c r="Q41" s="36" t="str">
        <f>IF(B41="", "", 'Strip Curtains'!L15)</f>
        <v/>
      </c>
      <c r="R41" s="143" t="str">
        <f>IF('Data Export'!J41="", "", 'Strip Curtains'!$K$37)</f>
        <v/>
      </c>
      <c r="S41" s="38" t="str">
        <f>IF(B41="", "", 'Strip Curtains'!$K$34)</f>
        <v/>
      </c>
      <c r="V41" s="34" t="str">
        <f>IF(B41="", "", 'Strip Curtains'!G15)</f>
        <v/>
      </c>
      <c r="Z41" s="34" t="str">
        <f>IF(B41="", "", 'Strip Curtains'!H15)</f>
        <v/>
      </c>
      <c r="AA41" s="145" t="str">
        <f>IF(B41="", "", 'Strip Curtains'!I15)</f>
        <v/>
      </c>
    </row>
    <row r="42" spans="1:27">
      <c r="A42" s="34" t="str">
        <f>IF(B42="", "", 'Project Summary'!R77)</f>
        <v/>
      </c>
      <c r="B42" s="34" t="str">
        <f>IF('Anti-Sweat Heaters'!N8="", "", "Anti Sweat Heater Controls")</f>
        <v/>
      </c>
      <c r="C42" s="34" t="str">
        <f>IF(B42="", "", 'Project Summary'!$C$10)</f>
        <v/>
      </c>
      <c r="D42" s="34" t="str">
        <f t="shared" si="0"/>
        <v/>
      </c>
      <c r="E42" s="34" t="str">
        <f>IF(B42="", "", CONCATENATE('Project Summary'!$C$7, " - ", 'Project Summary'!$C$10))</f>
        <v/>
      </c>
      <c r="F42" s="34" t="str">
        <f>IF(B42="", "", 'Project Summary'!$C$11)</f>
        <v/>
      </c>
      <c r="G42" s="34" t="str">
        <f>IF(B42="","",VLOOKUP(B42,'Project Summary'!$K$180:$L$200,2,FALSE))</f>
        <v/>
      </c>
      <c r="H42" s="34" t="str">
        <f>IF(B42="", "",'Project Summary'!P88)</f>
        <v/>
      </c>
      <c r="I42" s="36" t="str">
        <f>IF(B42="", "", Instructions!$L$2)</f>
        <v/>
      </c>
      <c r="J42" s="34" t="str">
        <f>IF(B42="", "", 'Anti-Sweat Heaters'!D8)</f>
        <v/>
      </c>
      <c r="K42" s="34" t="str">
        <f>IF(B42="", "", 'Anti-Sweat Heaters'!F8)</f>
        <v/>
      </c>
      <c r="L42" s="34" t="str">
        <f>IF(B42="", "", 'Anti-Sweat Heaters'!G8)</f>
        <v/>
      </c>
      <c r="M42" s="34" t="str">
        <f>IF(B42="", "", 'Anti-Sweat Heaters'!I8)</f>
        <v/>
      </c>
      <c r="N42" s="36" t="str">
        <f>IF(B42="", "", 'Anti-Sweat Heaters'!N8)</f>
        <v/>
      </c>
      <c r="O42" s="37" t="str">
        <f>IF(B42="", "", 'Anti-Sweat Heaters'!L8)</f>
        <v/>
      </c>
      <c r="P42" s="37" t="str">
        <f t="shared" si="1"/>
        <v/>
      </c>
      <c r="Q42" s="36" t="str">
        <f>IF(B42="", "", 'Anti-Sweat Heaters'!M8)</f>
        <v/>
      </c>
      <c r="R42" s="143" t="str">
        <f>IF('Data Export'!J42="", "", "1.000")</f>
        <v/>
      </c>
      <c r="S42" s="38" t="str">
        <f>IF(B42="", "", 'Anti-Sweat Heaters'!$N$19)</f>
        <v/>
      </c>
      <c r="V42" s="34" t="str">
        <f>IF(B42="", "", 'Anti-Sweat Heaters'!H8)</f>
        <v/>
      </c>
    </row>
    <row r="43" spans="1:27">
      <c r="A43" s="34" t="str">
        <f>IF(B43="", "", 'Project Summary'!R78)</f>
        <v/>
      </c>
      <c r="B43" s="34" t="str">
        <f>IF('Anti-Sweat Heaters'!N9="", "", "Anti Sweat Heater Controls")</f>
        <v/>
      </c>
      <c r="C43" s="34" t="str">
        <f>IF(B43="", "", 'Project Summary'!$C$10)</f>
        <v/>
      </c>
      <c r="D43" s="34" t="str">
        <f t="shared" si="0"/>
        <v/>
      </c>
      <c r="E43" s="34" t="str">
        <f>IF(B43="", "", CONCATENATE('Project Summary'!$C$7, " - ", 'Project Summary'!$C$10))</f>
        <v/>
      </c>
      <c r="F43" s="34" t="str">
        <f>IF(B43="", "", 'Project Summary'!$C$11)</f>
        <v/>
      </c>
      <c r="G43" s="34" t="str">
        <f>IF(B43="","",VLOOKUP(B43,'Project Summary'!$K$180:$L$200,2,FALSE))</f>
        <v/>
      </c>
      <c r="H43" s="34" t="str">
        <f>IF(B43="", "",'Project Summary'!P89)</f>
        <v/>
      </c>
      <c r="I43" s="36" t="str">
        <f>IF(B43="", "", Instructions!$L$2)</f>
        <v/>
      </c>
      <c r="J43" s="34" t="str">
        <f>IF(B43="", "", 'Anti-Sweat Heaters'!D9)</f>
        <v/>
      </c>
      <c r="K43" s="34" t="str">
        <f>IF(B43="", "", 'Anti-Sweat Heaters'!F9)</f>
        <v/>
      </c>
      <c r="L43" s="34" t="str">
        <f>IF(B43="", "", 'Anti-Sweat Heaters'!G9)</f>
        <v/>
      </c>
      <c r="M43" s="34" t="str">
        <f>IF(B43="", "", 'Anti-Sweat Heaters'!I9)</f>
        <v/>
      </c>
      <c r="N43" s="36" t="str">
        <f>IF(B43="", "", 'Anti-Sweat Heaters'!N9)</f>
        <v/>
      </c>
      <c r="O43" s="37" t="str">
        <f>IF(B43="", "", 'Anti-Sweat Heaters'!L9)</f>
        <v/>
      </c>
      <c r="P43" s="37" t="str">
        <f t="shared" si="1"/>
        <v/>
      </c>
      <c r="Q43" s="36" t="str">
        <f>IF(B43="", "", 'Anti-Sweat Heaters'!M9)</f>
        <v/>
      </c>
      <c r="R43" s="143" t="str">
        <f>IF('Data Export'!J43="", "", "1.000")</f>
        <v/>
      </c>
      <c r="S43" s="38" t="str">
        <f>IF(B43="", "", 'Anti-Sweat Heaters'!$N$19)</f>
        <v/>
      </c>
      <c r="V43" s="34" t="str">
        <f>IF(B43="", "", 'Anti-Sweat Heaters'!H9)</f>
        <v/>
      </c>
    </row>
    <row r="44" spans="1:27">
      <c r="A44" s="34" t="str">
        <f>IF(B44="", "", 'Project Summary'!R79)</f>
        <v/>
      </c>
      <c r="B44" s="34" t="str">
        <f>IF('Anti-Sweat Heaters'!N10="", "", "Anti Sweat Heater Controls")</f>
        <v/>
      </c>
      <c r="C44" s="34" t="str">
        <f>IF(B44="", "", 'Project Summary'!$C$10)</f>
        <v/>
      </c>
      <c r="D44" s="34" t="str">
        <f t="shared" si="0"/>
        <v/>
      </c>
      <c r="E44" s="34" t="str">
        <f>IF(B44="", "", CONCATENATE('Project Summary'!$C$7, " - ", 'Project Summary'!$C$10))</f>
        <v/>
      </c>
      <c r="F44" s="34" t="str">
        <f>IF(B44="", "", 'Project Summary'!$C$11)</f>
        <v/>
      </c>
      <c r="G44" s="34" t="str">
        <f>IF(B44="","",VLOOKUP(B44,'Project Summary'!$K$180:$L$200,2,FALSE))</f>
        <v/>
      </c>
      <c r="H44" s="34" t="str">
        <f>IF(B44="", "",'Project Summary'!P90)</f>
        <v/>
      </c>
      <c r="I44" s="36" t="str">
        <f>IF(B44="", "", Instructions!$L$2)</f>
        <v/>
      </c>
      <c r="J44" s="34" t="str">
        <f>IF(B44="", "", 'Anti-Sweat Heaters'!D10)</f>
        <v/>
      </c>
      <c r="K44" s="34" t="str">
        <f>IF(B44="", "", 'Anti-Sweat Heaters'!F10)</f>
        <v/>
      </c>
      <c r="L44" s="34" t="str">
        <f>IF(B44="", "", 'Anti-Sweat Heaters'!G10)</f>
        <v/>
      </c>
      <c r="M44" s="34" t="str">
        <f>IF(B44="", "", 'Anti-Sweat Heaters'!I10)</f>
        <v/>
      </c>
      <c r="N44" s="36" t="str">
        <f>IF(B44="", "", 'Anti-Sweat Heaters'!N10)</f>
        <v/>
      </c>
      <c r="O44" s="37" t="str">
        <f>IF(B44="", "", 'Anti-Sweat Heaters'!L10)</f>
        <v/>
      </c>
      <c r="P44" s="37" t="str">
        <f t="shared" si="1"/>
        <v/>
      </c>
      <c r="Q44" s="36" t="str">
        <f>IF(B44="", "", 'Anti-Sweat Heaters'!M10)</f>
        <v/>
      </c>
      <c r="R44" s="143" t="str">
        <f>IF('Data Export'!J44="", "", "1.000")</f>
        <v/>
      </c>
      <c r="S44" s="38" t="str">
        <f>IF(B44="", "", 'Anti-Sweat Heaters'!$N$19)</f>
        <v/>
      </c>
      <c r="V44" s="34" t="str">
        <f>IF(B44="", "", 'Anti-Sweat Heaters'!H10)</f>
        <v/>
      </c>
    </row>
    <row r="45" spans="1:27">
      <c r="A45" s="34" t="str">
        <f>IF(B45="", "", 'Project Summary'!R80)</f>
        <v/>
      </c>
      <c r="B45" s="34" t="str">
        <f>IF('Anti-Sweat Heaters'!N11="", "", "Anti Sweat Heater Controls")</f>
        <v/>
      </c>
      <c r="C45" s="34" t="str">
        <f>IF(B45="", "", 'Project Summary'!$C$10)</f>
        <v/>
      </c>
      <c r="D45" s="34" t="str">
        <f t="shared" si="0"/>
        <v/>
      </c>
      <c r="E45" s="34" t="str">
        <f>IF(B45="", "", CONCATENATE('Project Summary'!$C$7, " - ", 'Project Summary'!$C$10))</f>
        <v/>
      </c>
      <c r="F45" s="34" t="str">
        <f>IF(B45="", "", 'Project Summary'!$C$11)</f>
        <v/>
      </c>
      <c r="G45" s="34" t="str">
        <f>IF(B45="","",VLOOKUP(B45,'Project Summary'!$K$180:$L$200,2,FALSE))</f>
        <v/>
      </c>
      <c r="H45" s="34" t="str">
        <f>IF(B45="", "",'Project Summary'!P91)</f>
        <v/>
      </c>
      <c r="I45" s="36" t="str">
        <f>IF(B45="", "", Instructions!$L$2)</f>
        <v/>
      </c>
      <c r="J45" s="34" t="str">
        <f>IF(B45="", "", 'Anti-Sweat Heaters'!D11)</f>
        <v/>
      </c>
      <c r="K45" s="34" t="str">
        <f>IF(B45="", "", 'Anti-Sweat Heaters'!F11)</f>
        <v/>
      </c>
      <c r="L45" s="34" t="str">
        <f>IF(B45="", "", 'Anti-Sweat Heaters'!G11)</f>
        <v/>
      </c>
      <c r="M45" s="34" t="str">
        <f>IF(B45="", "", 'Anti-Sweat Heaters'!I11)</f>
        <v/>
      </c>
      <c r="N45" s="36" t="str">
        <f>IF(B45="", "", 'Anti-Sweat Heaters'!N11)</f>
        <v/>
      </c>
      <c r="O45" s="37" t="str">
        <f>IF(B45="", "", 'Anti-Sweat Heaters'!L11)</f>
        <v/>
      </c>
      <c r="P45" s="37" t="str">
        <f t="shared" si="1"/>
        <v/>
      </c>
      <c r="Q45" s="36" t="str">
        <f>IF(B45="", "", 'Anti-Sweat Heaters'!M11)</f>
        <v/>
      </c>
      <c r="R45" s="143" t="str">
        <f>IF('Data Export'!J45="", "", "1.000")</f>
        <v/>
      </c>
      <c r="S45" s="38" t="str">
        <f>IF(B45="", "", 'Anti-Sweat Heaters'!$N$19)</f>
        <v/>
      </c>
      <c r="V45" s="34" t="str">
        <f>IF(B45="", "", 'Anti-Sweat Heaters'!H11)</f>
        <v/>
      </c>
    </row>
    <row r="46" spans="1:27">
      <c r="A46" s="34" t="str">
        <f>IF(B46="", "", 'Project Summary'!R81)</f>
        <v/>
      </c>
      <c r="B46" s="34" t="str">
        <f>IF('Anti-Sweat Heaters'!N12="", "", "Anti Sweat Heater Controls")</f>
        <v/>
      </c>
      <c r="C46" s="34" t="str">
        <f>IF(B46="", "", 'Project Summary'!$C$10)</f>
        <v/>
      </c>
      <c r="D46" s="34" t="str">
        <f t="shared" si="0"/>
        <v/>
      </c>
      <c r="E46" s="34" t="str">
        <f>IF(B46="", "", CONCATENATE('Project Summary'!$C$7, " - ", 'Project Summary'!$C$10))</f>
        <v/>
      </c>
      <c r="F46" s="34" t="str">
        <f>IF(B46="", "", 'Project Summary'!$C$11)</f>
        <v/>
      </c>
      <c r="G46" s="34" t="str">
        <f>IF(B46="","",VLOOKUP(B46,'Project Summary'!$K$180:$L$200,2,FALSE))</f>
        <v/>
      </c>
      <c r="H46" s="34" t="str">
        <f>IF(B46="", "",'Project Summary'!P92)</f>
        <v/>
      </c>
      <c r="I46" s="36" t="str">
        <f>IF(B46="", "", Instructions!$L$2)</f>
        <v/>
      </c>
      <c r="J46" s="34" t="str">
        <f>IF(B46="", "", 'Anti-Sweat Heaters'!D12)</f>
        <v/>
      </c>
      <c r="K46" s="34" t="str">
        <f>IF(B46="", "", 'Anti-Sweat Heaters'!F12)</f>
        <v/>
      </c>
      <c r="L46" s="34" t="str">
        <f>IF(B46="", "", 'Anti-Sweat Heaters'!G12)</f>
        <v/>
      </c>
      <c r="M46" s="34" t="str">
        <f>IF(B46="", "", 'Anti-Sweat Heaters'!I12)</f>
        <v/>
      </c>
      <c r="N46" s="36" t="str">
        <f>IF(B46="", "", 'Anti-Sweat Heaters'!N12)</f>
        <v/>
      </c>
      <c r="O46" s="37" t="str">
        <f>IF(B46="", "", 'Anti-Sweat Heaters'!L12)</f>
        <v/>
      </c>
      <c r="P46" s="37" t="str">
        <f t="shared" si="1"/>
        <v/>
      </c>
      <c r="Q46" s="36" t="str">
        <f>IF(B46="", "", 'Anti-Sweat Heaters'!M12)</f>
        <v/>
      </c>
      <c r="R46" s="143" t="str">
        <f>IF('Data Export'!J46="", "", "1.000")</f>
        <v/>
      </c>
      <c r="S46" s="38" t="str">
        <f>IF(B46="", "", 'Anti-Sweat Heaters'!$N$19)</f>
        <v/>
      </c>
      <c r="V46" s="34" t="str">
        <f>IF(B46="", "", 'Anti-Sweat Heaters'!H12)</f>
        <v/>
      </c>
    </row>
    <row r="47" spans="1:27">
      <c r="A47" s="34" t="str">
        <f>IF(B47="", "", 'Project Summary'!R82)</f>
        <v/>
      </c>
      <c r="B47" s="34" t="str">
        <f>IF('Anti-Sweat Heaters'!N13="", "", "Anti Sweat Heater Controls")</f>
        <v/>
      </c>
      <c r="C47" s="34" t="str">
        <f>IF(B47="", "", 'Project Summary'!$C$10)</f>
        <v/>
      </c>
      <c r="D47" s="34" t="str">
        <f t="shared" si="0"/>
        <v/>
      </c>
      <c r="E47" s="34" t="str">
        <f>IF(B47="", "", CONCATENATE('Project Summary'!$C$7, " - ", 'Project Summary'!$C$10))</f>
        <v/>
      </c>
      <c r="F47" s="34" t="str">
        <f>IF(B47="", "", 'Project Summary'!$C$11)</f>
        <v/>
      </c>
      <c r="G47" s="34" t="str">
        <f>IF(B47="","",VLOOKUP(B47,'Project Summary'!$K$180:$L$200,2,FALSE))</f>
        <v/>
      </c>
      <c r="H47" s="34" t="str">
        <f>IF(B47="", "",'Project Summary'!P93)</f>
        <v/>
      </c>
      <c r="I47" s="36" t="str">
        <f>IF(B47="", "", Instructions!$L$2)</f>
        <v/>
      </c>
      <c r="J47" s="34" t="str">
        <f>IF(B47="", "", 'Anti-Sweat Heaters'!D13)</f>
        <v/>
      </c>
      <c r="K47" s="34" t="str">
        <f>IF(B47="", "", 'Anti-Sweat Heaters'!F13)</f>
        <v/>
      </c>
      <c r="L47" s="34" t="str">
        <f>IF(B47="", "", 'Anti-Sweat Heaters'!G13)</f>
        <v/>
      </c>
      <c r="M47" s="34" t="str">
        <f>IF(B47="", "", 'Anti-Sweat Heaters'!I13)</f>
        <v/>
      </c>
      <c r="N47" s="36" t="str">
        <f>IF(B47="", "", 'Anti-Sweat Heaters'!N13)</f>
        <v/>
      </c>
      <c r="O47" s="37" t="str">
        <f>IF(B47="", "", 'Anti-Sweat Heaters'!L13)</f>
        <v/>
      </c>
      <c r="P47" s="37" t="str">
        <f t="shared" si="1"/>
        <v/>
      </c>
      <c r="Q47" s="36" t="str">
        <f>IF(B47="", "", 'Anti-Sweat Heaters'!M13)</f>
        <v/>
      </c>
      <c r="R47" s="143" t="str">
        <f>IF('Data Export'!J47="", "", "1.000")</f>
        <v/>
      </c>
      <c r="S47" s="38" t="str">
        <f>IF(B47="", "", 'Anti-Sweat Heaters'!$N$19)</f>
        <v/>
      </c>
      <c r="V47" s="34" t="str">
        <f>IF(B47="", "", 'Anti-Sweat Heaters'!H13)</f>
        <v/>
      </c>
    </row>
    <row r="48" spans="1:27">
      <c r="A48" s="34" t="str">
        <f>IF(B48="", "", 'Project Summary'!R83)</f>
        <v/>
      </c>
      <c r="B48" s="34" t="str">
        <f>IF('Anti-Sweat Heaters'!N14="", "", "Anti Sweat Heater Controls")</f>
        <v/>
      </c>
      <c r="C48" s="34" t="str">
        <f>IF(B48="", "", 'Project Summary'!$C$10)</f>
        <v/>
      </c>
      <c r="D48" s="34" t="str">
        <f t="shared" si="0"/>
        <v/>
      </c>
      <c r="E48" s="34" t="str">
        <f>IF(B48="", "", CONCATENATE('Project Summary'!$C$7, " - ", 'Project Summary'!$C$10))</f>
        <v/>
      </c>
      <c r="F48" s="34" t="str">
        <f>IF(B48="", "", 'Project Summary'!$C$11)</f>
        <v/>
      </c>
      <c r="G48" s="34" t="str">
        <f>IF(B48="","",VLOOKUP(B48,'Project Summary'!$K$180:$L$200,2,FALSE))</f>
        <v/>
      </c>
      <c r="H48" s="34" t="str">
        <f>IF(B48="", "",'Project Summary'!P94)</f>
        <v/>
      </c>
      <c r="I48" s="36" t="str">
        <f>IF(B48="", "", Instructions!$L$2)</f>
        <v/>
      </c>
      <c r="J48" s="34" t="str">
        <f>IF(B48="", "", 'Anti-Sweat Heaters'!D14)</f>
        <v/>
      </c>
      <c r="K48" s="34" t="str">
        <f>IF(B48="", "", 'Anti-Sweat Heaters'!F14)</f>
        <v/>
      </c>
      <c r="L48" s="34" t="str">
        <f>IF(B48="", "", 'Anti-Sweat Heaters'!G14)</f>
        <v/>
      </c>
      <c r="M48" s="34" t="str">
        <f>IF(B48="", "", 'Anti-Sweat Heaters'!I14)</f>
        <v/>
      </c>
      <c r="N48" s="36" t="str">
        <f>IF(B48="", "", 'Anti-Sweat Heaters'!N14)</f>
        <v/>
      </c>
      <c r="O48" s="37" t="str">
        <f>IF(B48="", "", 'Anti-Sweat Heaters'!L14)</f>
        <v/>
      </c>
      <c r="P48" s="37" t="str">
        <f t="shared" si="1"/>
        <v/>
      </c>
      <c r="Q48" s="36" t="str">
        <f>IF(B48="", "", 'Anti-Sweat Heaters'!M14)</f>
        <v/>
      </c>
      <c r="R48" s="143" t="str">
        <f>IF('Data Export'!J48="", "", "1.000")</f>
        <v/>
      </c>
      <c r="S48" s="38" t="str">
        <f>IF(B48="", "", 'Anti-Sweat Heaters'!$N$19)</f>
        <v/>
      </c>
      <c r="V48" s="34" t="str">
        <f>IF(B48="", "", 'Anti-Sweat Heaters'!H14)</f>
        <v/>
      </c>
    </row>
    <row r="49" spans="1:29">
      <c r="A49" s="34" t="str">
        <f>IF(B49="", "", 'Project Summary'!R84)</f>
        <v/>
      </c>
      <c r="B49" s="34" t="str">
        <f>IF('Anti-Sweat Heaters'!N15="", "", "Anti Sweat Heater Controls")</f>
        <v/>
      </c>
      <c r="C49" s="34" t="str">
        <f>IF(B49="", "", 'Project Summary'!$C$10)</f>
        <v/>
      </c>
      <c r="D49" s="34" t="str">
        <f t="shared" si="0"/>
        <v/>
      </c>
      <c r="E49" s="34" t="str">
        <f>IF(B49="", "", CONCATENATE('Project Summary'!$C$7, " - ", 'Project Summary'!$C$10))</f>
        <v/>
      </c>
      <c r="F49" s="34" t="str">
        <f>IF(B49="", "", 'Project Summary'!$C$11)</f>
        <v/>
      </c>
      <c r="G49" s="34" t="str">
        <f>IF(B49="","",VLOOKUP(B49,'Project Summary'!$K$180:$L$200,2,FALSE))</f>
        <v/>
      </c>
      <c r="H49" s="34" t="str">
        <f>IF(B49="", "",'Project Summary'!P95)</f>
        <v/>
      </c>
      <c r="I49" s="36" t="str">
        <f>IF(B49="", "", Instructions!$L$2)</f>
        <v/>
      </c>
      <c r="J49" s="34" t="str">
        <f>IF(B49="", "", 'Anti-Sweat Heaters'!D15)</f>
        <v/>
      </c>
      <c r="K49" s="34" t="str">
        <f>IF(B49="", "", 'Anti-Sweat Heaters'!F15)</f>
        <v/>
      </c>
      <c r="L49" s="34" t="str">
        <f>IF(B49="", "", 'Anti-Sweat Heaters'!G15)</f>
        <v/>
      </c>
      <c r="M49" s="34" t="str">
        <f>IF(B49="", "", 'Anti-Sweat Heaters'!I15)</f>
        <v/>
      </c>
      <c r="N49" s="36" t="str">
        <f>IF(B49="", "", 'Anti-Sweat Heaters'!N15)</f>
        <v/>
      </c>
      <c r="O49" s="37" t="str">
        <f>IF(B49="", "", 'Anti-Sweat Heaters'!L15)</f>
        <v/>
      </c>
      <c r="P49" s="37" t="str">
        <f t="shared" si="1"/>
        <v/>
      </c>
      <c r="Q49" s="36" t="str">
        <f>IF(B49="", "", 'Anti-Sweat Heaters'!M15)</f>
        <v/>
      </c>
      <c r="R49" s="143" t="str">
        <f>IF('Data Export'!J49="", "", "1.000")</f>
        <v/>
      </c>
      <c r="S49" s="38" t="str">
        <f>IF(B49="", "", 'Anti-Sweat Heaters'!$N$19)</f>
        <v/>
      </c>
      <c r="V49" s="34" t="str">
        <f>IF(B49="", "", 'Anti-Sweat Heaters'!H15)</f>
        <v/>
      </c>
    </row>
    <row r="50" spans="1:29">
      <c r="A50" s="34" t="str">
        <f>IF(B50="", "", 'Project Summary'!R85)</f>
        <v/>
      </c>
      <c r="B50" s="34" t="str">
        <f>IF('Vending Controls'!N8="", "", "Vending Machine Controls")</f>
        <v/>
      </c>
      <c r="C50" s="34" t="str">
        <f>IF(B50="", "", 'Project Summary'!$C$10)</f>
        <v/>
      </c>
      <c r="D50" s="34" t="str">
        <f t="shared" si="0"/>
        <v/>
      </c>
      <c r="E50" s="34" t="str">
        <f>IF(B50="", "", CONCATENATE('Project Summary'!$C$7, " - ", 'Project Summary'!$C$10))</f>
        <v/>
      </c>
      <c r="F50" s="34" t="str">
        <f>IF(B50="", "", 'Project Summary'!$C$11)</f>
        <v/>
      </c>
      <c r="G50" s="34" t="str">
        <f>IF(B50="","",VLOOKUP(B50,'Project Summary'!$K$180:$L$200,2,FALSE))</f>
        <v/>
      </c>
      <c r="H50" s="34" t="str">
        <f>IF(B50="", "",'Project Summary'!P98)</f>
        <v/>
      </c>
      <c r="I50" s="36" t="str">
        <f>IF(B50="", "", Instructions!$L$2)</f>
        <v/>
      </c>
      <c r="J50" s="34" t="str">
        <f>IF(B50="", "", 'Vending Controls'!D8)</f>
        <v/>
      </c>
      <c r="K50" s="34" t="str">
        <f>IF(B50="", "", 'Vending Controls'!F8)</f>
        <v/>
      </c>
      <c r="L50" s="34" t="str">
        <f>IF(B50="", "", 'Vending Controls'!G8)</f>
        <v/>
      </c>
      <c r="M50" s="34" t="str">
        <f>IF(B50="", "", 'Vending Controls'!J8)</f>
        <v/>
      </c>
      <c r="N50" s="36" t="str">
        <f>IF(B50="", "", 'Vending Controls'!N8)</f>
        <v/>
      </c>
      <c r="O50" s="37" t="str">
        <f>IF(B50="", "", 'Vending Controls'!L8)</f>
        <v/>
      </c>
      <c r="P50" s="37" t="str">
        <f t="shared" si="1"/>
        <v/>
      </c>
      <c r="Q50" s="36" t="str">
        <f>IF(B50="", "", 'Vending Controls'!M8)</f>
        <v/>
      </c>
      <c r="R50" s="143" t="str">
        <f>IF('Data Export'!J50="", "", "0.000")</f>
        <v/>
      </c>
      <c r="S50" s="38" t="str">
        <f>IF(B50="","", 'Vending Controls'!$I$24)</f>
        <v/>
      </c>
      <c r="V50" s="34" t="str">
        <f>IF(B50="", "", 'Vending Controls'!H8)</f>
        <v/>
      </c>
      <c r="AB50" s="34" t="str">
        <f>IF(B58="", "", 'Vending Controls'!I8)</f>
        <v/>
      </c>
    </row>
    <row r="51" spans="1:29">
      <c r="A51" s="34" t="str">
        <f>IF(B51="", "", 'Project Summary'!R86)</f>
        <v/>
      </c>
      <c r="B51" s="34" t="str">
        <f>IF('Vending Controls'!N9="", "", "Vending Machine Controls")</f>
        <v/>
      </c>
      <c r="C51" s="34" t="str">
        <f>IF(B51="", "", 'Project Summary'!$C$10)</f>
        <v/>
      </c>
      <c r="D51" s="34" t="str">
        <f t="shared" si="0"/>
        <v/>
      </c>
      <c r="E51" s="34" t="str">
        <f>IF(B51="", "", CONCATENATE('Project Summary'!$C$7, " - ", 'Project Summary'!$C$10))</f>
        <v/>
      </c>
      <c r="F51" s="34" t="str">
        <f>IF(B51="", "", 'Project Summary'!$C$11)</f>
        <v/>
      </c>
      <c r="G51" s="34" t="str">
        <f>IF(B51="","",VLOOKUP(B51,'Project Summary'!$K$180:$L$200,2,FALSE))</f>
        <v/>
      </c>
      <c r="H51" s="34" t="str">
        <f>IF(B51="", "",'Project Summary'!P99)</f>
        <v/>
      </c>
      <c r="I51" s="36" t="str">
        <f>IF(B51="", "", Instructions!$L$2)</f>
        <v/>
      </c>
      <c r="J51" s="34" t="str">
        <f>IF(B51="", "", 'Vending Controls'!D9)</f>
        <v/>
      </c>
      <c r="K51" s="34" t="str">
        <f>IF(B51="", "", 'Vending Controls'!F9)</f>
        <v/>
      </c>
      <c r="L51" s="34" t="str">
        <f>IF(B51="", "", 'Vending Controls'!G9)</f>
        <v/>
      </c>
      <c r="M51" s="34" t="str">
        <f>IF(B51="", "", 'Vending Controls'!J9)</f>
        <v/>
      </c>
      <c r="N51" s="36" t="str">
        <f>IF(B51="", "", 'Vending Controls'!N9)</f>
        <v/>
      </c>
      <c r="O51" s="37" t="str">
        <f>IF(B51="", "", 'Vending Controls'!L9)</f>
        <v/>
      </c>
      <c r="P51" s="37" t="str">
        <f t="shared" si="1"/>
        <v/>
      </c>
      <c r="Q51" s="36" t="str">
        <f>IF(B51="", "", 'Vending Controls'!M9)</f>
        <v/>
      </c>
      <c r="R51" s="143" t="str">
        <f>IF('Data Export'!J51="", "", "0.000")</f>
        <v/>
      </c>
      <c r="S51" s="38" t="str">
        <f>IF(B51="","", 'Vending Controls'!$I$24)</f>
        <v/>
      </c>
      <c r="V51" s="34" t="str">
        <f>IF(B51="", "", 'Vending Controls'!H9)</f>
        <v/>
      </c>
      <c r="AB51" s="34" t="str">
        <f>IF(B59="", "", 'Vending Controls'!I9)</f>
        <v/>
      </c>
    </row>
    <row r="52" spans="1:29">
      <c r="A52" s="34" t="str">
        <f>IF(B52="", "", 'Project Summary'!R87)</f>
        <v/>
      </c>
      <c r="B52" s="34" t="str">
        <f>IF('Vending Controls'!N10="", "", "Vending Machine Controls")</f>
        <v/>
      </c>
      <c r="C52" s="34" t="str">
        <f>IF(B52="", "", 'Project Summary'!$C$10)</f>
        <v/>
      </c>
      <c r="D52" s="34" t="str">
        <f t="shared" si="0"/>
        <v/>
      </c>
      <c r="E52" s="34" t="str">
        <f>IF(B52="", "", CONCATENATE('Project Summary'!$C$7, " - ", 'Project Summary'!$C$10))</f>
        <v/>
      </c>
      <c r="F52" s="34" t="str">
        <f>IF(B52="", "", 'Project Summary'!$C$11)</f>
        <v/>
      </c>
      <c r="G52" s="34" t="str">
        <f>IF(B52="","",VLOOKUP(B52,'Project Summary'!$K$180:$L$200,2,FALSE))</f>
        <v/>
      </c>
      <c r="H52" s="34" t="str">
        <f>IF(B52="", "",'Project Summary'!P100)</f>
        <v/>
      </c>
      <c r="I52" s="36" t="str">
        <f>IF(B52="", "", Instructions!$L$2)</f>
        <v/>
      </c>
      <c r="J52" s="34" t="str">
        <f>IF(B52="", "", 'Vending Controls'!D10)</f>
        <v/>
      </c>
      <c r="K52" s="34" t="str">
        <f>IF(B52="", "", 'Vending Controls'!F10)</f>
        <v/>
      </c>
      <c r="L52" s="34" t="str">
        <f>IF(B52="", "", 'Vending Controls'!G10)</f>
        <v/>
      </c>
      <c r="M52" s="34" t="str">
        <f>IF(B52="", "", 'Vending Controls'!J10)</f>
        <v/>
      </c>
      <c r="N52" s="36" t="str">
        <f>IF(B52="", "", 'Vending Controls'!N10)</f>
        <v/>
      </c>
      <c r="O52" s="37" t="str">
        <f>IF(B52="", "", 'Vending Controls'!L10)</f>
        <v/>
      </c>
      <c r="P52" s="37" t="str">
        <f t="shared" si="1"/>
        <v/>
      </c>
      <c r="Q52" s="36" t="str">
        <f>IF(B52="", "", 'Vending Controls'!M10)</f>
        <v/>
      </c>
      <c r="R52" s="143" t="str">
        <f>IF('Data Export'!J52="", "", "0.000")</f>
        <v/>
      </c>
      <c r="S52" s="38" t="str">
        <f>IF(B52="","", 'Vending Controls'!$I$24)</f>
        <v/>
      </c>
      <c r="V52" s="34" t="str">
        <f>IF(B52="", "", 'Vending Controls'!H10)</f>
        <v/>
      </c>
      <c r="AB52" s="34" t="str">
        <f>IF(B60="", "", 'Vending Controls'!I10)</f>
        <v/>
      </c>
    </row>
    <row r="53" spans="1:29">
      <c r="A53" s="34" t="str">
        <f>IF(B53="", "", 'Project Summary'!R88)</f>
        <v/>
      </c>
      <c r="B53" s="34" t="str">
        <f>IF('Vending Controls'!N11="", "", "Vending Machine Controls")</f>
        <v/>
      </c>
      <c r="C53" s="34" t="str">
        <f>IF(B53="", "", 'Project Summary'!$C$10)</f>
        <v/>
      </c>
      <c r="D53" s="34" t="str">
        <f t="shared" si="0"/>
        <v/>
      </c>
      <c r="E53" s="34" t="str">
        <f>IF(B53="", "", CONCATENATE('Project Summary'!$C$7, " - ", 'Project Summary'!$C$10))</f>
        <v/>
      </c>
      <c r="F53" s="34" t="str">
        <f>IF(B53="", "", 'Project Summary'!$C$11)</f>
        <v/>
      </c>
      <c r="G53" s="34" t="str">
        <f>IF(B53="","",VLOOKUP(B53,'Project Summary'!$K$180:$L$200,2,FALSE))</f>
        <v/>
      </c>
      <c r="H53" s="34" t="str">
        <f>IF(B53="", "",'Project Summary'!P101)</f>
        <v/>
      </c>
      <c r="I53" s="36" t="str">
        <f>IF(B53="", "", Instructions!$L$2)</f>
        <v/>
      </c>
      <c r="J53" s="34" t="str">
        <f>IF(B53="", "", 'Vending Controls'!D11)</f>
        <v/>
      </c>
      <c r="K53" s="34" t="str">
        <f>IF(B53="", "", 'Vending Controls'!F11)</f>
        <v/>
      </c>
      <c r="L53" s="34" t="str">
        <f>IF(B53="", "", 'Vending Controls'!G11)</f>
        <v/>
      </c>
      <c r="M53" s="34" t="str">
        <f>IF(B53="", "", 'Vending Controls'!J11)</f>
        <v/>
      </c>
      <c r="N53" s="36" t="str">
        <f>IF(B53="", "", 'Vending Controls'!N11)</f>
        <v/>
      </c>
      <c r="O53" s="37" t="str">
        <f>IF(B53="", "", 'Vending Controls'!L11)</f>
        <v/>
      </c>
      <c r="P53" s="37" t="str">
        <f t="shared" si="1"/>
        <v/>
      </c>
      <c r="Q53" s="36" t="str">
        <f>IF(B53="", "", 'Vending Controls'!M11)</f>
        <v/>
      </c>
      <c r="R53" s="143" t="str">
        <f>IF('Data Export'!J53="", "", "0.000")</f>
        <v/>
      </c>
      <c r="S53" s="38" t="str">
        <f>IF(B53="","", 'Vending Controls'!$I$24)</f>
        <v/>
      </c>
      <c r="V53" s="34" t="str">
        <f>IF(B53="", "", 'Vending Controls'!H11)</f>
        <v/>
      </c>
      <c r="AB53" s="34" t="str">
        <f>IF(B61="", "", 'Vending Controls'!I11)</f>
        <v/>
      </c>
    </row>
    <row r="54" spans="1:29">
      <c r="A54" s="34" t="str">
        <f>IF(B54="", "", 'Project Summary'!R89)</f>
        <v/>
      </c>
      <c r="B54" s="34" t="str">
        <f>IF('Vending Controls'!N12="", "", "Vending Machine Controls")</f>
        <v/>
      </c>
      <c r="C54" s="34" t="str">
        <f>IF(B54="", "", 'Project Summary'!$C$10)</f>
        <v/>
      </c>
      <c r="D54" s="34" t="str">
        <f t="shared" si="0"/>
        <v/>
      </c>
      <c r="E54" s="34" t="str">
        <f>IF(B54="", "", CONCATENATE('Project Summary'!$C$7, " - ", 'Project Summary'!$C$10))</f>
        <v/>
      </c>
      <c r="F54" s="34" t="str">
        <f>IF(B54="", "", 'Project Summary'!$C$11)</f>
        <v/>
      </c>
      <c r="G54" s="34" t="str">
        <f>IF(B54="","",VLOOKUP(B54,'Project Summary'!$K$180:$L$200,2,FALSE))</f>
        <v/>
      </c>
      <c r="H54" s="34" t="str">
        <f>IF(B54="", "",'Project Summary'!P102)</f>
        <v/>
      </c>
      <c r="I54" s="36" t="str">
        <f>IF(B54="", "", Instructions!$L$2)</f>
        <v/>
      </c>
      <c r="J54" s="34" t="str">
        <f>IF(B54="", "", 'Vending Controls'!D12)</f>
        <v/>
      </c>
      <c r="K54" s="34" t="str">
        <f>IF(B54="", "", 'Vending Controls'!F12)</f>
        <v/>
      </c>
      <c r="L54" s="34" t="str">
        <f>IF(B54="", "", 'Vending Controls'!G12)</f>
        <v/>
      </c>
      <c r="M54" s="34" t="str">
        <f>IF(B54="", "", 'Vending Controls'!J12)</f>
        <v/>
      </c>
      <c r="N54" s="36" t="str">
        <f>IF(B54="", "", 'Vending Controls'!N12)</f>
        <v/>
      </c>
      <c r="O54" s="37" t="str">
        <f>IF(B54="", "", 'Vending Controls'!L12)</f>
        <v/>
      </c>
      <c r="P54" s="37" t="str">
        <f t="shared" si="1"/>
        <v/>
      </c>
      <c r="Q54" s="36" t="str">
        <f>IF(B54="", "", 'Vending Controls'!M12)</f>
        <v/>
      </c>
      <c r="R54" s="143" t="str">
        <f>IF('Data Export'!J54="", "", "0.000")</f>
        <v/>
      </c>
      <c r="S54" s="38" t="str">
        <f>IF(B54="","", 'Vending Controls'!$I$24)</f>
        <v/>
      </c>
      <c r="V54" s="34" t="str">
        <f>IF(B54="", "", 'Vending Controls'!H12)</f>
        <v/>
      </c>
      <c r="AB54" s="34" t="str">
        <f>IF(B62="", "", 'Vending Controls'!I12)</f>
        <v/>
      </c>
    </row>
    <row r="55" spans="1:29">
      <c r="A55" s="34" t="str">
        <f>IF(B55="", "", 'Project Summary'!R90)</f>
        <v/>
      </c>
      <c r="B55" s="34" t="str">
        <f>IF('Vending Controls'!N13="", "", "Vending Machine Controls")</f>
        <v/>
      </c>
      <c r="C55" s="34" t="str">
        <f>IF(B55="", "", 'Project Summary'!$C$10)</f>
        <v/>
      </c>
      <c r="D55" s="34" t="str">
        <f t="shared" si="0"/>
        <v/>
      </c>
      <c r="E55" s="34" t="str">
        <f>IF(B55="", "", CONCATENATE('Project Summary'!$C$7, " - ", 'Project Summary'!$C$10))</f>
        <v/>
      </c>
      <c r="F55" s="34" t="str">
        <f>IF(B55="", "", 'Project Summary'!$C$11)</f>
        <v/>
      </c>
      <c r="G55" s="34" t="str">
        <f>IF(B55="","",VLOOKUP(B55,'Project Summary'!$K$180:$L$200,2,FALSE))</f>
        <v/>
      </c>
      <c r="H55" s="34" t="str">
        <f>IF(B55="", "",'Project Summary'!P103)</f>
        <v/>
      </c>
      <c r="I55" s="36" t="str">
        <f>IF(B55="", "", Instructions!$L$2)</f>
        <v/>
      </c>
      <c r="J55" s="34" t="str">
        <f>IF(B55="", "", 'Vending Controls'!D13)</f>
        <v/>
      </c>
      <c r="K55" s="34" t="str">
        <f>IF(B55="", "", 'Vending Controls'!F13)</f>
        <v/>
      </c>
      <c r="L55" s="34" t="str">
        <f>IF(B55="", "", 'Vending Controls'!G13)</f>
        <v/>
      </c>
      <c r="M55" s="34" t="str">
        <f>IF(B55="", "", 'Vending Controls'!J13)</f>
        <v/>
      </c>
      <c r="N55" s="36" t="str">
        <f>IF(B55="", "", 'Vending Controls'!N13)</f>
        <v/>
      </c>
      <c r="O55" s="37" t="str">
        <f>IF(B55="", "", 'Vending Controls'!L13)</f>
        <v/>
      </c>
      <c r="P55" s="37" t="str">
        <f t="shared" si="1"/>
        <v/>
      </c>
      <c r="Q55" s="36" t="str">
        <f>IF(B55="", "", 'Vending Controls'!M13)</f>
        <v/>
      </c>
      <c r="R55" s="143" t="str">
        <f>IF('Data Export'!J55="", "", "0.000")</f>
        <v/>
      </c>
      <c r="S55" s="38" t="str">
        <f>IF(B55="","", 'Vending Controls'!$I$24)</f>
        <v/>
      </c>
      <c r="V55" s="34" t="str">
        <f>IF(B55="", "", 'Vending Controls'!H13)</f>
        <v/>
      </c>
      <c r="AB55" s="34" t="str">
        <f>IF(B63="", "", 'Vending Controls'!I13)</f>
        <v/>
      </c>
    </row>
    <row r="56" spans="1:29">
      <c r="A56" s="34" t="str">
        <f>IF(B56="", "", 'Project Summary'!R91)</f>
        <v/>
      </c>
      <c r="B56" s="34" t="str">
        <f>IF('Vending Controls'!N14="", "", "Vending Machine Controls")</f>
        <v/>
      </c>
      <c r="C56" s="34" t="str">
        <f>IF(B56="", "", 'Project Summary'!$C$10)</f>
        <v/>
      </c>
      <c r="D56" s="34" t="str">
        <f t="shared" si="0"/>
        <v/>
      </c>
      <c r="E56" s="34" t="str">
        <f>IF(B56="", "", CONCATENATE('Project Summary'!$C$7, " - ", 'Project Summary'!$C$10))</f>
        <v/>
      </c>
      <c r="F56" s="34" t="str">
        <f>IF(B56="", "", 'Project Summary'!$C$11)</f>
        <v/>
      </c>
      <c r="G56" s="34" t="str">
        <f>IF(B56="","",VLOOKUP(B56,'Project Summary'!$K$180:$L$200,2,FALSE))</f>
        <v/>
      </c>
      <c r="H56" s="34" t="str">
        <f>IF(B56="", "",'Project Summary'!P104)</f>
        <v/>
      </c>
      <c r="I56" s="36" t="str">
        <f>IF(B56="", "", Instructions!$L$2)</f>
        <v/>
      </c>
      <c r="J56" s="34" t="str">
        <f>IF(B56="", "", 'Vending Controls'!D14)</f>
        <v/>
      </c>
      <c r="K56" s="34" t="str">
        <f>IF(B56="", "", 'Vending Controls'!F14)</f>
        <v/>
      </c>
      <c r="L56" s="34" t="str">
        <f>IF(B56="", "", 'Vending Controls'!G14)</f>
        <v/>
      </c>
      <c r="M56" s="34" t="str">
        <f>IF(B56="", "", 'Vending Controls'!J14)</f>
        <v/>
      </c>
      <c r="N56" s="36" t="str">
        <f>IF(B56="", "", 'Vending Controls'!N14)</f>
        <v/>
      </c>
      <c r="O56" s="37" t="str">
        <f>IF(B56="", "", 'Vending Controls'!L14)</f>
        <v/>
      </c>
      <c r="P56" s="37" t="str">
        <f t="shared" si="1"/>
        <v/>
      </c>
      <c r="Q56" s="36" t="str">
        <f>IF(B56="", "", 'Vending Controls'!M14)</f>
        <v/>
      </c>
      <c r="R56" s="143" t="str">
        <f>IF('Data Export'!J56="", "", "0.000")</f>
        <v/>
      </c>
      <c r="S56" s="38" t="str">
        <f>IF(B56="","", 'Vending Controls'!$I$24)</f>
        <v/>
      </c>
      <c r="V56" s="34" t="str">
        <f>IF(B56="", "", 'Vending Controls'!H14)</f>
        <v/>
      </c>
      <c r="AB56" s="34" t="str">
        <f>IF(B64="", "", 'Vending Controls'!I14)</f>
        <v/>
      </c>
    </row>
    <row r="57" spans="1:29">
      <c r="A57" s="34" t="str">
        <f>IF(B57="", "", 'Project Summary'!R92)</f>
        <v/>
      </c>
      <c r="B57" s="34" t="str">
        <f>IF('Vending Controls'!N15="", "", "Vending Machine Controls")</f>
        <v/>
      </c>
      <c r="C57" s="34" t="str">
        <f>IF(B57="", "", 'Project Summary'!$C$10)</f>
        <v/>
      </c>
      <c r="D57" s="34" t="str">
        <f t="shared" si="0"/>
        <v/>
      </c>
      <c r="E57" s="34" t="str">
        <f>IF(B57="", "", CONCATENATE('Project Summary'!$C$7, " - ", 'Project Summary'!$C$10))</f>
        <v/>
      </c>
      <c r="F57" s="34" t="str">
        <f>IF(B57="", "", 'Project Summary'!$C$11)</f>
        <v/>
      </c>
      <c r="G57" s="34" t="str">
        <f>IF(B57="","",VLOOKUP(B57,'Project Summary'!$K$180:$L$200,2,FALSE))</f>
        <v/>
      </c>
      <c r="H57" s="34" t="str">
        <f>IF(B57="", "",'Project Summary'!P105)</f>
        <v/>
      </c>
      <c r="I57" s="36" t="str">
        <f>IF(B57="", "", Instructions!$L$2)</f>
        <v/>
      </c>
      <c r="J57" s="34" t="str">
        <f>IF(B57="", "", 'Vending Controls'!D15)</f>
        <v/>
      </c>
      <c r="K57" s="34" t="str">
        <f>IF(B57="", "", 'Vending Controls'!F15)</f>
        <v/>
      </c>
      <c r="L57" s="34" t="str">
        <f>IF(B57="", "", 'Vending Controls'!G15)</f>
        <v/>
      </c>
      <c r="M57" s="34" t="str">
        <f>IF(B57="", "", 'Vending Controls'!J15)</f>
        <v/>
      </c>
      <c r="N57" s="36" t="str">
        <f>IF(B57="", "", 'Vending Controls'!N15)</f>
        <v/>
      </c>
      <c r="O57" s="37" t="str">
        <f>IF(B57="", "", 'Vending Controls'!L15)</f>
        <v/>
      </c>
      <c r="P57" s="37" t="str">
        <f t="shared" si="1"/>
        <v/>
      </c>
      <c r="Q57" s="36" t="str">
        <f>IF(B57="", "", 'Vending Controls'!M15)</f>
        <v/>
      </c>
      <c r="R57" s="143" t="str">
        <f>IF('Data Export'!J57="", "", "0.000")</f>
        <v/>
      </c>
      <c r="S57" s="38" t="str">
        <f>IF(B57="","", 'Vending Controls'!$I$24)</f>
        <v/>
      </c>
      <c r="V57" s="34" t="str">
        <f>IF(B57="", "", 'Vending Controls'!H15)</f>
        <v/>
      </c>
      <c r="AB57" s="34" t="str">
        <f>IF(B65="", "", 'Vending Controls'!I15)</f>
        <v/>
      </c>
    </row>
    <row r="58" spans="1:29">
      <c r="A58" s="34" t="str">
        <f>IF(B58="", "", 'Project Summary'!R93)</f>
        <v/>
      </c>
      <c r="B58" s="34" t="str">
        <f>IF('Vending Machines'!N7="", "", "Vending Machines")</f>
        <v/>
      </c>
      <c r="C58" s="34" t="str">
        <f>IF(B58="", "", 'Project Summary'!$C$10)</f>
        <v/>
      </c>
      <c r="D58" s="34" t="str">
        <f t="shared" si="0"/>
        <v/>
      </c>
      <c r="E58" s="34" t="str">
        <f>IF(B58="", "", CONCATENATE('Project Summary'!$C$7, " - ", 'Project Summary'!$C$10))</f>
        <v/>
      </c>
      <c r="F58" s="34" t="str">
        <f>IF(B58="", "", 'Project Summary'!$C$11)</f>
        <v/>
      </c>
      <c r="G58" s="34" t="str">
        <f>IF(B58="","",VLOOKUP(B58,'Project Summary'!$K$180:$L$200,2,FALSE))</f>
        <v/>
      </c>
      <c r="H58" s="34" t="str">
        <f>IF(B58="", "",'Project Summary'!P108)</f>
        <v/>
      </c>
      <c r="I58" s="36" t="str">
        <f>IF(B58="", "", Instructions!$L$2)</f>
        <v/>
      </c>
      <c r="J58" s="34" t="str">
        <f>IF(B58="", "", 'Vending Machines'!D7)</f>
        <v/>
      </c>
      <c r="K58" s="34" t="str">
        <f>IF(B58="", "", 'Vending Machines'!E7)</f>
        <v/>
      </c>
      <c r="L58" s="34" t="str">
        <f>IF(B58="", "", 'Vending Machines'!F7)</f>
        <v/>
      </c>
      <c r="M58" s="34" t="str">
        <f>IF(B58="", "", 'Vending Machines'!I7)</f>
        <v/>
      </c>
      <c r="N58" s="36" t="str">
        <f>IF(B58="", "", 'Vending Machines'!N7)</f>
        <v/>
      </c>
      <c r="O58" s="37" t="str">
        <f>IF(B58="", "", 'Vending Machines'!L7)</f>
        <v/>
      </c>
      <c r="P58" s="37" t="str">
        <f t="shared" si="1"/>
        <v/>
      </c>
      <c r="Q58" s="36" t="str">
        <f>IF(B58="", "", 'Vending Machines'!M7)</f>
        <v/>
      </c>
      <c r="R58" s="143" t="str">
        <f>IF('Data Export'!J58="", "", 'Vending Machines'!$C$34)</f>
        <v/>
      </c>
      <c r="S58" s="38" t="str">
        <f>IF(B58="", "", 'Vending Machines'!$C$31)</f>
        <v/>
      </c>
      <c r="T58" s="34" t="str">
        <f>IF(B58="", "", 'Vending Machines'!H7)</f>
        <v/>
      </c>
      <c r="AC58" s="34" t="str">
        <f>IF(B58="", "", 'Vending Machines'!G7)</f>
        <v/>
      </c>
    </row>
    <row r="59" spans="1:29">
      <c r="A59" s="34" t="str">
        <f>IF(B59="", "", 'Project Summary'!R94)</f>
        <v/>
      </c>
      <c r="B59" s="34" t="str">
        <f>IF('Vending Machines'!N8="", "", "Vending Machines")</f>
        <v/>
      </c>
      <c r="C59" s="34" t="str">
        <f>IF(B59="", "", 'Project Summary'!$C$10)</f>
        <v/>
      </c>
      <c r="D59" s="34" t="str">
        <f t="shared" si="0"/>
        <v/>
      </c>
      <c r="E59" s="34" t="str">
        <f>IF(B59="", "", CONCATENATE('Project Summary'!$C$7, " - ", 'Project Summary'!$C$10))</f>
        <v/>
      </c>
      <c r="F59" s="34" t="str">
        <f>IF(B59="", "", 'Project Summary'!$C$11)</f>
        <v/>
      </c>
      <c r="G59" s="34" t="str">
        <f>IF(B59="","",VLOOKUP(B59,'Project Summary'!$K$180:$L$200,2,FALSE))</f>
        <v/>
      </c>
      <c r="H59" s="34" t="str">
        <f>IF(B59="", "",'Project Summary'!P109)</f>
        <v/>
      </c>
      <c r="I59" s="36" t="str">
        <f>IF(B59="", "", Instructions!$L$2)</f>
        <v/>
      </c>
      <c r="J59" s="34" t="str">
        <f>IF(B59="", "", 'Vending Machines'!D8)</f>
        <v/>
      </c>
      <c r="K59" s="34" t="str">
        <f>IF(B59="", "", 'Vending Machines'!E8)</f>
        <v/>
      </c>
      <c r="L59" s="34" t="str">
        <f>IF(B59="", "", 'Vending Machines'!F8)</f>
        <v/>
      </c>
      <c r="M59" s="34" t="str">
        <f>IF(B59="", "", 'Vending Machines'!I8)</f>
        <v/>
      </c>
      <c r="N59" s="36" t="str">
        <f>IF(B59="", "", 'Vending Machines'!N8)</f>
        <v/>
      </c>
      <c r="O59" s="37" t="str">
        <f>IF(B59="", "", 'Vending Machines'!L8)</f>
        <v/>
      </c>
      <c r="P59" s="37" t="str">
        <f t="shared" si="1"/>
        <v/>
      </c>
      <c r="Q59" s="36" t="str">
        <f>IF(B59="", "", 'Vending Machines'!M8)</f>
        <v/>
      </c>
      <c r="R59" s="143" t="str">
        <f>IF('Data Export'!J59="", "", 'Vending Machines'!$C$34)</f>
        <v/>
      </c>
      <c r="S59" s="38" t="str">
        <f>IF(B59="", "", 'Vending Machines'!$C$31)</f>
        <v/>
      </c>
      <c r="T59" s="34" t="str">
        <f>IF(B59="", "", 'Vending Machines'!H8)</f>
        <v/>
      </c>
      <c r="AC59" s="34" t="str">
        <f>IF(B59="", "", 'Vending Machines'!G8)</f>
        <v/>
      </c>
    </row>
    <row r="60" spans="1:29">
      <c r="A60" s="34" t="str">
        <f>IF(B60="", "", 'Project Summary'!R95)</f>
        <v/>
      </c>
      <c r="B60" s="34" t="str">
        <f>IF('Vending Machines'!N9="", "", "Vending Machines")</f>
        <v/>
      </c>
      <c r="C60" s="34" t="str">
        <f>IF(B60="", "", 'Project Summary'!$C$10)</f>
        <v/>
      </c>
      <c r="D60" s="34" t="str">
        <f t="shared" si="0"/>
        <v/>
      </c>
      <c r="E60" s="34" t="str">
        <f>IF(B60="", "", CONCATENATE('Project Summary'!$C$7, " - ", 'Project Summary'!$C$10))</f>
        <v/>
      </c>
      <c r="F60" s="34" t="str">
        <f>IF(B60="", "", 'Project Summary'!$C$11)</f>
        <v/>
      </c>
      <c r="G60" s="34" t="str">
        <f>IF(B60="","",VLOOKUP(B60,'Project Summary'!$K$180:$L$200,2,FALSE))</f>
        <v/>
      </c>
      <c r="H60" s="34" t="str">
        <f>IF(B60="", "",'Project Summary'!P110)</f>
        <v/>
      </c>
      <c r="I60" s="36" t="str">
        <f>IF(B60="", "", Instructions!$L$2)</f>
        <v/>
      </c>
      <c r="J60" s="34" t="str">
        <f>IF(B60="", "", 'Vending Machines'!D9)</f>
        <v/>
      </c>
      <c r="K60" s="34" t="str">
        <f>IF(B60="", "", 'Vending Machines'!E9)</f>
        <v/>
      </c>
      <c r="L60" s="34" t="str">
        <f>IF(B60="", "", 'Vending Machines'!F9)</f>
        <v/>
      </c>
      <c r="M60" s="34" t="str">
        <f>IF(B60="", "", 'Vending Machines'!I9)</f>
        <v/>
      </c>
      <c r="N60" s="36" t="str">
        <f>IF(B60="", "", 'Vending Machines'!N9)</f>
        <v/>
      </c>
      <c r="O60" s="37" t="str">
        <f>IF(B60="", "", 'Vending Machines'!L9)</f>
        <v/>
      </c>
      <c r="P60" s="37" t="str">
        <f t="shared" si="1"/>
        <v/>
      </c>
      <c r="Q60" s="36" t="str">
        <f>IF(B60="", "", 'Vending Machines'!M9)</f>
        <v/>
      </c>
      <c r="R60" s="143" t="str">
        <f>IF('Data Export'!J60="", "", 'Vending Machines'!$C$34)</f>
        <v/>
      </c>
      <c r="S60" s="38" t="str">
        <f>IF(B60="", "", 'Vending Machines'!$C$31)</f>
        <v/>
      </c>
      <c r="T60" s="34" t="str">
        <f>IF(B60="", "", 'Vending Machines'!H9)</f>
        <v/>
      </c>
      <c r="AC60" s="34" t="str">
        <f>IF(B60="", "", 'Vending Machines'!G9)</f>
        <v/>
      </c>
    </row>
    <row r="61" spans="1:29">
      <c r="A61" s="34" t="str">
        <f>IF(B61="", "", 'Project Summary'!R96)</f>
        <v/>
      </c>
      <c r="B61" s="34" t="str">
        <f>IF('Vending Machines'!N10="", "", "Vending Machines")</f>
        <v/>
      </c>
      <c r="C61" s="34" t="str">
        <f>IF(B61="", "", 'Project Summary'!$C$10)</f>
        <v/>
      </c>
      <c r="D61" s="34" t="str">
        <f t="shared" si="0"/>
        <v/>
      </c>
      <c r="E61" s="34" t="str">
        <f>IF(B61="", "", CONCATENATE('Project Summary'!$C$7, " - ", 'Project Summary'!$C$10))</f>
        <v/>
      </c>
      <c r="F61" s="34" t="str">
        <f>IF(B61="", "", 'Project Summary'!$C$11)</f>
        <v/>
      </c>
      <c r="G61" s="34" t="str">
        <f>IF(B61="","",VLOOKUP(B61,'Project Summary'!$K$180:$L$200,2,FALSE))</f>
        <v/>
      </c>
      <c r="H61" s="34" t="str">
        <f>IF(B61="", "",'Project Summary'!P111)</f>
        <v/>
      </c>
      <c r="I61" s="36" t="str">
        <f>IF(B61="", "", Instructions!$L$2)</f>
        <v/>
      </c>
      <c r="J61" s="34" t="str">
        <f>IF(B61="", "", 'Vending Machines'!D10)</f>
        <v/>
      </c>
      <c r="K61" s="34" t="str">
        <f>IF(B61="", "", 'Vending Machines'!E10)</f>
        <v/>
      </c>
      <c r="L61" s="34" t="str">
        <f>IF(B61="", "", 'Vending Machines'!F10)</f>
        <v/>
      </c>
      <c r="M61" s="34" t="str">
        <f>IF(B61="", "", 'Vending Machines'!I10)</f>
        <v/>
      </c>
      <c r="N61" s="36" t="str">
        <f>IF(B61="", "", 'Vending Machines'!N10)</f>
        <v/>
      </c>
      <c r="O61" s="37" t="str">
        <f>IF(B61="", "", 'Vending Machines'!L10)</f>
        <v/>
      </c>
      <c r="P61" s="37" t="str">
        <f t="shared" si="1"/>
        <v/>
      </c>
      <c r="Q61" s="36" t="str">
        <f>IF(B61="", "", 'Vending Machines'!M10)</f>
        <v/>
      </c>
      <c r="R61" s="143" t="str">
        <f>IF('Data Export'!J61="", "", 'Vending Machines'!$C$34)</f>
        <v/>
      </c>
      <c r="S61" s="38" t="str">
        <f>IF(B61="", "", 'Vending Machines'!$C$31)</f>
        <v/>
      </c>
      <c r="T61" s="34" t="str">
        <f>IF(B61="", "", 'Vending Machines'!H10)</f>
        <v/>
      </c>
      <c r="AC61" s="34" t="str">
        <f>IF(B61="", "", 'Vending Machines'!G10)</f>
        <v/>
      </c>
    </row>
    <row r="62" spans="1:29">
      <c r="A62" s="34" t="str">
        <f>IF(B62="", "", 'Project Summary'!R97)</f>
        <v/>
      </c>
      <c r="B62" s="34" t="str">
        <f>IF('Vending Machines'!N11="", "", "Vending Machines")</f>
        <v/>
      </c>
      <c r="C62" s="34" t="str">
        <f>IF(B62="", "", 'Project Summary'!$C$10)</f>
        <v/>
      </c>
      <c r="D62" s="34" t="str">
        <f t="shared" si="0"/>
        <v/>
      </c>
      <c r="E62" s="34" t="str">
        <f>IF(B62="", "", CONCATENATE('Project Summary'!$C$7, " - ", 'Project Summary'!$C$10))</f>
        <v/>
      </c>
      <c r="F62" s="34" t="str">
        <f>IF(B62="", "", 'Project Summary'!$C$11)</f>
        <v/>
      </c>
      <c r="G62" s="34" t="str">
        <f>IF(B62="","",VLOOKUP(B62,'Project Summary'!$K$180:$L$200,2,FALSE))</f>
        <v/>
      </c>
      <c r="H62" s="34" t="str">
        <f>IF(B62="", "",'Project Summary'!P112)</f>
        <v/>
      </c>
      <c r="I62" s="36" t="str">
        <f>IF(B62="", "", Instructions!$L$2)</f>
        <v/>
      </c>
      <c r="J62" s="34" t="str">
        <f>IF(B62="", "", 'Vending Machines'!D11)</f>
        <v/>
      </c>
      <c r="K62" s="34" t="str">
        <f>IF(B62="", "", 'Vending Machines'!E11)</f>
        <v/>
      </c>
      <c r="L62" s="34" t="str">
        <f>IF(B62="", "", 'Vending Machines'!F11)</f>
        <v/>
      </c>
      <c r="M62" s="34" t="str">
        <f>IF(B62="", "", 'Vending Machines'!I11)</f>
        <v/>
      </c>
      <c r="N62" s="36" t="str">
        <f>IF(B62="", "", 'Vending Machines'!N11)</f>
        <v/>
      </c>
      <c r="O62" s="37" t="str">
        <f>IF(B62="", "", 'Vending Machines'!L11)</f>
        <v/>
      </c>
      <c r="P62" s="37" t="str">
        <f t="shared" si="1"/>
        <v/>
      </c>
      <c r="Q62" s="36" t="str">
        <f>IF(B62="", "", 'Vending Machines'!M11)</f>
        <v/>
      </c>
      <c r="R62" s="143" t="str">
        <f>IF('Data Export'!J62="", "", 'Vending Machines'!$C$34)</f>
        <v/>
      </c>
      <c r="S62" s="38" t="str">
        <f>IF(B62="", "", 'Vending Machines'!$C$31)</f>
        <v/>
      </c>
      <c r="T62" s="34" t="str">
        <f>IF(B62="", "", 'Vending Machines'!H11)</f>
        <v/>
      </c>
      <c r="AC62" s="34" t="str">
        <f>IF(B62="", "", 'Vending Machines'!G11)</f>
        <v/>
      </c>
    </row>
    <row r="63" spans="1:29">
      <c r="A63" s="34" t="str">
        <f>IF(B63="", "", 'Project Summary'!R98)</f>
        <v/>
      </c>
      <c r="B63" s="34" t="str">
        <f>IF('Vending Machines'!N12="", "", "Vending Machines")</f>
        <v/>
      </c>
      <c r="C63" s="34" t="str">
        <f>IF(B63="", "", 'Project Summary'!$C$10)</f>
        <v/>
      </c>
      <c r="D63" s="34" t="str">
        <f t="shared" si="0"/>
        <v/>
      </c>
      <c r="E63" s="34" t="str">
        <f>IF(B63="", "", CONCATENATE('Project Summary'!$C$7, " - ", 'Project Summary'!$C$10))</f>
        <v/>
      </c>
      <c r="F63" s="34" t="str">
        <f>IF(B63="", "", 'Project Summary'!$C$11)</f>
        <v/>
      </c>
      <c r="G63" s="34" t="str">
        <f>IF(B63="","",VLOOKUP(B63,'Project Summary'!$K$180:$L$200,2,FALSE))</f>
        <v/>
      </c>
      <c r="H63" s="34" t="str">
        <f>IF(B63="", "",'Project Summary'!P113)</f>
        <v/>
      </c>
      <c r="I63" s="36" t="str">
        <f>IF(B63="", "", Instructions!$L$2)</f>
        <v/>
      </c>
      <c r="J63" s="34" t="str">
        <f>IF(B63="", "", 'Vending Machines'!D12)</f>
        <v/>
      </c>
      <c r="K63" s="34" t="str">
        <f>IF(B63="", "", 'Vending Machines'!E12)</f>
        <v/>
      </c>
      <c r="L63" s="34" t="str">
        <f>IF(B63="", "", 'Vending Machines'!F12)</f>
        <v/>
      </c>
      <c r="M63" s="34" t="str">
        <f>IF(B63="", "", 'Vending Machines'!I12)</f>
        <v/>
      </c>
      <c r="N63" s="36" t="str">
        <f>IF(B63="", "", 'Vending Machines'!N12)</f>
        <v/>
      </c>
      <c r="O63" s="37" t="str">
        <f>IF(B63="", "", 'Vending Machines'!L12)</f>
        <v/>
      </c>
      <c r="P63" s="37" t="str">
        <f t="shared" si="1"/>
        <v/>
      </c>
      <c r="Q63" s="36" t="str">
        <f>IF(B63="", "", 'Vending Machines'!M12)</f>
        <v/>
      </c>
      <c r="R63" s="143" t="str">
        <f>IF('Data Export'!J63="", "", 'Vending Machines'!$C$34)</f>
        <v/>
      </c>
      <c r="S63" s="38" t="str">
        <f>IF(B63="", "", 'Vending Machines'!$C$31)</f>
        <v/>
      </c>
      <c r="T63" s="34" t="str">
        <f>IF(B63="", "", 'Vending Machines'!H12)</f>
        <v/>
      </c>
      <c r="AC63" s="34" t="str">
        <f>IF(B63="", "", 'Vending Machines'!G12)</f>
        <v/>
      </c>
    </row>
    <row r="64" spans="1:29">
      <c r="A64" s="34" t="str">
        <f>IF(B64="", "", 'Project Summary'!R99)</f>
        <v/>
      </c>
      <c r="B64" s="34" t="str">
        <f>IF('Vending Machines'!N13="", "", "Vending Machines")</f>
        <v/>
      </c>
      <c r="C64" s="34" t="str">
        <f>IF(B64="", "", 'Project Summary'!$C$10)</f>
        <v/>
      </c>
      <c r="D64" s="34" t="str">
        <f t="shared" si="0"/>
        <v/>
      </c>
      <c r="E64" s="34" t="str">
        <f>IF(B64="", "", CONCATENATE('Project Summary'!$C$7, " - ", 'Project Summary'!$C$10))</f>
        <v/>
      </c>
      <c r="F64" s="34" t="str">
        <f>IF(B64="", "", 'Project Summary'!$C$11)</f>
        <v/>
      </c>
      <c r="G64" s="34" t="str">
        <f>IF(B64="","",VLOOKUP(B64,'Project Summary'!$K$180:$L$200,2,FALSE))</f>
        <v/>
      </c>
      <c r="H64" s="34" t="str">
        <f>IF(B64="", "",'Project Summary'!P114)</f>
        <v/>
      </c>
      <c r="I64" s="36" t="str">
        <f>IF(B64="", "", Instructions!$L$2)</f>
        <v/>
      </c>
      <c r="J64" s="34" t="str">
        <f>IF(B64="", "", 'Vending Machines'!D13)</f>
        <v/>
      </c>
      <c r="K64" s="34" t="str">
        <f>IF(B64="", "", 'Vending Machines'!E13)</f>
        <v/>
      </c>
      <c r="L64" s="34" t="str">
        <f>IF(B64="", "", 'Vending Machines'!F13)</f>
        <v/>
      </c>
      <c r="M64" s="34" t="str">
        <f>IF(B64="", "", 'Vending Machines'!I13)</f>
        <v/>
      </c>
      <c r="N64" s="36" t="str">
        <f>IF(B64="", "", 'Vending Machines'!N13)</f>
        <v/>
      </c>
      <c r="O64" s="37" t="str">
        <f>IF(B64="", "", 'Vending Machines'!L13)</f>
        <v/>
      </c>
      <c r="P64" s="37" t="str">
        <f t="shared" si="1"/>
        <v/>
      </c>
      <c r="Q64" s="36" t="str">
        <f>IF(B64="", "", 'Vending Machines'!M13)</f>
        <v/>
      </c>
      <c r="R64" s="143" t="str">
        <f>IF('Data Export'!J64="", "", 'Vending Machines'!$C$34)</f>
        <v/>
      </c>
      <c r="S64" s="38" t="str">
        <f>IF(B64="", "", 'Vending Machines'!$C$31)</f>
        <v/>
      </c>
      <c r="T64" s="34" t="str">
        <f>IF(B64="", "", 'Vending Machines'!H13)</f>
        <v/>
      </c>
      <c r="AC64" s="34" t="str">
        <f>IF(B64="", "", 'Vending Machines'!G13)</f>
        <v/>
      </c>
    </row>
    <row r="65" spans="1:31">
      <c r="A65" s="34" t="str">
        <f>IF(B65="", "", 'Project Summary'!R100)</f>
        <v/>
      </c>
      <c r="B65" s="34" t="str">
        <f>IF('Vending Machines'!N14="", "", "Vending Machines")</f>
        <v/>
      </c>
      <c r="C65" s="34" t="str">
        <f>IF(B65="", "", 'Project Summary'!$C$10)</f>
        <v/>
      </c>
      <c r="D65" s="34" t="str">
        <f t="shared" si="0"/>
        <v/>
      </c>
      <c r="E65" s="34" t="str">
        <f>IF(B65="", "", CONCATENATE('Project Summary'!$C$7, " - ", 'Project Summary'!$C$10))</f>
        <v/>
      </c>
      <c r="F65" s="34" t="str">
        <f>IF(B65="", "", 'Project Summary'!$C$11)</f>
        <v/>
      </c>
      <c r="G65" s="34" t="str">
        <f>IF(B65="","",VLOOKUP(B65,'Project Summary'!$K$180:$L$200,2,FALSE))</f>
        <v/>
      </c>
      <c r="H65" s="34" t="str">
        <f>IF(B65="", "",'Project Summary'!P115)</f>
        <v/>
      </c>
      <c r="I65" s="36" t="str">
        <f>IF(B65="", "", Instructions!$L$2)</f>
        <v/>
      </c>
      <c r="J65" s="34" t="str">
        <f>IF(B65="", "", 'Vending Machines'!D14)</f>
        <v/>
      </c>
      <c r="K65" s="34" t="str">
        <f>IF(B65="", "", 'Vending Machines'!E14)</f>
        <v/>
      </c>
      <c r="L65" s="34" t="str">
        <f>IF(B65="", "", 'Vending Machines'!F14)</f>
        <v/>
      </c>
      <c r="M65" s="34" t="str">
        <f>IF(B65="", "", 'Vending Machines'!I14)</f>
        <v/>
      </c>
      <c r="N65" s="36" t="str">
        <f>IF(B65="", "", 'Vending Machines'!N14)</f>
        <v/>
      </c>
      <c r="O65" s="37" t="str">
        <f>IF(B65="", "", 'Vending Machines'!L14)</f>
        <v/>
      </c>
      <c r="P65" s="37" t="str">
        <f t="shared" si="1"/>
        <v/>
      </c>
      <c r="Q65" s="36" t="str">
        <f>IF(B65="", "", 'Vending Machines'!M14)</f>
        <v/>
      </c>
      <c r="R65" s="143" t="str">
        <f>IF('Data Export'!J65="", "", 'Vending Machines'!$C$34)</f>
        <v/>
      </c>
      <c r="S65" s="38" t="str">
        <f>IF(B65="", "", 'Vending Machines'!$C$31)</f>
        <v/>
      </c>
      <c r="T65" s="34" t="str">
        <f>IF(B65="", "", 'Vending Machines'!H14)</f>
        <v/>
      </c>
      <c r="AC65" s="34" t="str">
        <f>IF(B65="", "", 'Vending Machines'!G14)</f>
        <v/>
      </c>
    </row>
    <row r="66" spans="1:31">
      <c r="A66" s="34" t="str">
        <f>IF(B66="", "", 'Project Summary'!R101)</f>
        <v/>
      </c>
      <c r="B66" s="34" t="str">
        <f>IF('Combination Ovens'!AF8="", "", "Combination Ovens")</f>
        <v/>
      </c>
      <c r="C66" s="34" t="str">
        <f>IF(B66="", "", 'Project Summary'!$C$10)</f>
        <v/>
      </c>
      <c r="D66" s="34" t="str">
        <f t="shared" si="0"/>
        <v/>
      </c>
      <c r="E66" s="34" t="str">
        <f>IF(B66="", "", CONCATENATE('Project Summary'!$C$7, " - ", 'Project Summary'!$C$10))</f>
        <v/>
      </c>
      <c r="F66" s="34" t="str">
        <f>IF(B66="", "", 'Project Summary'!$C$11)</f>
        <v/>
      </c>
      <c r="G66" s="34" t="str">
        <f>IF(B66="","",VLOOKUP(B66,'Project Summary'!$K$180:$L$200,2,FALSE))</f>
        <v/>
      </c>
      <c r="H66" s="34" t="str">
        <f>IF(B66="", "",'Project Summary'!P118)</f>
        <v/>
      </c>
      <c r="I66" s="36" t="str">
        <f>IF(B66="", "", Instructions!$L$2)</f>
        <v/>
      </c>
      <c r="J66" s="34" t="str">
        <f>IF(B66="", "", 'Combination Ovens'!D8)</f>
        <v/>
      </c>
      <c r="K66" s="34" t="str">
        <f>IF(B66="", "", 'Combination Ovens'!F8)</f>
        <v/>
      </c>
      <c r="L66" s="34" t="str">
        <f>IF(B66="", "", 'Combination Ovens'!G8)</f>
        <v/>
      </c>
      <c r="M66" s="34" t="str">
        <f>IF(B66="", "", 'Combination Ovens'!J8)</f>
        <v/>
      </c>
      <c r="N66" s="36" t="str">
        <f>IF(B66="", "", 'Combination Ovens'!AF8)</f>
        <v/>
      </c>
      <c r="O66" s="37" t="str">
        <f>IF(B66="", "", 'Combination Ovens'!AD8)</f>
        <v/>
      </c>
      <c r="P66" s="37" t="str">
        <f t="shared" si="1"/>
        <v/>
      </c>
      <c r="Q66" s="36" t="str">
        <f>IF(B66="", "", 'Combination Ovens'!AE8)</f>
        <v/>
      </c>
      <c r="R66" s="143" t="str">
        <f>IF(B66="", "", 'Combination Ovens'!$R$20)</f>
        <v/>
      </c>
      <c r="S66" s="38" t="str">
        <f>IF(B66="", "", 'Combination Ovens'!$R$24)</f>
        <v/>
      </c>
      <c r="AD66" s="34" t="str">
        <f>IF(B66="", "", 'Combination Ovens'!I8)</f>
        <v/>
      </c>
    </row>
    <row r="67" spans="1:31">
      <c r="A67" s="34" t="str">
        <f>IF(B67="", "", 'Project Summary'!R102)</f>
        <v/>
      </c>
      <c r="B67" s="34" t="str">
        <f>IF('Combination Ovens'!AF9="", "", "Combination Ovens")</f>
        <v/>
      </c>
      <c r="C67" s="34" t="str">
        <f>IF(B67="", "", 'Project Summary'!$C$10)</f>
        <v/>
      </c>
      <c r="D67" s="34" t="str">
        <f t="shared" ref="D67:D113" si="2">IF(B67="", "", "FPFSPR")</f>
        <v/>
      </c>
      <c r="E67" s="34" t="str">
        <f>IF(B67="", "", CONCATENATE('Project Summary'!$C$7, " - ", 'Project Summary'!$C$10))</f>
        <v/>
      </c>
      <c r="F67" s="34" t="str">
        <f>IF(B67="", "", 'Project Summary'!$C$11)</f>
        <v/>
      </c>
      <c r="G67" s="34" t="str">
        <f>IF(B67="","",VLOOKUP(B67,'Project Summary'!$K$180:$L$200,2,FALSE))</f>
        <v/>
      </c>
      <c r="H67" s="34" t="str">
        <f>IF(B67="", "",'Project Summary'!P119)</f>
        <v/>
      </c>
      <c r="I67" s="36" t="str">
        <f>IF(B67="", "", Instructions!$L$2)</f>
        <v/>
      </c>
      <c r="J67" s="34" t="str">
        <f>IF(B67="", "", 'Combination Ovens'!D9)</f>
        <v/>
      </c>
      <c r="K67" s="34" t="str">
        <f>IF(B67="", "", 'Combination Ovens'!F9)</f>
        <v/>
      </c>
      <c r="L67" s="34" t="str">
        <f>IF(B67="", "", 'Combination Ovens'!G9)</f>
        <v/>
      </c>
      <c r="M67" s="34" t="str">
        <f>IF(B67="", "", 'Combination Ovens'!J9)</f>
        <v/>
      </c>
      <c r="N67" s="36" t="str">
        <f>IF(B67="", "", 'Combination Ovens'!AF9)</f>
        <v/>
      </c>
      <c r="O67" s="37" t="str">
        <f>IF(B67="", "", 'Combination Ovens'!AD9)</f>
        <v/>
      </c>
      <c r="P67" s="37" t="str">
        <f t="shared" ref="P67:P113" si="3">IF(B67="", "", O67)</f>
        <v/>
      </c>
      <c r="Q67" s="36" t="str">
        <f>IF(B67="", "", 'Combination Ovens'!AE9)</f>
        <v/>
      </c>
      <c r="R67" s="143" t="str">
        <f>IF(B67="", "", 'Combination Ovens'!$R$20)</f>
        <v/>
      </c>
      <c r="S67" s="38" t="str">
        <f>IF(B67="", "", 'Combination Ovens'!$R$24)</f>
        <v/>
      </c>
      <c r="AD67" s="34" t="str">
        <f>IF(B67="", "", 'Combination Ovens'!I9)</f>
        <v/>
      </c>
    </row>
    <row r="68" spans="1:31">
      <c r="A68" s="34" t="str">
        <f>IF(B68="", "", 'Project Summary'!R103)</f>
        <v/>
      </c>
      <c r="B68" s="34" t="str">
        <f>IF('Combination Ovens'!AF10="", "", "Combination Ovens")</f>
        <v/>
      </c>
      <c r="C68" s="34" t="str">
        <f>IF(B68="", "", 'Project Summary'!$C$10)</f>
        <v/>
      </c>
      <c r="D68" s="34" t="str">
        <f t="shared" si="2"/>
        <v/>
      </c>
      <c r="E68" s="34" t="str">
        <f>IF(B68="", "", CONCATENATE('Project Summary'!$C$7, " - ", 'Project Summary'!$C$10))</f>
        <v/>
      </c>
      <c r="F68" s="34" t="str">
        <f>IF(B68="", "", 'Project Summary'!$C$11)</f>
        <v/>
      </c>
      <c r="G68" s="34" t="str">
        <f>IF(B68="","",VLOOKUP(B68,'Project Summary'!$K$180:$L$200,2,FALSE))</f>
        <v/>
      </c>
      <c r="H68" s="34" t="str">
        <f>IF(B68="", "",'Project Summary'!P120)</f>
        <v/>
      </c>
      <c r="I68" s="36" t="str">
        <f>IF(B68="", "", Instructions!$L$2)</f>
        <v/>
      </c>
      <c r="J68" s="34" t="str">
        <f>IF(B68="", "", 'Combination Ovens'!D10)</f>
        <v/>
      </c>
      <c r="K68" s="34" t="str">
        <f>IF(B68="", "", 'Combination Ovens'!F10)</f>
        <v/>
      </c>
      <c r="L68" s="34" t="str">
        <f>IF(B68="", "", 'Combination Ovens'!G10)</f>
        <v/>
      </c>
      <c r="M68" s="34" t="str">
        <f>IF(B68="", "", 'Combination Ovens'!J10)</f>
        <v/>
      </c>
      <c r="N68" s="36" t="str">
        <f>IF(B68="", "", 'Combination Ovens'!AF10)</f>
        <v/>
      </c>
      <c r="O68" s="37" t="str">
        <f>IF(B68="", "", 'Combination Ovens'!AD10)</f>
        <v/>
      </c>
      <c r="P68" s="37" t="str">
        <f t="shared" si="3"/>
        <v/>
      </c>
      <c r="Q68" s="36" t="str">
        <f>IF(B68="", "", 'Combination Ovens'!AE10)</f>
        <v/>
      </c>
      <c r="R68" s="143" t="str">
        <f>IF(B68="", "", 'Combination Ovens'!$R$20)</f>
        <v/>
      </c>
      <c r="S68" s="38" t="str">
        <f>IF(B68="", "", 'Combination Ovens'!$R$24)</f>
        <v/>
      </c>
      <c r="AD68" s="34" t="str">
        <f>IF(B68="", "", 'Combination Ovens'!I10)</f>
        <v/>
      </c>
    </row>
    <row r="69" spans="1:31">
      <c r="A69" s="34" t="str">
        <f>IF(B69="", "", 'Project Summary'!R104)</f>
        <v/>
      </c>
      <c r="B69" s="34" t="str">
        <f>IF('Combination Ovens'!AF11="", "", "Combination Ovens")</f>
        <v/>
      </c>
      <c r="C69" s="34" t="str">
        <f>IF(B69="", "", 'Project Summary'!$C$10)</f>
        <v/>
      </c>
      <c r="D69" s="34" t="str">
        <f t="shared" si="2"/>
        <v/>
      </c>
      <c r="E69" s="34" t="str">
        <f>IF(B69="", "", CONCATENATE('Project Summary'!$C$7, " - ", 'Project Summary'!$C$10))</f>
        <v/>
      </c>
      <c r="F69" s="34" t="str">
        <f>IF(B69="", "", 'Project Summary'!$C$11)</f>
        <v/>
      </c>
      <c r="G69" s="34" t="str">
        <f>IF(B69="","",VLOOKUP(B69,'Project Summary'!$K$180:$L$200,2,FALSE))</f>
        <v/>
      </c>
      <c r="H69" s="34" t="str">
        <f>IF(B69="", "",'Project Summary'!P121)</f>
        <v/>
      </c>
      <c r="I69" s="36" t="str">
        <f>IF(B69="", "", Instructions!$L$2)</f>
        <v/>
      </c>
      <c r="J69" s="34" t="str">
        <f>IF(B69="", "", 'Combination Ovens'!D11)</f>
        <v/>
      </c>
      <c r="K69" s="34" t="str">
        <f>IF(B69="", "", 'Combination Ovens'!F11)</f>
        <v/>
      </c>
      <c r="L69" s="34" t="str">
        <f>IF(B69="", "", 'Combination Ovens'!G11)</f>
        <v/>
      </c>
      <c r="M69" s="34" t="str">
        <f>IF(B69="", "", 'Combination Ovens'!J11)</f>
        <v/>
      </c>
      <c r="N69" s="36" t="str">
        <f>IF(B69="", "", 'Combination Ovens'!AF11)</f>
        <v/>
      </c>
      <c r="O69" s="37" t="str">
        <f>IF(B69="", "", 'Combination Ovens'!AD11)</f>
        <v/>
      </c>
      <c r="P69" s="37" t="str">
        <f t="shared" si="3"/>
        <v/>
      </c>
      <c r="Q69" s="36" t="str">
        <f>IF(B69="", "", 'Combination Ovens'!AE11)</f>
        <v/>
      </c>
      <c r="R69" s="143" t="str">
        <f>IF(B69="", "", 'Combination Ovens'!$R$20)</f>
        <v/>
      </c>
      <c r="S69" s="38" t="str">
        <f>IF(B69="", "", 'Combination Ovens'!$R$24)</f>
        <v/>
      </c>
      <c r="AD69" s="34" t="str">
        <f>IF(B69="", "", 'Combination Ovens'!I11)</f>
        <v/>
      </c>
    </row>
    <row r="70" spans="1:31">
      <c r="A70" s="34" t="str">
        <f>IF(B70="", "", 'Project Summary'!R105)</f>
        <v/>
      </c>
      <c r="B70" s="34" t="str">
        <f>IF('Combination Ovens'!AF12="", "", "Combination Ovens")</f>
        <v/>
      </c>
      <c r="C70" s="34" t="str">
        <f>IF(B70="", "", 'Project Summary'!$C$10)</f>
        <v/>
      </c>
      <c r="D70" s="34" t="str">
        <f t="shared" si="2"/>
        <v/>
      </c>
      <c r="E70" s="34" t="str">
        <f>IF(B70="", "", CONCATENATE('Project Summary'!$C$7, " - ", 'Project Summary'!$C$10))</f>
        <v/>
      </c>
      <c r="F70" s="34" t="str">
        <f>IF(B70="", "", 'Project Summary'!$C$11)</f>
        <v/>
      </c>
      <c r="G70" s="34" t="str">
        <f>IF(B70="","",VLOOKUP(B70,'Project Summary'!$K$180:$L$200,2,FALSE))</f>
        <v/>
      </c>
      <c r="H70" s="34" t="str">
        <f>IF(B70="", "",'Project Summary'!P122)</f>
        <v/>
      </c>
      <c r="I70" s="36" t="str">
        <f>IF(B70="", "", Instructions!$L$2)</f>
        <v/>
      </c>
      <c r="J70" s="34" t="str">
        <f>IF(B70="", "", 'Combination Ovens'!D12)</f>
        <v/>
      </c>
      <c r="K70" s="34" t="str">
        <f>IF(B70="", "", 'Combination Ovens'!F12)</f>
        <v/>
      </c>
      <c r="L70" s="34" t="str">
        <f>IF(B70="", "", 'Combination Ovens'!G12)</f>
        <v/>
      </c>
      <c r="M70" s="34" t="str">
        <f>IF(B70="", "", 'Combination Ovens'!J12)</f>
        <v/>
      </c>
      <c r="N70" s="36" t="str">
        <f>IF(B70="", "", 'Combination Ovens'!AF12)</f>
        <v/>
      </c>
      <c r="O70" s="37" t="str">
        <f>IF(B70="", "", 'Combination Ovens'!AD12)</f>
        <v/>
      </c>
      <c r="P70" s="37" t="str">
        <f t="shared" si="3"/>
        <v/>
      </c>
      <c r="Q70" s="36" t="str">
        <f>IF(B70="", "", 'Combination Ovens'!AE12)</f>
        <v/>
      </c>
      <c r="R70" s="143" t="str">
        <f>IF(B70="", "", 'Combination Ovens'!$R$20)</f>
        <v/>
      </c>
      <c r="S70" s="38" t="str">
        <f>IF(B70="", "", 'Combination Ovens'!$R$24)</f>
        <v/>
      </c>
      <c r="AD70" s="34" t="str">
        <f>IF(B70="", "", 'Combination Ovens'!I12)</f>
        <v/>
      </c>
    </row>
    <row r="71" spans="1:31">
      <c r="A71" s="34" t="str">
        <f>IF(B71="", "", 'Project Summary'!R106)</f>
        <v/>
      </c>
      <c r="B71" s="34" t="str">
        <f>IF('Combination Ovens'!AF13="", "", "Combination Ovens")</f>
        <v/>
      </c>
      <c r="C71" s="34" t="str">
        <f>IF(B71="", "", 'Project Summary'!$C$10)</f>
        <v/>
      </c>
      <c r="D71" s="34" t="str">
        <f t="shared" si="2"/>
        <v/>
      </c>
      <c r="E71" s="34" t="str">
        <f>IF(B71="", "", CONCATENATE('Project Summary'!$C$7, " - ", 'Project Summary'!$C$10))</f>
        <v/>
      </c>
      <c r="F71" s="34" t="str">
        <f>IF(B71="", "", 'Project Summary'!$C$11)</f>
        <v/>
      </c>
      <c r="G71" s="34" t="str">
        <f>IF(B71="","",VLOOKUP(B71,'Project Summary'!$K$180:$L$200,2,FALSE))</f>
        <v/>
      </c>
      <c r="H71" s="34" t="str">
        <f>IF(B71="", "",'Project Summary'!P123)</f>
        <v/>
      </c>
      <c r="I71" s="36" t="str">
        <f>IF(B71="", "", Instructions!$L$2)</f>
        <v/>
      </c>
      <c r="J71" s="34" t="str">
        <f>IF(B71="", "", 'Combination Ovens'!D13)</f>
        <v/>
      </c>
      <c r="K71" s="34" t="str">
        <f>IF(B71="", "", 'Combination Ovens'!F13)</f>
        <v/>
      </c>
      <c r="L71" s="34" t="str">
        <f>IF(B71="", "", 'Combination Ovens'!G13)</f>
        <v/>
      </c>
      <c r="M71" s="34" t="str">
        <f>IF(B71="", "", 'Combination Ovens'!J13)</f>
        <v/>
      </c>
      <c r="N71" s="36" t="str">
        <f>IF(B71="", "", 'Combination Ovens'!AF13)</f>
        <v/>
      </c>
      <c r="O71" s="37" t="str">
        <f>IF(B71="", "", 'Combination Ovens'!AD13)</f>
        <v/>
      </c>
      <c r="P71" s="37" t="str">
        <f t="shared" si="3"/>
        <v/>
      </c>
      <c r="Q71" s="36" t="str">
        <f>IF(B71="", "", 'Combination Ovens'!AE13)</f>
        <v/>
      </c>
      <c r="R71" s="143" t="str">
        <f>IF(B71="", "", 'Combination Ovens'!$R$20)</f>
        <v/>
      </c>
      <c r="S71" s="38" t="str">
        <f>IF(B71="", "", 'Combination Ovens'!$R$24)</f>
        <v/>
      </c>
      <c r="AD71" s="34" t="str">
        <f>IF(B71="", "", 'Combination Ovens'!I13)</f>
        <v/>
      </c>
    </row>
    <row r="72" spans="1:31">
      <c r="A72" s="34" t="str">
        <f>IF(B72="", "", 'Project Summary'!R107)</f>
        <v/>
      </c>
      <c r="B72" s="34" t="str">
        <f>IF('Combination Ovens'!AF14="", "", "Combination Ovens")</f>
        <v/>
      </c>
      <c r="C72" s="34" t="str">
        <f>IF(B72="", "", 'Project Summary'!$C$10)</f>
        <v/>
      </c>
      <c r="D72" s="34" t="str">
        <f t="shared" si="2"/>
        <v/>
      </c>
      <c r="E72" s="34" t="str">
        <f>IF(B72="", "", CONCATENATE('Project Summary'!$C$7, " - ", 'Project Summary'!$C$10))</f>
        <v/>
      </c>
      <c r="F72" s="34" t="str">
        <f>IF(B72="", "", 'Project Summary'!$C$11)</f>
        <v/>
      </c>
      <c r="G72" s="34" t="str">
        <f>IF(B72="","",VLOOKUP(B72,'Project Summary'!$K$180:$L$200,2,FALSE))</f>
        <v/>
      </c>
      <c r="H72" s="34" t="str">
        <f>IF(B72="", "",'Project Summary'!P124)</f>
        <v/>
      </c>
      <c r="I72" s="36" t="str">
        <f>IF(B72="", "", Instructions!$L$2)</f>
        <v/>
      </c>
      <c r="J72" s="34" t="str">
        <f>IF(B72="", "", 'Combination Ovens'!D14)</f>
        <v/>
      </c>
      <c r="K72" s="34" t="str">
        <f>IF(B72="", "", 'Combination Ovens'!F14)</f>
        <v/>
      </c>
      <c r="L72" s="34" t="str">
        <f>IF(B72="", "", 'Combination Ovens'!G14)</f>
        <v/>
      </c>
      <c r="M72" s="34" t="str">
        <f>IF(B72="", "", 'Combination Ovens'!J14)</f>
        <v/>
      </c>
      <c r="N72" s="36" t="str">
        <f>IF(B72="", "", 'Combination Ovens'!AF14)</f>
        <v/>
      </c>
      <c r="O72" s="37" t="str">
        <f>IF(B72="", "", 'Combination Ovens'!AD14)</f>
        <v/>
      </c>
      <c r="P72" s="37" t="str">
        <f t="shared" si="3"/>
        <v/>
      </c>
      <c r="Q72" s="36" t="str">
        <f>IF(B72="", "", 'Combination Ovens'!AE14)</f>
        <v/>
      </c>
      <c r="R72" s="143" t="str">
        <f>IF(B72="", "", 'Combination Ovens'!$R$20)</f>
        <v/>
      </c>
      <c r="S72" s="38" t="str">
        <f>IF(B72="", "", 'Combination Ovens'!$R$24)</f>
        <v/>
      </c>
      <c r="AD72" s="34" t="str">
        <f>IF(B72="", "", 'Combination Ovens'!I14)</f>
        <v/>
      </c>
    </row>
    <row r="73" spans="1:31">
      <c r="A73" s="34" t="str">
        <f>IF(B73="", "", 'Project Summary'!R108)</f>
        <v/>
      </c>
      <c r="B73" s="34" t="str">
        <f>IF('Combination Ovens'!AF15="", "", "Combination Ovens")</f>
        <v/>
      </c>
      <c r="C73" s="34" t="str">
        <f>IF(B73="", "", 'Project Summary'!$C$10)</f>
        <v/>
      </c>
      <c r="D73" s="34" t="str">
        <f t="shared" si="2"/>
        <v/>
      </c>
      <c r="E73" s="34" t="str">
        <f>IF(B73="", "", CONCATENATE('Project Summary'!$C$7, " - ", 'Project Summary'!$C$10))</f>
        <v/>
      </c>
      <c r="F73" s="34" t="str">
        <f>IF(B73="", "", 'Project Summary'!$C$11)</f>
        <v/>
      </c>
      <c r="G73" s="34" t="str">
        <f>IF(B73="","",VLOOKUP(B73,'Project Summary'!$K$180:$L$200,2,FALSE))</f>
        <v/>
      </c>
      <c r="H73" s="34" t="str">
        <f>IF(B73="", "",'Project Summary'!P125)</f>
        <v/>
      </c>
      <c r="I73" s="36" t="str">
        <f>IF(B73="", "", Instructions!$L$2)</f>
        <v/>
      </c>
      <c r="J73" s="34" t="str">
        <f>IF(B73="", "", 'Combination Ovens'!D15)</f>
        <v/>
      </c>
      <c r="K73" s="34" t="str">
        <f>IF(B73="", "", 'Combination Ovens'!F15)</f>
        <v/>
      </c>
      <c r="L73" s="34" t="str">
        <f>IF(B73="", "", 'Combination Ovens'!G15)</f>
        <v/>
      </c>
      <c r="M73" s="34" t="str">
        <f>IF(B73="", "", 'Combination Ovens'!J15)</f>
        <v/>
      </c>
      <c r="N73" s="36" t="str">
        <f>IF(B73="", "", 'Combination Ovens'!AF15)</f>
        <v/>
      </c>
      <c r="O73" s="37" t="str">
        <f>IF(B73="", "", 'Combination Ovens'!AD15)</f>
        <v/>
      </c>
      <c r="P73" s="37" t="str">
        <f t="shared" si="3"/>
        <v/>
      </c>
      <c r="Q73" s="36" t="str">
        <f>IF(B73="", "", 'Combination Ovens'!AE15)</f>
        <v/>
      </c>
      <c r="R73" s="143" t="str">
        <f>IF(B73="", "", 'Combination Ovens'!$R$20)</f>
        <v/>
      </c>
      <c r="S73" s="38" t="str">
        <f>IF(B73="", "", 'Combination Ovens'!$R$24)</f>
        <v/>
      </c>
      <c r="AD73" s="34" t="str">
        <f>IF(B73="", "", 'Combination Ovens'!I15)</f>
        <v/>
      </c>
    </row>
    <row r="74" spans="1:31">
      <c r="A74" s="34" t="str">
        <f>IF(B74="", "", 'Project Summary'!R109)</f>
        <v/>
      </c>
      <c r="B74" s="34" t="str">
        <f>IF('Convection Ovens'!X8="", "", "Convection Oven")</f>
        <v/>
      </c>
      <c r="C74" s="34" t="str">
        <f>IF(B74="", "", 'Project Summary'!$C$10)</f>
        <v/>
      </c>
      <c r="D74" s="34" t="str">
        <f t="shared" si="2"/>
        <v/>
      </c>
      <c r="E74" s="34" t="str">
        <f>IF(B74="", "", CONCATENATE('Project Summary'!$C$7, " - ", 'Project Summary'!$C$10))</f>
        <v/>
      </c>
      <c r="F74" s="34" t="str">
        <f>IF(B74="", "", 'Project Summary'!$C$11)</f>
        <v/>
      </c>
      <c r="G74" s="34" t="str">
        <f>IF(B74="","",VLOOKUP(B74,'Project Summary'!$K$180:$L$200,2,FALSE))</f>
        <v/>
      </c>
      <c r="H74" s="34" t="str">
        <f>IF(B74="", "",'Project Summary'!P128)</f>
        <v/>
      </c>
      <c r="I74" s="36" t="str">
        <f>IF(B74="", "", Instructions!$L$2)</f>
        <v/>
      </c>
      <c r="J74" s="34" t="str">
        <f>IF(B74="", "", 'Convection Ovens'!D8)</f>
        <v/>
      </c>
      <c r="K74" s="34" t="str">
        <f>IF(B74="", "", 'Convection Ovens'!E8)</f>
        <v/>
      </c>
      <c r="L74" s="34" t="str">
        <f>IF(B74="", "", 'Convection Ovens'!F8)</f>
        <v/>
      </c>
      <c r="M74" s="34" t="str">
        <f>IF(B74="", "", 'Convection Ovens'!J8)</f>
        <v/>
      </c>
      <c r="N74" s="36" t="str">
        <f>IF(B74="", "", 'Convection Ovens'!X8)</f>
        <v/>
      </c>
      <c r="O74" s="37" t="str">
        <f>IF(B74="", "", 'Convection Ovens'!V8)</f>
        <v/>
      </c>
      <c r="P74" s="37" t="str">
        <f t="shared" si="3"/>
        <v/>
      </c>
      <c r="Q74" s="36" t="str">
        <f>IF(B74="", "", 'Convection Ovens'!W8)</f>
        <v/>
      </c>
      <c r="R74" s="143" t="str">
        <f>IF(B74="", "", 'Convection Ovens'!R8)</f>
        <v/>
      </c>
      <c r="S74" s="38" t="str">
        <f>IF(B74="", "", 'Convection Ovens'!$C$31)</f>
        <v/>
      </c>
      <c r="AE74" s="34" t="str">
        <f>IF(B74="", "", 'Convection Ovens'!I8)</f>
        <v/>
      </c>
    </row>
    <row r="75" spans="1:31">
      <c r="A75" s="34" t="str">
        <f>IF(B75="", "", 'Project Summary'!R110)</f>
        <v/>
      </c>
      <c r="B75" s="34" t="str">
        <f>IF('Convection Ovens'!X9="", "", "Convection Oven")</f>
        <v/>
      </c>
      <c r="C75" s="34" t="str">
        <f>IF(B75="", "", 'Project Summary'!$C$10)</f>
        <v/>
      </c>
      <c r="D75" s="34" t="str">
        <f t="shared" si="2"/>
        <v/>
      </c>
      <c r="E75" s="34" t="str">
        <f>IF(B75="", "", CONCATENATE('Project Summary'!$C$7, " - ", 'Project Summary'!$C$10))</f>
        <v/>
      </c>
      <c r="F75" s="34" t="str">
        <f>IF(B75="", "", 'Project Summary'!$C$11)</f>
        <v/>
      </c>
      <c r="G75" s="34" t="str">
        <f>IF(B75="","",VLOOKUP(B75,'Project Summary'!$K$180:$L$200,2,FALSE))</f>
        <v/>
      </c>
      <c r="H75" s="34" t="str">
        <f>IF(B75="", "",'Project Summary'!P129)</f>
        <v/>
      </c>
      <c r="I75" s="36" t="str">
        <f>IF(B75="", "", Instructions!$L$2)</f>
        <v/>
      </c>
      <c r="J75" s="34" t="str">
        <f>IF(B75="", "", 'Convection Ovens'!D9)</f>
        <v/>
      </c>
      <c r="K75" s="34" t="str">
        <f>IF(B75="", "", 'Convection Ovens'!E9)</f>
        <v/>
      </c>
      <c r="L75" s="34" t="str">
        <f>IF(B75="", "", 'Convection Ovens'!F9)</f>
        <v/>
      </c>
      <c r="M75" s="34" t="str">
        <f>IF(B75="", "", 'Convection Ovens'!J9)</f>
        <v/>
      </c>
      <c r="N75" s="36" t="str">
        <f>IF(B75="", "", 'Convection Ovens'!X9)</f>
        <v/>
      </c>
      <c r="O75" s="37" t="str">
        <f>IF(B75="", "", 'Convection Ovens'!V9)</f>
        <v/>
      </c>
      <c r="P75" s="37" t="str">
        <f t="shared" si="3"/>
        <v/>
      </c>
      <c r="Q75" s="36" t="str">
        <f>IF(B75="", "", 'Convection Ovens'!W9)</f>
        <v/>
      </c>
      <c r="R75" s="143" t="str">
        <f>IF(B75="", "", 'Convection Ovens'!R9)</f>
        <v/>
      </c>
      <c r="S75" s="38" t="str">
        <f>IF(B75="", "", 'Convection Ovens'!$C$31)</f>
        <v/>
      </c>
      <c r="AE75" s="34" t="str">
        <f>IF(B75="", "", 'Convection Ovens'!I9)</f>
        <v/>
      </c>
    </row>
    <row r="76" spans="1:31">
      <c r="A76" s="34" t="str">
        <f>IF(B76="", "", 'Project Summary'!R111)</f>
        <v/>
      </c>
      <c r="B76" s="34" t="str">
        <f>IF('Convection Ovens'!X10="", "", "Convection Oven")</f>
        <v/>
      </c>
      <c r="C76" s="34" t="str">
        <f>IF(B76="", "", 'Project Summary'!$C$10)</f>
        <v/>
      </c>
      <c r="D76" s="34" t="str">
        <f t="shared" si="2"/>
        <v/>
      </c>
      <c r="E76" s="34" t="str">
        <f>IF(B76="", "", CONCATENATE('Project Summary'!$C$7, " - ", 'Project Summary'!$C$10))</f>
        <v/>
      </c>
      <c r="F76" s="34" t="str">
        <f>IF(B76="", "", 'Project Summary'!$C$11)</f>
        <v/>
      </c>
      <c r="G76" s="34" t="str">
        <f>IF(B76="","",VLOOKUP(B76,'Project Summary'!$K$180:$L$200,2,FALSE))</f>
        <v/>
      </c>
      <c r="H76" s="34" t="str">
        <f>IF(B76="", "",'Project Summary'!P130)</f>
        <v/>
      </c>
      <c r="I76" s="36" t="str">
        <f>IF(B76="", "", Instructions!$L$2)</f>
        <v/>
      </c>
      <c r="J76" s="34" t="str">
        <f>IF(B76="", "", 'Convection Ovens'!D10)</f>
        <v/>
      </c>
      <c r="K76" s="34" t="str">
        <f>IF(B76="", "", 'Convection Ovens'!E10)</f>
        <v/>
      </c>
      <c r="L76" s="34" t="str">
        <f>IF(B76="", "", 'Convection Ovens'!F10)</f>
        <v/>
      </c>
      <c r="M76" s="34" t="str">
        <f>IF(B76="", "", 'Convection Ovens'!J10)</f>
        <v/>
      </c>
      <c r="N76" s="36" t="str">
        <f>IF(B76="", "", 'Convection Ovens'!X10)</f>
        <v/>
      </c>
      <c r="O76" s="37" t="str">
        <f>IF(B76="", "", 'Convection Ovens'!V10)</f>
        <v/>
      </c>
      <c r="P76" s="37" t="str">
        <f t="shared" si="3"/>
        <v/>
      </c>
      <c r="Q76" s="36" t="str">
        <f>IF(B76="", "", 'Convection Ovens'!W10)</f>
        <v/>
      </c>
      <c r="R76" s="143" t="str">
        <f>IF(B76="", "", 'Convection Ovens'!R10)</f>
        <v/>
      </c>
      <c r="S76" s="38" t="str">
        <f>IF(B76="", "", 'Convection Ovens'!$C$31)</f>
        <v/>
      </c>
      <c r="AE76" s="34" t="str">
        <f>IF(B76="", "", 'Convection Ovens'!I10)</f>
        <v/>
      </c>
    </row>
    <row r="77" spans="1:31">
      <c r="A77" s="34" t="str">
        <f>IF(B77="", "", 'Project Summary'!R112)</f>
        <v/>
      </c>
      <c r="B77" s="34" t="str">
        <f>IF('Convection Ovens'!X11="", "", "Convection Oven")</f>
        <v/>
      </c>
      <c r="C77" s="34" t="str">
        <f>IF(B77="", "", 'Project Summary'!$C$10)</f>
        <v/>
      </c>
      <c r="D77" s="34" t="str">
        <f t="shared" si="2"/>
        <v/>
      </c>
      <c r="E77" s="34" t="str">
        <f>IF(B77="", "", CONCATENATE('Project Summary'!$C$7, " - ", 'Project Summary'!$C$10))</f>
        <v/>
      </c>
      <c r="F77" s="34" t="str">
        <f>IF(B77="", "", 'Project Summary'!$C$11)</f>
        <v/>
      </c>
      <c r="G77" s="34" t="str">
        <f>IF(B77="","",VLOOKUP(B77,'Project Summary'!$K$180:$L$200,2,FALSE))</f>
        <v/>
      </c>
      <c r="H77" s="34" t="str">
        <f>IF(B77="", "",'Project Summary'!P131)</f>
        <v/>
      </c>
      <c r="I77" s="36" t="str">
        <f>IF(B77="", "", Instructions!$L$2)</f>
        <v/>
      </c>
      <c r="J77" s="34" t="str">
        <f>IF(B77="", "", 'Convection Ovens'!D11)</f>
        <v/>
      </c>
      <c r="K77" s="34" t="str">
        <f>IF(B77="", "", 'Convection Ovens'!E11)</f>
        <v/>
      </c>
      <c r="L77" s="34" t="str">
        <f>IF(B77="", "", 'Convection Ovens'!F11)</f>
        <v/>
      </c>
      <c r="M77" s="34" t="str">
        <f>IF(B77="", "", 'Convection Ovens'!J11)</f>
        <v/>
      </c>
      <c r="N77" s="36" t="str">
        <f>IF(B77="", "", 'Convection Ovens'!X11)</f>
        <v/>
      </c>
      <c r="O77" s="37" t="str">
        <f>IF(B77="", "", 'Convection Ovens'!V11)</f>
        <v/>
      </c>
      <c r="P77" s="37" t="str">
        <f t="shared" si="3"/>
        <v/>
      </c>
      <c r="Q77" s="36" t="str">
        <f>IF(B77="", "", 'Convection Ovens'!W11)</f>
        <v/>
      </c>
      <c r="R77" s="143" t="str">
        <f>IF(B77="", "", 'Convection Ovens'!R11)</f>
        <v/>
      </c>
      <c r="S77" s="38" t="str">
        <f>IF(B77="", "", 'Convection Ovens'!$C$31)</f>
        <v/>
      </c>
      <c r="AE77" s="34" t="str">
        <f>IF(B77="", "", 'Convection Ovens'!I11)</f>
        <v/>
      </c>
    </row>
    <row r="78" spans="1:31">
      <c r="A78" s="34" t="str">
        <f>IF(B78="", "", 'Project Summary'!R113)</f>
        <v/>
      </c>
      <c r="B78" s="34" t="str">
        <f>IF('Convection Ovens'!X12="", "", "Convection Oven")</f>
        <v/>
      </c>
      <c r="C78" s="34" t="str">
        <f>IF(B78="", "", 'Project Summary'!$C$10)</f>
        <v/>
      </c>
      <c r="D78" s="34" t="str">
        <f t="shared" si="2"/>
        <v/>
      </c>
      <c r="E78" s="34" t="str">
        <f>IF(B78="", "", CONCATENATE('Project Summary'!$C$7, " - ", 'Project Summary'!$C$10))</f>
        <v/>
      </c>
      <c r="F78" s="34" t="str">
        <f>IF(B78="", "", 'Project Summary'!$C$11)</f>
        <v/>
      </c>
      <c r="G78" s="34" t="str">
        <f>IF(B78="","",VLOOKUP(B78,'Project Summary'!$K$180:$L$200,2,FALSE))</f>
        <v/>
      </c>
      <c r="H78" s="34" t="str">
        <f>IF(B78="", "",'Project Summary'!P132)</f>
        <v/>
      </c>
      <c r="I78" s="36" t="str">
        <f>IF(B78="", "", Instructions!$L$2)</f>
        <v/>
      </c>
      <c r="J78" s="34" t="str">
        <f>IF(B78="", "", 'Convection Ovens'!D12)</f>
        <v/>
      </c>
      <c r="K78" s="34" t="str">
        <f>IF(B78="", "", 'Convection Ovens'!E12)</f>
        <v/>
      </c>
      <c r="L78" s="34" t="str">
        <f>IF(B78="", "", 'Convection Ovens'!F12)</f>
        <v/>
      </c>
      <c r="M78" s="34" t="str">
        <f>IF(B78="", "", 'Convection Ovens'!J12)</f>
        <v/>
      </c>
      <c r="N78" s="36" t="str">
        <f>IF(B78="", "", 'Convection Ovens'!X12)</f>
        <v/>
      </c>
      <c r="O78" s="37" t="str">
        <f>IF(B78="", "", 'Convection Ovens'!V12)</f>
        <v/>
      </c>
      <c r="P78" s="37" t="str">
        <f t="shared" si="3"/>
        <v/>
      </c>
      <c r="Q78" s="36" t="str">
        <f>IF(B78="", "", 'Convection Ovens'!W12)</f>
        <v/>
      </c>
      <c r="R78" s="143" t="str">
        <f>IF(B78="", "", 'Convection Ovens'!R12)</f>
        <v/>
      </c>
      <c r="S78" s="38" t="str">
        <f>IF(B78="", "", 'Convection Ovens'!$C$31)</f>
        <v/>
      </c>
      <c r="AE78" s="34" t="str">
        <f>IF(B78="", "", 'Convection Ovens'!I12)</f>
        <v/>
      </c>
    </row>
    <row r="79" spans="1:31">
      <c r="A79" s="34" t="str">
        <f>IF(B79="", "", 'Project Summary'!R114)</f>
        <v/>
      </c>
      <c r="B79" s="34" t="str">
        <f>IF('Convection Ovens'!X13="", "", "Convection Oven")</f>
        <v/>
      </c>
      <c r="C79" s="34" t="str">
        <f>IF(B79="", "", 'Project Summary'!$C$10)</f>
        <v/>
      </c>
      <c r="D79" s="34" t="str">
        <f t="shared" si="2"/>
        <v/>
      </c>
      <c r="E79" s="34" t="str">
        <f>IF(B79="", "", CONCATENATE('Project Summary'!$C$7, " - ", 'Project Summary'!$C$10))</f>
        <v/>
      </c>
      <c r="F79" s="34" t="str">
        <f>IF(B79="", "", 'Project Summary'!$C$11)</f>
        <v/>
      </c>
      <c r="G79" s="34" t="str">
        <f>IF(B79="","",VLOOKUP(B79,'Project Summary'!$K$180:$L$200,2,FALSE))</f>
        <v/>
      </c>
      <c r="H79" s="34" t="str">
        <f>IF(B79="", "",'Project Summary'!P133)</f>
        <v/>
      </c>
      <c r="I79" s="36" t="str">
        <f>IF(B79="", "", Instructions!$L$2)</f>
        <v/>
      </c>
      <c r="J79" s="34" t="str">
        <f>IF(B79="", "", 'Convection Ovens'!D13)</f>
        <v/>
      </c>
      <c r="K79" s="34" t="str">
        <f>IF(B79="", "", 'Convection Ovens'!E13)</f>
        <v/>
      </c>
      <c r="L79" s="34" t="str">
        <f>IF(B79="", "", 'Convection Ovens'!F13)</f>
        <v/>
      </c>
      <c r="M79" s="34" t="str">
        <f>IF(B79="", "", 'Convection Ovens'!J13)</f>
        <v/>
      </c>
      <c r="N79" s="36" t="str">
        <f>IF(B79="", "", 'Convection Ovens'!X13)</f>
        <v/>
      </c>
      <c r="O79" s="37" t="str">
        <f>IF(B79="", "", 'Convection Ovens'!V13)</f>
        <v/>
      </c>
      <c r="P79" s="37" t="str">
        <f t="shared" si="3"/>
        <v/>
      </c>
      <c r="Q79" s="36" t="str">
        <f>IF(B79="", "", 'Convection Ovens'!W13)</f>
        <v/>
      </c>
      <c r="R79" s="143" t="str">
        <f>IF(B79="", "", 'Convection Ovens'!R13)</f>
        <v/>
      </c>
      <c r="S79" s="38" t="str">
        <f>IF(B79="", "", 'Convection Ovens'!$C$31)</f>
        <v/>
      </c>
      <c r="AE79" s="34" t="str">
        <f>IF(B79="", "", 'Convection Ovens'!I13)</f>
        <v/>
      </c>
    </row>
    <row r="80" spans="1:31">
      <c r="A80" s="34" t="str">
        <f>IF(B80="", "", 'Project Summary'!R115)</f>
        <v/>
      </c>
      <c r="B80" s="34" t="str">
        <f>IF('Convection Ovens'!X14="", "", "Convection Oven")</f>
        <v/>
      </c>
      <c r="C80" s="34" t="str">
        <f>IF(B80="", "", 'Project Summary'!$C$10)</f>
        <v/>
      </c>
      <c r="D80" s="34" t="str">
        <f t="shared" si="2"/>
        <v/>
      </c>
      <c r="E80" s="34" t="str">
        <f>IF(B80="", "", CONCATENATE('Project Summary'!$C$7, " - ", 'Project Summary'!$C$10))</f>
        <v/>
      </c>
      <c r="F80" s="34" t="str">
        <f>IF(B80="", "", 'Project Summary'!$C$11)</f>
        <v/>
      </c>
      <c r="G80" s="34" t="str">
        <f>IF(B80="","",VLOOKUP(B80,'Project Summary'!$K$180:$L$200,2,FALSE))</f>
        <v/>
      </c>
      <c r="H80" s="34" t="str">
        <f>IF(B80="", "",'Project Summary'!P134)</f>
        <v/>
      </c>
      <c r="I80" s="36" t="str">
        <f>IF(B80="", "", Instructions!$L$2)</f>
        <v/>
      </c>
      <c r="J80" s="34" t="str">
        <f>IF(B80="", "", 'Convection Ovens'!D14)</f>
        <v/>
      </c>
      <c r="K80" s="34" t="str">
        <f>IF(B80="", "", 'Convection Ovens'!E14)</f>
        <v/>
      </c>
      <c r="L80" s="34" t="str">
        <f>IF(B80="", "", 'Convection Ovens'!F14)</f>
        <v/>
      </c>
      <c r="M80" s="34" t="str">
        <f>IF(B80="", "", 'Convection Ovens'!J14)</f>
        <v/>
      </c>
      <c r="N80" s="36" t="str">
        <f>IF(B80="", "", 'Convection Ovens'!X14)</f>
        <v/>
      </c>
      <c r="O80" s="37" t="str">
        <f>IF(B80="", "", 'Convection Ovens'!V14)</f>
        <v/>
      </c>
      <c r="P80" s="37" t="str">
        <f t="shared" si="3"/>
        <v/>
      </c>
      <c r="Q80" s="36" t="str">
        <f>IF(B80="", "", 'Convection Ovens'!W14)</f>
        <v/>
      </c>
      <c r="R80" s="143" t="str">
        <f>IF(B80="", "", 'Convection Ovens'!R14)</f>
        <v/>
      </c>
      <c r="S80" s="38" t="str">
        <f>IF(B80="", "", 'Convection Ovens'!$C$31)</f>
        <v/>
      </c>
      <c r="AE80" s="34" t="str">
        <f>IF(B80="", "", 'Convection Ovens'!I14)</f>
        <v/>
      </c>
    </row>
    <row r="81" spans="1:31">
      <c r="A81" s="34" t="str">
        <f>IF(B81="", "", 'Project Summary'!R116)</f>
        <v/>
      </c>
      <c r="B81" s="34" t="str">
        <f>IF('Convection Ovens'!X15="", "", "Convection Oven")</f>
        <v/>
      </c>
      <c r="C81" s="34" t="str">
        <f>IF(B81="", "", 'Project Summary'!$C$10)</f>
        <v/>
      </c>
      <c r="D81" s="34" t="str">
        <f t="shared" si="2"/>
        <v/>
      </c>
      <c r="E81" s="34" t="str">
        <f>IF(B81="", "", CONCATENATE('Project Summary'!$C$7, " - ", 'Project Summary'!$C$10))</f>
        <v/>
      </c>
      <c r="F81" s="34" t="str">
        <f>IF(B81="", "", 'Project Summary'!$C$11)</f>
        <v/>
      </c>
      <c r="G81" s="34" t="str">
        <f>IF(B81="","",VLOOKUP(B81,'Project Summary'!$K$180:$L$200,2,FALSE))</f>
        <v/>
      </c>
      <c r="H81" s="34" t="str">
        <f>IF(B81="", "",'Project Summary'!P135)</f>
        <v/>
      </c>
      <c r="I81" s="36" t="str">
        <f>IF(B81="", "", Instructions!$L$2)</f>
        <v/>
      </c>
      <c r="J81" s="34" t="str">
        <f>IF(B81="", "", 'Convection Ovens'!D15)</f>
        <v/>
      </c>
      <c r="K81" s="34" t="str">
        <f>IF(B81="", "", 'Convection Ovens'!E15)</f>
        <v/>
      </c>
      <c r="L81" s="34" t="str">
        <f>IF(B81="", "", 'Convection Ovens'!F15)</f>
        <v/>
      </c>
      <c r="M81" s="34" t="str">
        <f>IF(B81="", "", 'Convection Ovens'!J15)</f>
        <v/>
      </c>
      <c r="N81" s="36" t="str">
        <f>IF(B81="", "", 'Convection Ovens'!X15)</f>
        <v/>
      </c>
      <c r="O81" s="37" t="str">
        <f>IF(B81="", "", 'Convection Ovens'!V15)</f>
        <v/>
      </c>
      <c r="P81" s="37" t="str">
        <f t="shared" si="3"/>
        <v/>
      </c>
      <c r="Q81" s="36" t="str">
        <f>IF(B81="", "", 'Convection Ovens'!W15)</f>
        <v/>
      </c>
      <c r="R81" s="143" t="str">
        <f>IF(B81="", "", 'Convection Ovens'!R15)</f>
        <v/>
      </c>
      <c r="S81" s="38" t="str">
        <f>IF(B81="", "", 'Convection Ovens'!$C$31)</f>
        <v/>
      </c>
      <c r="AE81" s="34" t="str">
        <f>IF(B81="", "", 'Convection Ovens'!I15)</f>
        <v/>
      </c>
    </row>
    <row r="82" spans="1:31">
      <c r="A82" s="34" t="str">
        <f>IF(B82="", "", 'Project Summary'!R117)</f>
        <v/>
      </c>
      <c r="B82" s="34" t="str">
        <f>IF('Steam Cookers'!AG8="", "", 'Steam Cookers'!Y8)</f>
        <v/>
      </c>
      <c r="C82" s="34" t="str">
        <f>IF(B82="", "", 'Project Summary'!$C$10)</f>
        <v/>
      </c>
      <c r="D82" s="34" t="str">
        <f t="shared" si="2"/>
        <v/>
      </c>
      <c r="E82" s="34" t="str">
        <f>IF(B82="", "", CONCATENATE('Project Summary'!$C$7, " - ", 'Project Summary'!$C$10))</f>
        <v/>
      </c>
      <c r="F82" s="34" t="str">
        <f>IF(B82="", "", 'Project Summary'!$C$11)</f>
        <v/>
      </c>
      <c r="G82" s="34" t="str">
        <f>IF(B82="","",VLOOKUP(B82,'Project Summary'!$K$180:$L$200,2,FALSE))</f>
        <v/>
      </c>
      <c r="H82" s="34" t="str">
        <f>IF(B82="", "",'Project Summary'!P138)</f>
        <v/>
      </c>
      <c r="I82" s="36" t="str">
        <f>IF(B82="", "", Instructions!$L$2)</f>
        <v/>
      </c>
      <c r="J82" s="34" t="str">
        <f>IF(B82="", "", 'Steam Cookers'!D8)</f>
        <v/>
      </c>
      <c r="K82" s="34" t="str">
        <f>IF(B82="", "",'Steam Cookers'!E8)</f>
        <v/>
      </c>
      <c r="L82" s="34" t="str">
        <f>IF(B82="", "",'Steam Cookers'!F8)</f>
        <v/>
      </c>
      <c r="M82" s="34" t="str">
        <f>IF(B82="", "", 'Steam Cookers'!J8)</f>
        <v/>
      </c>
      <c r="N82" s="36" t="str">
        <f>IF(B82="", "", 'Steam Cookers'!AG8)</f>
        <v/>
      </c>
      <c r="O82" s="37" t="str">
        <f>IF(B82="", "", 'Steam Cookers'!AA8)</f>
        <v/>
      </c>
      <c r="P82" s="37" t="str">
        <f t="shared" si="3"/>
        <v/>
      </c>
      <c r="Q82" s="36" t="str">
        <f>IF(B82="", "", 'Steam Cookers'!AF8)</f>
        <v/>
      </c>
      <c r="R82" s="143" t="str">
        <f>IF(B82="", "", 'Steam Cookers'!X8)</f>
        <v/>
      </c>
      <c r="S82" s="38" t="str">
        <f>IF(B82="", "", 'Steam Cookers'!$F$27)</f>
        <v/>
      </c>
      <c r="AD82" s="34" t="str">
        <f>IF(B82="", "", 'Steam Cookers'!G8)</f>
        <v/>
      </c>
    </row>
    <row r="83" spans="1:31">
      <c r="A83" s="34" t="str">
        <f>IF(B83="", "", 'Project Summary'!R118)</f>
        <v/>
      </c>
      <c r="B83" s="34" t="str">
        <f>IF('Steam Cookers'!AG9="", "", 'Steam Cookers'!Y9)</f>
        <v/>
      </c>
      <c r="C83" s="34" t="str">
        <f>IF(B83="", "", 'Project Summary'!$C$10)</f>
        <v/>
      </c>
      <c r="D83" s="34" t="str">
        <f t="shared" si="2"/>
        <v/>
      </c>
      <c r="E83" s="34" t="str">
        <f>IF(B83="", "", CONCATENATE('Project Summary'!$C$7, " - ", 'Project Summary'!$C$10))</f>
        <v/>
      </c>
      <c r="F83" s="34" t="str">
        <f>IF(B83="", "", 'Project Summary'!$C$11)</f>
        <v/>
      </c>
      <c r="G83" s="34" t="str">
        <f>IF(B83="","",VLOOKUP(B83,'Project Summary'!$K$180:$L$200,2,FALSE))</f>
        <v/>
      </c>
      <c r="H83" s="34" t="str">
        <f>IF(B83="", "",'Project Summary'!P139)</f>
        <v/>
      </c>
      <c r="I83" s="36" t="str">
        <f>IF(B83="", "", Instructions!$L$2)</f>
        <v/>
      </c>
      <c r="J83" s="34" t="str">
        <f>IF(B83="", "", 'Steam Cookers'!D9)</f>
        <v/>
      </c>
      <c r="K83" s="34" t="str">
        <f>IF(B83="", "",'Steam Cookers'!E9)</f>
        <v/>
      </c>
      <c r="L83" s="34" t="str">
        <f>IF(B83="", "",'Steam Cookers'!F9)</f>
        <v/>
      </c>
      <c r="M83" s="34" t="str">
        <f>IF(B83="", "", 'Steam Cookers'!J9)</f>
        <v/>
      </c>
      <c r="N83" s="36" t="str">
        <f>IF(B83="", "", 'Steam Cookers'!AG9)</f>
        <v/>
      </c>
      <c r="O83" s="37" t="str">
        <f>IF(B83="", "", 'Steam Cookers'!AA9)</f>
        <v/>
      </c>
      <c r="P83" s="37" t="str">
        <f t="shared" si="3"/>
        <v/>
      </c>
      <c r="Q83" s="36" t="str">
        <f>IF(B83="", "", 'Steam Cookers'!AF9)</f>
        <v/>
      </c>
      <c r="R83" s="143" t="str">
        <f>IF(B83="", "", 'Steam Cookers'!X9)</f>
        <v/>
      </c>
      <c r="S83" s="38" t="str">
        <f>IF(B83="", "", 'Steam Cookers'!$F$27)</f>
        <v/>
      </c>
      <c r="AD83" s="34" t="str">
        <f>IF(B83="", "", 'Steam Cookers'!G9)</f>
        <v/>
      </c>
    </row>
    <row r="84" spans="1:31">
      <c r="A84" s="34" t="str">
        <f>IF(B84="", "", 'Project Summary'!R119)</f>
        <v/>
      </c>
      <c r="B84" s="34" t="str">
        <f>IF('Steam Cookers'!AG10="", "", 'Steam Cookers'!Y10)</f>
        <v/>
      </c>
      <c r="C84" s="34" t="str">
        <f>IF(B84="", "", 'Project Summary'!$C$10)</f>
        <v/>
      </c>
      <c r="D84" s="34" t="str">
        <f t="shared" si="2"/>
        <v/>
      </c>
      <c r="E84" s="34" t="str">
        <f>IF(B84="", "", CONCATENATE('Project Summary'!$C$7, " - ", 'Project Summary'!$C$10))</f>
        <v/>
      </c>
      <c r="F84" s="34" t="str">
        <f>IF(B84="", "", 'Project Summary'!$C$11)</f>
        <v/>
      </c>
      <c r="G84" s="34" t="str">
        <f>IF(B84="","",VLOOKUP(B84,'Project Summary'!$K$180:$L$200,2,FALSE))</f>
        <v/>
      </c>
      <c r="H84" s="34" t="str">
        <f>IF(B84="", "",'Project Summary'!P140)</f>
        <v/>
      </c>
      <c r="I84" s="36" t="str">
        <f>IF(B84="", "", Instructions!$L$2)</f>
        <v/>
      </c>
      <c r="J84" s="34" t="str">
        <f>IF(B84="", "", 'Steam Cookers'!D10)</f>
        <v/>
      </c>
      <c r="K84" s="34" t="str">
        <f>IF(B84="", "",'Steam Cookers'!E10)</f>
        <v/>
      </c>
      <c r="L84" s="34" t="str">
        <f>IF(B84="", "",'Steam Cookers'!F10)</f>
        <v/>
      </c>
      <c r="M84" s="34" t="str">
        <f>IF(B84="", "", 'Steam Cookers'!J10)</f>
        <v/>
      </c>
      <c r="N84" s="36" t="str">
        <f>IF(B84="", "", 'Steam Cookers'!AG10)</f>
        <v/>
      </c>
      <c r="O84" s="37" t="str">
        <f>IF(B84="", "", 'Steam Cookers'!AA10)</f>
        <v/>
      </c>
      <c r="P84" s="37" t="str">
        <f t="shared" si="3"/>
        <v/>
      </c>
      <c r="Q84" s="36" t="str">
        <f>IF(B84="", "", 'Steam Cookers'!AF10)</f>
        <v/>
      </c>
      <c r="R84" s="143" t="str">
        <f>IF(B84="", "", 'Steam Cookers'!X10)</f>
        <v/>
      </c>
      <c r="S84" s="38" t="str">
        <f>IF(B84="", "", 'Steam Cookers'!$F$27)</f>
        <v/>
      </c>
      <c r="AD84" s="34" t="str">
        <f>IF(B84="", "", 'Steam Cookers'!G10)</f>
        <v/>
      </c>
    </row>
    <row r="85" spans="1:31">
      <c r="A85" s="34" t="str">
        <f>IF(B85="", "", 'Project Summary'!R120)</f>
        <v/>
      </c>
      <c r="B85" s="34" t="str">
        <f>IF('Steam Cookers'!AG11="", "", 'Steam Cookers'!Y11)</f>
        <v/>
      </c>
      <c r="C85" s="34" t="str">
        <f>IF(B85="", "", 'Project Summary'!$C$10)</f>
        <v/>
      </c>
      <c r="D85" s="34" t="str">
        <f t="shared" si="2"/>
        <v/>
      </c>
      <c r="E85" s="34" t="str">
        <f>IF(B85="", "", CONCATENATE('Project Summary'!$C$7, " - ", 'Project Summary'!$C$10))</f>
        <v/>
      </c>
      <c r="F85" s="34" t="str">
        <f>IF(B85="", "", 'Project Summary'!$C$11)</f>
        <v/>
      </c>
      <c r="G85" s="34" t="str">
        <f>IF(B85="","",VLOOKUP(B85,'Project Summary'!$K$180:$L$200,2,FALSE))</f>
        <v/>
      </c>
      <c r="H85" s="34" t="str">
        <f>IF(B85="", "",'Project Summary'!P141)</f>
        <v/>
      </c>
      <c r="I85" s="36" t="str">
        <f>IF(B85="", "", Instructions!$L$2)</f>
        <v/>
      </c>
      <c r="J85" s="34" t="str">
        <f>IF(B85="", "", 'Steam Cookers'!D11)</f>
        <v/>
      </c>
      <c r="K85" s="34" t="str">
        <f>IF(B85="", "",'Steam Cookers'!E11)</f>
        <v/>
      </c>
      <c r="L85" s="34" t="str">
        <f>IF(B85="", "",'Steam Cookers'!F11)</f>
        <v/>
      </c>
      <c r="M85" s="34" t="str">
        <f>IF(B85="", "", 'Steam Cookers'!J11)</f>
        <v/>
      </c>
      <c r="N85" s="36" t="str">
        <f>IF(B85="", "", 'Steam Cookers'!AG11)</f>
        <v/>
      </c>
      <c r="O85" s="37" t="str">
        <f>IF(B85="", "", 'Steam Cookers'!AA11)</f>
        <v/>
      </c>
      <c r="P85" s="37" t="str">
        <f t="shared" si="3"/>
        <v/>
      </c>
      <c r="Q85" s="36" t="str">
        <f>IF(B85="", "", 'Steam Cookers'!AF11)</f>
        <v/>
      </c>
      <c r="R85" s="143" t="str">
        <f>IF(B85="", "", 'Steam Cookers'!X11)</f>
        <v/>
      </c>
      <c r="S85" s="38" t="str">
        <f>IF(B85="", "", 'Steam Cookers'!$F$27)</f>
        <v/>
      </c>
      <c r="AD85" s="34" t="str">
        <f>IF(B85="", "", 'Steam Cookers'!G11)</f>
        <v/>
      </c>
    </row>
    <row r="86" spans="1:31">
      <c r="A86" s="34" t="str">
        <f>IF(B86="", "", 'Project Summary'!R121)</f>
        <v/>
      </c>
      <c r="B86" s="34" t="str">
        <f>IF('Steam Cookers'!AG12="", "", 'Steam Cookers'!Y12)</f>
        <v/>
      </c>
      <c r="C86" s="34" t="str">
        <f>IF(B86="", "", 'Project Summary'!$C$10)</f>
        <v/>
      </c>
      <c r="D86" s="34" t="str">
        <f t="shared" si="2"/>
        <v/>
      </c>
      <c r="E86" s="34" t="str">
        <f>IF(B86="", "", CONCATENATE('Project Summary'!$C$7, " - ", 'Project Summary'!$C$10))</f>
        <v/>
      </c>
      <c r="F86" s="34" t="str">
        <f>IF(B86="", "", 'Project Summary'!$C$11)</f>
        <v/>
      </c>
      <c r="G86" s="34" t="str">
        <f>IF(B86="","",VLOOKUP(B86,'Project Summary'!$K$180:$L$200,2,FALSE))</f>
        <v/>
      </c>
      <c r="H86" s="34" t="str">
        <f>IF(B86="", "",'Project Summary'!P142)</f>
        <v/>
      </c>
      <c r="I86" s="36" t="str">
        <f>IF(B86="", "", Instructions!$L$2)</f>
        <v/>
      </c>
      <c r="J86" s="34" t="str">
        <f>IF(B86="", "", 'Steam Cookers'!D12)</f>
        <v/>
      </c>
      <c r="K86" s="34" t="str">
        <f>IF(B86="", "",'Steam Cookers'!E12)</f>
        <v/>
      </c>
      <c r="L86" s="34" t="str">
        <f>IF(B86="", "",'Steam Cookers'!F12)</f>
        <v/>
      </c>
      <c r="M86" s="34" t="str">
        <f>IF(B86="", "", 'Steam Cookers'!J12)</f>
        <v/>
      </c>
      <c r="N86" s="36" t="str">
        <f>IF(B86="", "", 'Steam Cookers'!AG12)</f>
        <v/>
      </c>
      <c r="O86" s="37" t="str">
        <f>IF(B86="", "", 'Steam Cookers'!AA12)</f>
        <v/>
      </c>
      <c r="P86" s="37" t="str">
        <f t="shared" si="3"/>
        <v/>
      </c>
      <c r="Q86" s="36" t="str">
        <f>IF(B86="", "", 'Steam Cookers'!AF12)</f>
        <v/>
      </c>
      <c r="R86" s="143" t="str">
        <f>IF(B86="", "", 'Steam Cookers'!X12)</f>
        <v/>
      </c>
      <c r="S86" s="38" t="str">
        <f>IF(B86="", "", 'Steam Cookers'!$F$27)</f>
        <v/>
      </c>
      <c r="AD86" s="34" t="str">
        <f>IF(B86="", "", 'Steam Cookers'!G12)</f>
        <v/>
      </c>
    </row>
    <row r="87" spans="1:31">
      <c r="A87" s="34" t="str">
        <f>IF(B87="", "", 'Project Summary'!R122)</f>
        <v/>
      </c>
      <c r="B87" s="34" t="str">
        <f>IF('Steam Cookers'!AG13="", "", 'Steam Cookers'!Y13)</f>
        <v/>
      </c>
      <c r="C87" s="34" t="str">
        <f>IF(B87="", "", 'Project Summary'!$C$10)</f>
        <v/>
      </c>
      <c r="D87" s="34" t="str">
        <f t="shared" si="2"/>
        <v/>
      </c>
      <c r="E87" s="34" t="str">
        <f>IF(B87="", "", CONCATENATE('Project Summary'!$C$7, " - ", 'Project Summary'!$C$10))</f>
        <v/>
      </c>
      <c r="F87" s="34" t="str">
        <f>IF(B87="", "", 'Project Summary'!$C$11)</f>
        <v/>
      </c>
      <c r="G87" s="34" t="str">
        <f>IF(B87="","",VLOOKUP(B87,'Project Summary'!$K$180:$L$200,2,FALSE))</f>
        <v/>
      </c>
      <c r="H87" s="34" t="str">
        <f>IF(B87="", "",'Project Summary'!P143)</f>
        <v/>
      </c>
      <c r="I87" s="36" t="str">
        <f>IF(B87="", "", Instructions!$L$2)</f>
        <v/>
      </c>
      <c r="J87" s="34" t="str">
        <f>IF(B87="", "", 'Steam Cookers'!D13)</f>
        <v/>
      </c>
      <c r="K87" s="34" t="str">
        <f>IF(B87="", "",'Steam Cookers'!E13)</f>
        <v/>
      </c>
      <c r="L87" s="34" t="str">
        <f>IF(B87="", "",'Steam Cookers'!F13)</f>
        <v/>
      </c>
      <c r="M87" s="34" t="str">
        <f>IF(B87="", "", 'Steam Cookers'!J13)</f>
        <v/>
      </c>
      <c r="N87" s="36" t="str">
        <f>IF(B87="", "", 'Steam Cookers'!AG13)</f>
        <v/>
      </c>
      <c r="O87" s="37" t="str">
        <f>IF(B87="", "", 'Steam Cookers'!AA13)</f>
        <v/>
      </c>
      <c r="P87" s="37" t="str">
        <f t="shared" si="3"/>
        <v/>
      </c>
      <c r="Q87" s="36" t="str">
        <f>IF(B87="", "", 'Steam Cookers'!AF13)</f>
        <v/>
      </c>
      <c r="R87" s="143" t="str">
        <f>IF(B87="", "", 'Steam Cookers'!X13)</f>
        <v/>
      </c>
      <c r="S87" s="38" t="str">
        <f>IF(B87="", "", 'Steam Cookers'!$F$27)</f>
        <v/>
      </c>
      <c r="AD87" s="34" t="str">
        <f>IF(B87="", "", 'Steam Cookers'!G13)</f>
        <v/>
      </c>
    </row>
    <row r="88" spans="1:31">
      <c r="A88" s="34" t="str">
        <f>IF(B88="", "", 'Project Summary'!R123)</f>
        <v/>
      </c>
      <c r="B88" s="34" t="str">
        <f>IF('Steam Cookers'!AG14="", "", 'Steam Cookers'!Y14)</f>
        <v/>
      </c>
      <c r="C88" s="34" t="str">
        <f>IF(B88="", "", 'Project Summary'!$C$10)</f>
        <v/>
      </c>
      <c r="D88" s="34" t="str">
        <f t="shared" si="2"/>
        <v/>
      </c>
      <c r="E88" s="34" t="str">
        <f>IF(B88="", "", CONCATENATE('Project Summary'!$C$7, " - ", 'Project Summary'!$C$10))</f>
        <v/>
      </c>
      <c r="F88" s="34" t="str">
        <f>IF(B88="", "", 'Project Summary'!$C$11)</f>
        <v/>
      </c>
      <c r="G88" s="34" t="str">
        <f>IF(B88="","",VLOOKUP(B88,'Project Summary'!$K$180:$L$200,2,FALSE))</f>
        <v/>
      </c>
      <c r="H88" s="34" t="str">
        <f>IF(B88="", "",'Project Summary'!P144)</f>
        <v/>
      </c>
      <c r="I88" s="36" t="str">
        <f>IF(B88="", "", Instructions!$L$2)</f>
        <v/>
      </c>
      <c r="J88" s="34" t="str">
        <f>IF(B88="", "", 'Steam Cookers'!D14)</f>
        <v/>
      </c>
      <c r="K88" s="34" t="str">
        <f>IF(B88="", "",'Steam Cookers'!E14)</f>
        <v/>
      </c>
      <c r="L88" s="34" t="str">
        <f>IF(B88="", "",'Steam Cookers'!F14)</f>
        <v/>
      </c>
      <c r="M88" s="34" t="str">
        <f>IF(B88="", "", 'Steam Cookers'!J14)</f>
        <v/>
      </c>
      <c r="N88" s="36" t="str">
        <f>IF(B88="", "", 'Steam Cookers'!AG14)</f>
        <v/>
      </c>
      <c r="O88" s="37" t="str">
        <f>IF(B88="", "", 'Steam Cookers'!AA14)</f>
        <v/>
      </c>
      <c r="P88" s="37" t="str">
        <f t="shared" si="3"/>
        <v/>
      </c>
      <c r="Q88" s="36" t="str">
        <f>IF(B88="", "", 'Steam Cookers'!AF14)</f>
        <v/>
      </c>
      <c r="R88" s="143" t="str">
        <f>IF(B88="", "", 'Steam Cookers'!X14)</f>
        <v/>
      </c>
      <c r="S88" s="38" t="str">
        <f>IF(B88="", "", 'Steam Cookers'!$F$27)</f>
        <v/>
      </c>
      <c r="AD88" s="34" t="str">
        <f>IF(B88="", "", 'Steam Cookers'!G14)</f>
        <v/>
      </c>
    </row>
    <row r="89" spans="1:31">
      <c r="A89" s="34" t="str">
        <f>IF(B89="", "", 'Project Summary'!R124)</f>
        <v/>
      </c>
      <c r="B89" s="34" t="str">
        <f>IF('Steam Cookers'!AG15="", "", 'Steam Cookers'!Y15)</f>
        <v/>
      </c>
      <c r="C89" s="34" t="str">
        <f>IF(B89="", "", 'Project Summary'!$C$10)</f>
        <v/>
      </c>
      <c r="D89" s="34" t="str">
        <f t="shared" si="2"/>
        <v/>
      </c>
      <c r="E89" s="34" t="str">
        <f>IF(B89="", "", CONCATENATE('Project Summary'!$C$7, " - ", 'Project Summary'!$C$10))</f>
        <v/>
      </c>
      <c r="F89" s="34" t="str">
        <f>IF(B89="", "", 'Project Summary'!$C$11)</f>
        <v/>
      </c>
      <c r="G89" s="34" t="str">
        <f>IF(B89="","",VLOOKUP(B89,'Project Summary'!$K$180:$L$200,2,FALSE))</f>
        <v/>
      </c>
      <c r="H89" s="34" t="str">
        <f>IF(B89="", "",'Project Summary'!P145)</f>
        <v/>
      </c>
      <c r="I89" s="36" t="str">
        <f>IF(B89="", "", Instructions!$L$2)</f>
        <v/>
      </c>
      <c r="J89" s="34" t="str">
        <f>IF(B89="", "", 'Steam Cookers'!D15)</f>
        <v/>
      </c>
      <c r="K89" s="34" t="str">
        <f>IF(B89="", "",'Steam Cookers'!E15)</f>
        <v/>
      </c>
      <c r="L89" s="34" t="str">
        <f>IF(B89="", "",'Steam Cookers'!F15)</f>
        <v/>
      </c>
      <c r="M89" s="34" t="str">
        <f>IF(B89="", "", 'Steam Cookers'!J15)</f>
        <v/>
      </c>
      <c r="N89" s="36" t="str">
        <f>IF(B89="", "", 'Steam Cookers'!AG15)</f>
        <v/>
      </c>
      <c r="O89" s="37" t="str">
        <f>IF(B89="", "", 'Steam Cookers'!AA15)</f>
        <v/>
      </c>
      <c r="P89" s="37" t="str">
        <f t="shared" si="3"/>
        <v/>
      </c>
      <c r="Q89" s="36" t="str">
        <f>IF(B89="", "", 'Steam Cookers'!AF15)</f>
        <v/>
      </c>
      <c r="R89" s="143" t="str">
        <f>IF(B89="", "", 'Steam Cookers'!X15)</f>
        <v/>
      </c>
      <c r="S89" s="38" t="str">
        <f>IF(B89="", "", 'Steam Cookers'!$F$27)</f>
        <v/>
      </c>
      <c r="AD89" s="34" t="str">
        <f>IF(B89="", "", 'Steam Cookers'!G15)</f>
        <v/>
      </c>
    </row>
    <row r="90" spans="1:31">
      <c r="A90" s="34" t="str">
        <f>IF(B90="", "", 'Project Summary'!R125)</f>
        <v/>
      </c>
      <c r="B90" s="34" t="str">
        <f>IF(Fryers!Z8="", "", "Fryers")</f>
        <v/>
      </c>
      <c r="C90" s="34" t="str">
        <f>IF(B90="", "", 'Project Summary'!$C$10)</f>
        <v/>
      </c>
      <c r="D90" s="34" t="str">
        <f t="shared" si="2"/>
        <v/>
      </c>
      <c r="E90" s="34" t="str">
        <f>IF(B90="", "", CONCATENATE('Project Summary'!$C$7, " - ", 'Project Summary'!$C$10))</f>
        <v/>
      </c>
      <c r="F90" s="34" t="str">
        <f>IF(B90="", "", 'Project Summary'!$C$11)</f>
        <v/>
      </c>
      <c r="G90" s="34" t="str">
        <f>IF(B90="","",VLOOKUP(B90,'Project Summary'!$K$180:$L$200,2,FALSE))</f>
        <v/>
      </c>
      <c r="H90" s="34" t="str">
        <f>IF(B90="", "",'Project Summary'!P148)</f>
        <v/>
      </c>
      <c r="I90" s="36" t="str">
        <f>IF(B90="", "", Instructions!$L$2)</f>
        <v/>
      </c>
      <c r="J90" s="38" t="str">
        <f>IF(B90="", "", Fryers!D8)</f>
        <v/>
      </c>
      <c r="K90" s="34" t="str">
        <f>IF(B90="", "",Fryers!E8)</f>
        <v/>
      </c>
      <c r="L90" s="34" t="str">
        <f>IF(B90="", "",Fryers!F8)</f>
        <v/>
      </c>
      <c r="M90" s="38" t="str">
        <f>IF(B90="", "", Fryers!R8)</f>
        <v/>
      </c>
      <c r="N90" s="36" t="str">
        <f>IF(B90="", "", Fryers!Z8)</f>
        <v/>
      </c>
      <c r="O90" s="37" t="str">
        <f>IF(B90="", "", Fryers!X8)</f>
        <v/>
      </c>
      <c r="P90" s="37" t="str">
        <f t="shared" si="3"/>
        <v/>
      </c>
      <c r="Q90" s="36" t="str">
        <f>IF(B90="", "", Fryers!Y8)</f>
        <v/>
      </c>
      <c r="R90" s="144" t="str">
        <f>IF(B90="", "", Fryers!P8)</f>
        <v/>
      </c>
      <c r="S90" s="38" t="str">
        <f>IF(B90="", "", Fryers!$C$32)</f>
        <v/>
      </c>
    </row>
    <row r="91" spans="1:31">
      <c r="A91" s="34" t="str">
        <f>IF(B91="", "", 'Project Summary'!R126)</f>
        <v/>
      </c>
      <c r="B91" s="34" t="str">
        <f>IF(Fryers!Z9="", "", "Fryers")</f>
        <v/>
      </c>
      <c r="C91" s="34" t="str">
        <f>IF(B91="", "", 'Project Summary'!$C$10)</f>
        <v/>
      </c>
      <c r="D91" s="34" t="str">
        <f t="shared" si="2"/>
        <v/>
      </c>
      <c r="E91" s="34" t="str">
        <f>IF(B91="", "", CONCATENATE('Project Summary'!$C$7, " - ", 'Project Summary'!$C$10))</f>
        <v/>
      </c>
      <c r="F91" s="34" t="str">
        <f>IF(B91="", "", 'Project Summary'!$C$11)</f>
        <v/>
      </c>
      <c r="G91" s="34" t="str">
        <f>IF(B91="","",VLOOKUP(B91,'Project Summary'!$K$180:$L$200,2,FALSE))</f>
        <v/>
      </c>
      <c r="H91" s="34" t="str">
        <f>IF(B91="", "",'Project Summary'!P149)</f>
        <v/>
      </c>
      <c r="I91" s="36" t="str">
        <f>IF(B91="", "", Instructions!$L$2)</f>
        <v/>
      </c>
      <c r="J91" s="38" t="str">
        <f>IF(B91="", "", Fryers!D9)</f>
        <v/>
      </c>
      <c r="K91" s="34" t="str">
        <f>IF(B91="", "",Fryers!E9)</f>
        <v/>
      </c>
      <c r="L91" s="34" t="str">
        <f>IF(B91="", "",Fryers!F9)</f>
        <v/>
      </c>
      <c r="M91" s="38" t="str">
        <f>IF(B91="", "", Fryers!R9)</f>
        <v/>
      </c>
      <c r="N91" s="36" t="str">
        <f>IF(B91="", "", Fryers!Z9)</f>
        <v/>
      </c>
      <c r="O91" s="37" t="str">
        <f>IF(B91="", "", Fryers!X9)</f>
        <v/>
      </c>
      <c r="P91" s="37" t="str">
        <f t="shared" si="3"/>
        <v/>
      </c>
      <c r="Q91" s="36" t="str">
        <f>IF(B91="", "", Fryers!Y9)</f>
        <v/>
      </c>
      <c r="R91" s="144" t="str">
        <f>IF(B91="", "", Fryers!P9)</f>
        <v/>
      </c>
      <c r="S91" s="38" t="str">
        <f>IF(B91="", "", Fryers!$C$32)</f>
        <v/>
      </c>
    </row>
    <row r="92" spans="1:31">
      <c r="A92" s="34" t="str">
        <f>IF(B92="", "", 'Project Summary'!R127)</f>
        <v/>
      </c>
      <c r="B92" s="34" t="str">
        <f>IF(Fryers!Z10="", "", "Fryers")</f>
        <v/>
      </c>
      <c r="C92" s="34" t="str">
        <f>IF(B92="", "", 'Project Summary'!$C$10)</f>
        <v/>
      </c>
      <c r="D92" s="34" t="str">
        <f t="shared" si="2"/>
        <v/>
      </c>
      <c r="E92" s="34" t="str">
        <f>IF(B92="", "", CONCATENATE('Project Summary'!$C$7, " - ", 'Project Summary'!$C$10))</f>
        <v/>
      </c>
      <c r="F92" s="34" t="str">
        <f>IF(B92="", "", 'Project Summary'!$C$11)</f>
        <v/>
      </c>
      <c r="G92" s="34" t="str">
        <f>IF(B92="","",VLOOKUP(B92,'Project Summary'!$K$180:$L$200,2,FALSE))</f>
        <v/>
      </c>
      <c r="H92" s="34" t="str">
        <f>IF(B92="", "",'Project Summary'!P150)</f>
        <v/>
      </c>
      <c r="I92" s="36" t="str">
        <f>IF(B92="", "", Instructions!$L$2)</f>
        <v/>
      </c>
      <c r="J92" s="38" t="str">
        <f>IF(B92="", "", Fryers!D10)</f>
        <v/>
      </c>
      <c r="K92" s="34" t="str">
        <f>IF(B92="", "",Fryers!E10)</f>
        <v/>
      </c>
      <c r="L92" s="34" t="str">
        <f>IF(B92="", "",Fryers!F10)</f>
        <v/>
      </c>
      <c r="M92" s="38" t="str">
        <f>IF(B92="", "", Fryers!R10)</f>
        <v/>
      </c>
      <c r="N92" s="36" t="str">
        <f>IF(B92="", "", Fryers!Z10)</f>
        <v/>
      </c>
      <c r="O92" s="37" t="str">
        <f>IF(B92="", "", Fryers!X10)</f>
        <v/>
      </c>
      <c r="P92" s="37" t="str">
        <f t="shared" si="3"/>
        <v/>
      </c>
      <c r="Q92" s="36" t="str">
        <f>IF(B92="", "", Fryers!Y10)</f>
        <v/>
      </c>
      <c r="R92" s="144" t="str">
        <f>IF(B92="", "", Fryers!P10)</f>
        <v/>
      </c>
      <c r="S92" s="38" t="str">
        <f>IF(B92="", "", Fryers!$C$32)</f>
        <v/>
      </c>
    </row>
    <row r="93" spans="1:31">
      <c r="A93" s="34" t="str">
        <f>IF(B93="", "", 'Project Summary'!R128)</f>
        <v/>
      </c>
      <c r="B93" s="34" t="str">
        <f>IF(Fryers!Z11="", "", "Fryers")</f>
        <v/>
      </c>
      <c r="C93" s="34" t="str">
        <f>IF(B93="", "", 'Project Summary'!$C$10)</f>
        <v/>
      </c>
      <c r="D93" s="34" t="str">
        <f t="shared" si="2"/>
        <v/>
      </c>
      <c r="E93" s="34" t="str">
        <f>IF(B93="", "", CONCATENATE('Project Summary'!$C$7, " - ", 'Project Summary'!$C$10))</f>
        <v/>
      </c>
      <c r="F93" s="34" t="str">
        <f>IF(B93="", "", 'Project Summary'!$C$11)</f>
        <v/>
      </c>
      <c r="G93" s="34" t="str">
        <f>IF(B93="","",VLOOKUP(B93,'Project Summary'!$K$180:$L$200,2,FALSE))</f>
        <v/>
      </c>
      <c r="H93" s="34" t="str">
        <f>IF(B93="", "",'Project Summary'!P151)</f>
        <v/>
      </c>
      <c r="I93" s="36" t="str">
        <f>IF(B93="", "", Instructions!$L$2)</f>
        <v/>
      </c>
      <c r="J93" s="38" t="str">
        <f>IF(B93="", "", Fryers!D11)</f>
        <v/>
      </c>
      <c r="K93" s="34" t="str">
        <f>IF(B93="", "",Fryers!E11)</f>
        <v/>
      </c>
      <c r="L93" s="34" t="str">
        <f>IF(B93="", "",Fryers!F11)</f>
        <v/>
      </c>
      <c r="M93" s="38" t="str">
        <f>IF(B93="", "", Fryers!R11)</f>
        <v/>
      </c>
      <c r="N93" s="36" t="str">
        <f>IF(B93="", "", Fryers!Z11)</f>
        <v/>
      </c>
      <c r="O93" s="37" t="str">
        <f>IF(B93="", "", Fryers!X11)</f>
        <v/>
      </c>
      <c r="P93" s="37" t="str">
        <f t="shared" si="3"/>
        <v/>
      </c>
      <c r="Q93" s="36" t="str">
        <f>IF(B93="", "", Fryers!Y11)</f>
        <v/>
      </c>
      <c r="R93" s="144" t="str">
        <f>IF(B93="", "", Fryers!P11)</f>
        <v/>
      </c>
      <c r="S93" s="38" t="str">
        <f>IF(B93="", "", Fryers!$C$32)</f>
        <v/>
      </c>
    </row>
    <row r="94" spans="1:31">
      <c r="A94" s="34" t="str">
        <f>IF(B94="", "", 'Project Summary'!R129)</f>
        <v/>
      </c>
      <c r="B94" s="34" t="str">
        <f>IF(Fryers!Z12="", "", "Fryers")</f>
        <v/>
      </c>
      <c r="C94" s="34" t="str">
        <f>IF(B94="", "", 'Project Summary'!$C$10)</f>
        <v/>
      </c>
      <c r="D94" s="34" t="str">
        <f t="shared" si="2"/>
        <v/>
      </c>
      <c r="E94" s="34" t="str">
        <f>IF(B94="", "", CONCATENATE('Project Summary'!$C$7, " - ", 'Project Summary'!$C$10))</f>
        <v/>
      </c>
      <c r="F94" s="34" t="str">
        <f>IF(B94="", "", 'Project Summary'!$C$11)</f>
        <v/>
      </c>
      <c r="G94" s="34" t="str">
        <f>IF(B94="","",VLOOKUP(B94,'Project Summary'!$K$180:$L$200,2,FALSE))</f>
        <v/>
      </c>
      <c r="H94" s="34" t="str">
        <f>IF(B94="", "",'Project Summary'!P152)</f>
        <v/>
      </c>
      <c r="I94" s="36" t="str">
        <f>IF(B94="", "", Instructions!$L$2)</f>
        <v/>
      </c>
      <c r="J94" s="38" t="str">
        <f>IF(B94="", "", Fryers!D12)</f>
        <v/>
      </c>
      <c r="K94" s="34" t="str">
        <f>IF(B94="", "",Fryers!E12)</f>
        <v/>
      </c>
      <c r="L94" s="34" t="str">
        <f>IF(B94="", "",Fryers!F12)</f>
        <v/>
      </c>
      <c r="M94" s="38" t="str">
        <f>IF(B94="", "", Fryers!R12)</f>
        <v/>
      </c>
      <c r="N94" s="36" t="str">
        <f>IF(B94="", "", Fryers!Z12)</f>
        <v/>
      </c>
      <c r="O94" s="37" t="str">
        <f>IF(B94="", "", Fryers!X12)</f>
        <v/>
      </c>
      <c r="P94" s="37" t="str">
        <f t="shared" si="3"/>
        <v/>
      </c>
      <c r="Q94" s="36" t="str">
        <f>IF(B94="", "", Fryers!Y12)</f>
        <v/>
      </c>
      <c r="R94" s="144" t="str">
        <f>IF(B94="", "", Fryers!P12)</f>
        <v/>
      </c>
      <c r="S94" s="38" t="str">
        <f>IF(B94="", "", Fryers!$C$32)</f>
        <v/>
      </c>
    </row>
    <row r="95" spans="1:31">
      <c r="A95" s="34" t="str">
        <f>IF(B95="", "", 'Project Summary'!R130)</f>
        <v/>
      </c>
      <c r="B95" s="34" t="str">
        <f>IF(Fryers!Z13="", "", "Fryers")</f>
        <v/>
      </c>
      <c r="C95" s="34" t="str">
        <f>IF(B95="", "", 'Project Summary'!$C$10)</f>
        <v/>
      </c>
      <c r="D95" s="34" t="str">
        <f t="shared" si="2"/>
        <v/>
      </c>
      <c r="E95" s="34" t="str">
        <f>IF(B95="", "", CONCATENATE('Project Summary'!$C$7, " - ", 'Project Summary'!$C$10))</f>
        <v/>
      </c>
      <c r="F95" s="34" t="str">
        <f>IF(B95="", "", 'Project Summary'!$C$11)</f>
        <v/>
      </c>
      <c r="G95" s="34" t="str">
        <f>IF(B95="","",VLOOKUP(B95,'Project Summary'!$K$180:$L$200,2,FALSE))</f>
        <v/>
      </c>
      <c r="H95" s="34" t="str">
        <f>IF(B95="", "",'Project Summary'!P153)</f>
        <v/>
      </c>
      <c r="I95" s="36" t="str">
        <f>IF(B95="", "", Instructions!$L$2)</f>
        <v/>
      </c>
      <c r="J95" s="38" t="str">
        <f>IF(B95="", "", Fryers!D13)</f>
        <v/>
      </c>
      <c r="K95" s="34" t="str">
        <f>IF(B95="", "",Fryers!E13)</f>
        <v/>
      </c>
      <c r="L95" s="34" t="str">
        <f>IF(B95="", "",Fryers!F13)</f>
        <v/>
      </c>
      <c r="M95" s="38" t="str">
        <f>IF(B95="", "", Fryers!R13)</f>
        <v/>
      </c>
      <c r="N95" s="36" t="str">
        <f>IF(B95="", "", Fryers!Z13)</f>
        <v/>
      </c>
      <c r="O95" s="37" t="str">
        <f>IF(B95="", "", Fryers!X13)</f>
        <v/>
      </c>
      <c r="P95" s="37" t="str">
        <f t="shared" si="3"/>
        <v/>
      </c>
      <c r="Q95" s="36" t="str">
        <f>IF(B95="", "", Fryers!Y13)</f>
        <v/>
      </c>
      <c r="R95" s="144" t="str">
        <f>IF(B95="", "", Fryers!P13)</f>
        <v/>
      </c>
      <c r="S95" s="38" t="str">
        <f>IF(B95="", "", Fryers!$C$32)</f>
        <v/>
      </c>
    </row>
    <row r="96" spans="1:31">
      <c r="A96" s="34" t="str">
        <f>IF(B96="", "", 'Project Summary'!R131)</f>
        <v/>
      </c>
      <c r="B96" s="34" t="str">
        <f>IF(Fryers!Z14="", "", "Fryers")</f>
        <v/>
      </c>
      <c r="C96" s="34" t="str">
        <f>IF(B96="", "", 'Project Summary'!$C$10)</f>
        <v/>
      </c>
      <c r="D96" s="34" t="str">
        <f t="shared" si="2"/>
        <v/>
      </c>
      <c r="E96" s="34" t="str">
        <f>IF(B96="", "", CONCATENATE('Project Summary'!$C$7, " - ", 'Project Summary'!$C$10))</f>
        <v/>
      </c>
      <c r="F96" s="34" t="str">
        <f>IF(B96="", "", 'Project Summary'!$C$11)</f>
        <v/>
      </c>
      <c r="G96" s="34" t="str">
        <f>IF(B96="","",VLOOKUP(B96,'Project Summary'!$K$180:$L$200,2,FALSE))</f>
        <v/>
      </c>
      <c r="H96" s="34" t="str">
        <f>IF(B96="", "",'Project Summary'!P154)</f>
        <v/>
      </c>
      <c r="I96" s="36" t="str">
        <f>IF(B96="", "", Instructions!$L$2)</f>
        <v/>
      </c>
      <c r="J96" s="38" t="str">
        <f>IF(B96="", "", Fryers!D14)</f>
        <v/>
      </c>
      <c r="K96" s="34" t="str">
        <f>IF(B96="", "",Fryers!E14)</f>
        <v/>
      </c>
      <c r="L96" s="34" t="str">
        <f>IF(B96="", "",Fryers!F14)</f>
        <v/>
      </c>
      <c r="M96" s="38" t="str">
        <f>IF(B96="", "", Fryers!R14)</f>
        <v/>
      </c>
      <c r="N96" s="36" t="str">
        <f>IF(B96="", "", Fryers!Z14)</f>
        <v/>
      </c>
      <c r="O96" s="37" t="str">
        <f>IF(B96="", "", Fryers!X14)</f>
        <v/>
      </c>
      <c r="P96" s="37" t="str">
        <f t="shared" si="3"/>
        <v/>
      </c>
      <c r="Q96" s="36" t="str">
        <f>IF(B96="", "", Fryers!Y14)</f>
        <v/>
      </c>
      <c r="R96" s="144" t="str">
        <f>IF(B96="", "", Fryers!P14)</f>
        <v/>
      </c>
      <c r="S96" s="38" t="str">
        <f>IF(B96="", "", Fryers!$C$32)</f>
        <v/>
      </c>
    </row>
    <row r="97" spans="1:21">
      <c r="A97" s="34" t="str">
        <f>IF(B97="", "", 'Project Summary'!R132)</f>
        <v/>
      </c>
      <c r="B97" s="34" t="str">
        <f>IF(Fryers!Z15="", "", "Fryers")</f>
        <v/>
      </c>
      <c r="C97" s="34" t="str">
        <f>IF(B97="", "", 'Project Summary'!$C$10)</f>
        <v/>
      </c>
      <c r="D97" s="34" t="str">
        <f t="shared" si="2"/>
        <v/>
      </c>
      <c r="E97" s="34" t="str">
        <f>IF(B97="", "", CONCATENATE('Project Summary'!$C$7, " - ", 'Project Summary'!$C$10))</f>
        <v/>
      </c>
      <c r="F97" s="34" t="str">
        <f>IF(B97="", "", 'Project Summary'!$C$11)</f>
        <v/>
      </c>
      <c r="G97" s="34" t="str">
        <f>IF(B97="","",VLOOKUP(B97,'Project Summary'!$K$180:$L$200,2,FALSE))</f>
        <v/>
      </c>
      <c r="H97" s="34" t="str">
        <f>IF(B97="", "",'Project Summary'!P155)</f>
        <v/>
      </c>
      <c r="I97" s="36" t="str">
        <f>IF(B97="", "", Instructions!$L$2)</f>
        <v/>
      </c>
      <c r="J97" s="38" t="str">
        <f>IF(B97="", "", Fryers!D15)</f>
        <v/>
      </c>
      <c r="K97" s="34" t="str">
        <f>IF(B97="", "",Fryers!E15)</f>
        <v/>
      </c>
      <c r="L97" s="34" t="str">
        <f>IF(B97="", "",Fryers!F15)</f>
        <v/>
      </c>
      <c r="M97" s="38" t="str">
        <f>IF(B97="", "", Fryers!R15)</f>
        <v/>
      </c>
      <c r="N97" s="36" t="str">
        <f>IF(B97="", "", Fryers!Z15)</f>
        <v/>
      </c>
      <c r="O97" s="37" t="str">
        <f>IF(B97="", "", Fryers!X15)</f>
        <v/>
      </c>
      <c r="P97" s="37" t="str">
        <f t="shared" si="3"/>
        <v/>
      </c>
      <c r="Q97" s="36" t="str">
        <f>IF(B97="", "", Fryers!Y15)</f>
        <v/>
      </c>
      <c r="R97" s="144" t="str">
        <f>IF(B97="", "", Fryers!P15)</f>
        <v/>
      </c>
      <c r="S97" s="38" t="str">
        <f>IF(B97="", "", Fryers!$C$32)</f>
        <v/>
      </c>
    </row>
    <row r="98" spans="1:21">
      <c r="A98" s="34" t="str">
        <f>IF(B98="", "", 'Project Summary'!R133)</f>
        <v/>
      </c>
      <c r="B98" s="34" t="str">
        <f>IF(Griddles!AA8="", "", "Griddles")</f>
        <v/>
      </c>
      <c r="C98" s="34" t="str">
        <f>IF(B98="", "", 'Project Summary'!$C$10)</f>
        <v/>
      </c>
      <c r="D98" s="34" t="str">
        <f t="shared" si="2"/>
        <v/>
      </c>
      <c r="E98" s="34" t="str">
        <f>IF(B98="", "", CONCATENATE('Project Summary'!$C$7, " - ", 'Project Summary'!$C$10))</f>
        <v/>
      </c>
      <c r="F98" s="34" t="str">
        <f>IF(B98="", "", 'Project Summary'!$C$11)</f>
        <v/>
      </c>
      <c r="G98" s="34" t="str">
        <f>IF(B98="","",VLOOKUP(B98,'Project Summary'!$K$180:$L$200,2,FALSE))</f>
        <v/>
      </c>
      <c r="H98" s="34" t="str">
        <f>IF(B98="", "",'Project Summary'!P158)</f>
        <v/>
      </c>
      <c r="I98" s="36" t="str">
        <f>IF(B98="", "", Instructions!$L$2)</f>
        <v/>
      </c>
      <c r="J98" s="38" t="str">
        <f>IF(B98="", "", Griddles!D8)</f>
        <v/>
      </c>
      <c r="K98" s="34" t="str">
        <f>IF(B98="", "",Griddles!E8)</f>
        <v/>
      </c>
      <c r="L98" s="34" t="str">
        <f>IF(B98="", "",Griddles!F8)</f>
        <v/>
      </c>
      <c r="M98" s="38" t="str">
        <f>IF(B98="", "", Griddles!S8)</f>
        <v/>
      </c>
      <c r="N98" s="36" t="str">
        <f>IF(B98="", "", Griddles!AA8)</f>
        <v/>
      </c>
      <c r="O98" s="37" t="str">
        <f>IF(B98="", "", Griddles!Y8)</f>
        <v/>
      </c>
      <c r="P98" s="37" t="str">
        <f t="shared" si="3"/>
        <v/>
      </c>
      <c r="Q98" s="36" t="str">
        <f>IF(B98="", "", Griddles!Z8)</f>
        <v/>
      </c>
      <c r="R98" s="144" t="str">
        <f>IF(B98="", "", Griddles!Q8)</f>
        <v/>
      </c>
      <c r="S98" s="38" t="str">
        <f>IF(B98="", "", Griddles!$C$27)</f>
        <v/>
      </c>
      <c r="U98" s="34" t="str">
        <f>IF(B98="", "", Griddles!I8)</f>
        <v/>
      </c>
    </row>
    <row r="99" spans="1:21">
      <c r="A99" s="34" t="str">
        <f>IF(B99="", "", 'Project Summary'!R134)</f>
        <v/>
      </c>
      <c r="B99" s="34" t="str">
        <f>IF(Griddles!AA9="", "", "Griddles")</f>
        <v/>
      </c>
      <c r="C99" s="34" t="str">
        <f>IF(B99="", "", 'Project Summary'!$C$10)</f>
        <v/>
      </c>
      <c r="D99" s="34" t="str">
        <f t="shared" si="2"/>
        <v/>
      </c>
      <c r="E99" s="34" t="str">
        <f>IF(B99="", "", CONCATENATE('Project Summary'!$C$7, " - ", 'Project Summary'!$C$10))</f>
        <v/>
      </c>
      <c r="F99" s="34" t="str">
        <f>IF(B99="", "", 'Project Summary'!$C$11)</f>
        <v/>
      </c>
      <c r="G99" s="34" t="str">
        <f>IF(B99="","",VLOOKUP(B99,'Project Summary'!$K$180:$L$200,2,FALSE))</f>
        <v/>
      </c>
      <c r="H99" s="34" t="str">
        <f>IF(B99="", "",'Project Summary'!P159)</f>
        <v/>
      </c>
      <c r="I99" s="36" t="str">
        <f>IF(B99="", "", Instructions!$L$2)</f>
        <v/>
      </c>
      <c r="J99" s="38" t="str">
        <f>IF(B99="", "", Griddles!D9)</f>
        <v/>
      </c>
      <c r="K99" s="34" t="str">
        <f>IF(B99="", "",Griddles!E9)</f>
        <v/>
      </c>
      <c r="L99" s="34" t="str">
        <f>IF(B99="", "",Griddles!F9)</f>
        <v/>
      </c>
      <c r="M99" s="38" t="str">
        <f>IF(B99="", "", Griddles!S9)</f>
        <v/>
      </c>
      <c r="N99" s="36" t="str">
        <f>IF(B99="", "", Griddles!AA9)</f>
        <v/>
      </c>
      <c r="O99" s="37" t="str">
        <f>IF(B99="", "", Griddles!Y9)</f>
        <v/>
      </c>
      <c r="P99" s="37" t="str">
        <f t="shared" si="3"/>
        <v/>
      </c>
      <c r="Q99" s="36" t="str">
        <f>IF(B99="", "", Griddles!Z9)</f>
        <v/>
      </c>
      <c r="R99" s="144" t="str">
        <f>IF(B99="", "", Griddles!Q9)</f>
        <v/>
      </c>
      <c r="S99" s="38" t="str">
        <f>IF(B99="", "", Griddles!$C$27)</f>
        <v/>
      </c>
      <c r="U99" s="34" t="str">
        <f>IF(B99="", "", Griddles!I9)</f>
        <v/>
      </c>
    </row>
    <row r="100" spans="1:21">
      <c r="A100" s="34" t="str">
        <f>IF(B100="", "", 'Project Summary'!R135)</f>
        <v/>
      </c>
      <c r="B100" s="34" t="str">
        <f>IF(Griddles!AA10="", "", "Griddles")</f>
        <v/>
      </c>
      <c r="C100" s="34" t="str">
        <f>IF(B100="", "", 'Project Summary'!$C$10)</f>
        <v/>
      </c>
      <c r="D100" s="34" t="str">
        <f t="shared" si="2"/>
        <v/>
      </c>
      <c r="E100" s="34" t="str">
        <f>IF(B100="", "", CONCATENATE('Project Summary'!$C$7, " - ", 'Project Summary'!$C$10))</f>
        <v/>
      </c>
      <c r="F100" s="34" t="str">
        <f>IF(B100="", "", 'Project Summary'!$C$11)</f>
        <v/>
      </c>
      <c r="G100" s="34" t="str">
        <f>IF(B100="","",VLOOKUP(B100,'Project Summary'!$K$180:$L$200,2,FALSE))</f>
        <v/>
      </c>
      <c r="H100" s="34" t="str">
        <f>IF(B100="", "",'Project Summary'!P160)</f>
        <v/>
      </c>
      <c r="I100" s="36" t="str">
        <f>IF(B100="", "", Instructions!$L$2)</f>
        <v/>
      </c>
      <c r="J100" s="38" t="str">
        <f>IF(B100="", "", Griddles!D10)</f>
        <v/>
      </c>
      <c r="K100" s="34" t="str">
        <f>IF(B100="", "",Griddles!E10)</f>
        <v/>
      </c>
      <c r="L100" s="34" t="str">
        <f>IF(B100="", "",Griddles!F10)</f>
        <v/>
      </c>
      <c r="M100" s="38" t="str">
        <f>IF(B100="", "", Griddles!S10)</f>
        <v/>
      </c>
      <c r="N100" s="36" t="str">
        <f>IF(B100="", "", Griddles!AA10)</f>
        <v/>
      </c>
      <c r="O100" s="37" t="str">
        <f>IF(B100="", "", Griddles!Y10)</f>
        <v/>
      </c>
      <c r="P100" s="37" t="str">
        <f t="shared" si="3"/>
        <v/>
      </c>
      <c r="Q100" s="36" t="str">
        <f>IF(B100="", "", Griddles!Z10)</f>
        <v/>
      </c>
      <c r="R100" s="144" t="str">
        <f>IF(B100="", "", Griddles!Q10)</f>
        <v/>
      </c>
      <c r="S100" s="38" t="str">
        <f>IF(B100="", "", Griddles!$C$27)</f>
        <v/>
      </c>
      <c r="U100" s="34" t="str">
        <f>IF(B100="", "", Griddles!I10)</f>
        <v/>
      </c>
    </row>
    <row r="101" spans="1:21">
      <c r="A101" s="34" t="str">
        <f>IF(B101="", "", 'Project Summary'!R136)</f>
        <v/>
      </c>
      <c r="B101" s="34" t="str">
        <f>IF(Griddles!AA11="", "", "Griddles")</f>
        <v/>
      </c>
      <c r="C101" s="34" t="str">
        <f>IF(B101="", "", 'Project Summary'!$C$10)</f>
        <v/>
      </c>
      <c r="D101" s="34" t="str">
        <f t="shared" si="2"/>
        <v/>
      </c>
      <c r="E101" s="34" t="str">
        <f>IF(B101="", "", CONCATENATE('Project Summary'!$C$7, " - ", 'Project Summary'!$C$10))</f>
        <v/>
      </c>
      <c r="F101" s="34" t="str">
        <f>IF(B101="", "", 'Project Summary'!$C$11)</f>
        <v/>
      </c>
      <c r="G101" s="34" t="str">
        <f>IF(B101="","",VLOOKUP(B101,'Project Summary'!$K$180:$L$200,2,FALSE))</f>
        <v/>
      </c>
      <c r="H101" s="34" t="str">
        <f>IF(B101="", "",'Project Summary'!P161)</f>
        <v/>
      </c>
      <c r="I101" s="36" t="str">
        <f>IF(B101="", "", Instructions!$L$2)</f>
        <v/>
      </c>
      <c r="J101" s="38" t="str">
        <f>IF(B101="", "", Griddles!D11)</f>
        <v/>
      </c>
      <c r="K101" s="34" t="str">
        <f>IF(B101="", "",Griddles!E11)</f>
        <v/>
      </c>
      <c r="L101" s="34" t="str">
        <f>IF(B101="", "",Griddles!F11)</f>
        <v/>
      </c>
      <c r="M101" s="38" t="str">
        <f>IF(B101="", "", Griddles!S11)</f>
        <v/>
      </c>
      <c r="N101" s="36" t="str">
        <f>IF(B101="", "", Griddles!AA11)</f>
        <v/>
      </c>
      <c r="O101" s="37" t="str">
        <f>IF(B101="", "", Griddles!Y11)</f>
        <v/>
      </c>
      <c r="P101" s="37" t="str">
        <f t="shared" si="3"/>
        <v/>
      </c>
      <c r="Q101" s="36" t="str">
        <f>IF(B101="", "", Griddles!Z11)</f>
        <v/>
      </c>
      <c r="R101" s="144" t="str">
        <f>IF(B101="", "", Griddles!Q11)</f>
        <v/>
      </c>
      <c r="S101" s="38" t="str">
        <f>IF(B101="", "", Griddles!$C$27)</f>
        <v/>
      </c>
      <c r="U101" s="34" t="str">
        <f>IF(B101="", "", Griddles!I11)</f>
        <v/>
      </c>
    </row>
    <row r="102" spans="1:21">
      <c r="A102" s="34" t="str">
        <f>IF(B102="", "", 'Project Summary'!R137)</f>
        <v/>
      </c>
      <c r="B102" s="34" t="str">
        <f>IF(Griddles!AA12="", "", "Griddles")</f>
        <v/>
      </c>
      <c r="C102" s="34" t="str">
        <f>IF(B102="", "", 'Project Summary'!$C$10)</f>
        <v/>
      </c>
      <c r="D102" s="34" t="str">
        <f t="shared" si="2"/>
        <v/>
      </c>
      <c r="E102" s="34" t="str">
        <f>IF(B102="", "", CONCATENATE('Project Summary'!$C$7, " - ", 'Project Summary'!$C$10))</f>
        <v/>
      </c>
      <c r="F102" s="34" t="str">
        <f>IF(B102="", "", 'Project Summary'!$C$11)</f>
        <v/>
      </c>
      <c r="G102" s="34" t="str">
        <f>IF(B102="","",VLOOKUP(B102,'Project Summary'!$K$180:$L$200,2,FALSE))</f>
        <v/>
      </c>
      <c r="H102" s="34" t="str">
        <f>IF(B102="", "",'Project Summary'!P162)</f>
        <v/>
      </c>
      <c r="I102" s="36" t="str">
        <f>IF(B102="", "", Instructions!$L$2)</f>
        <v/>
      </c>
      <c r="J102" s="38" t="str">
        <f>IF(B102="", "", Griddles!D12)</f>
        <v/>
      </c>
      <c r="K102" s="34" t="str">
        <f>IF(B102="", "",Griddles!E12)</f>
        <v/>
      </c>
      <c r="L102" s="34" t="str">
        <f>IF(B102="", "",Griddles!F12)</f>
        <v/>
      </c>
      <c r="M102" s="38" t="str">
        <f>IF(B102="", "", Griddles!S12)</f>
        <v/>
      </c>
      <c r="N102" s="36" t="str">
        <f>IF(B102="", "", Griddles!AA12)</f>
        <v/>
      </c>
      <c r="O102" s="37" t="str">
        <f>IF(B102="", "", Griddles!Y12)</f>
        <v/>
      </c>
      <c r="P102" s="37" t="str">
        <f t="shared" si="3"/>
        <v/>
      </c>
      <c r="Q102" s="36" t="str">
        <f>IF(B102="", "", Griddles!Z12)</f>
        <v/>
      </c>
      <c r="R102" s="144" t="str">
        <f>IF(B102="", "", Griddles!Q12)</f>
        <v/>
      </c>
      <c r="S102" s="38" t="str">
        <f>IF(B102="", "", Griddles!$C$27)</f>
        <v/>
      </c>
      <c r="U102" s="34" t="str">
        <f>IF(B102="", "", Griddles!I12)</f>
        <v/>
      </c>
    </row>
    <row r="103" spans="1:21">
      <c r="A103" s="34" t="str">
        <f>IF(B103="", "", 'Project Summary'!R138)</f>
        <v/>
      </c>
      <c r="B103" s="34" t="str">
        <f>IF(Griddles!AA13="", "", "Griddles")</f>
        <v/>
      </c>
      <c r="C103" s="34" t="str">
        <f>IF(B103="", "", 'Project Summary'!$C$10)</f>
        <v/>
      </c>
      <c r="D103" s="34" t="str">
        <f t="shared" si="2"/>
        <v/>
      </c>
      <c r="E103" s="34" t="str">
        <f>IF(B103="", "", CONCATENATE('Project Summary'!$C$7, " - ", 'Project Summary'!$C$10))</f>
        <v/>
      </c>
      <c r="F103" s="34" t="str">
        <f>IF(B103="", "", 'Project Summary'!$C$11)</f>
        <v/>
      </c>
      <c r="G103" s="34" t="str">
        <f>IF(B103="","",VLOOKUP(B103,'Project Summary'!$K$180:$L$200,2,FALSE))</f>
        <v/>
      </c>
      <c r="H103" s="34" t="str">
        <f>IF(B103="", "",'Project Summary'!P163)</f>
        <v/>
      </c>
      <c r="I103" s="36" t="str">
        <f>IF(B103="", "", Instructions!$L$2)</f>
        <v/>
      </c>
      <c r="J103" s="38" t="str">
        <f>IF(B103="", "", Griddles!D13)</f>
        <v/>
      </c>
      <c r="K103" s="34" t="str">
        <f>IF(B103="", "",Griddles!E13)</f>
        <v/>
      </c>
      <c r="L103" s="34" t="str">
        <f>IF(B103="", "",Griddles!F13)</f>
        <v/>
      </c>
      <c r="M103" s="38" t="str">
        <f>IF(B103="", "", Griddles!S13)</f>
        <v/>
      </c>
      <c r="N103" s="36" t="str">
        <f>IF(B103="", "", Griddles!AA13)</f>
        <v/>
      </c>
      <c r="O103" s="37" t="str">
        <f>IF(B103="", "", Griddles!Y13)</f>
        <v/>
      </c>
      <c r="P103" s="37" t="str">
        <f t="shared" si="3"/>
        <v/>
      </c>
      <c r="Q103" s="36" t="str">
        <f>IF(B103="", "", Griddles!Z13)</f>
        <v/>
      </c>
      <c r="R103" s="144" t="str">
        <f>IF(B103="", "", Griddles!Q13)</f>
        <v/>
      </c>
      <c r="S103" s="38" t="str">
        <f>IF(B103="", "", Griddles!$C$27)</f>
        <v/>
      </c>
      <c r="U103" s="34" t="str">
        <f>IF(B103="", "", Griddles!I13)</f>
        <v/>
      </c>
    </row>
    <row r="104" spans="1:21">
      <c r="A104" s="34" t="str">
        <f>IF(B104="", "", 'Project Summary'!R139)</f>
        <v/>
      </c>
      <c r="B104" s="34" t="str">
        <f>IF(Griddles!AA14="", "", "Griddles")</f>
        <v/>
      </c>
      <c r="C104" s="34" t="str">
        <f>IF(B104="", "", 'Project Summary'!$C$10)</f>
        <v/>
      </c>
      <c r="D104" s="34" t="str">
        <f t="shared" si="2"/>
        <v/>
      </c>
      <c r="E104" s="34" t="str">
        <f>IF(B104="", "", CONCATENATE('Project Summary'!$C$7, " - ", 'Project Summary'!$C$10))</f>
        <v/>
      </c>
      <c r="F104" s="34" t="str">
        <f>IF(B104="", "", 'Project Summary'!$C$11)</f>
        <v/>
      </c>
      <c r="G104" s="34" t="str">
        <f>IF(B104="","",VLOOKUP(B104,'Project Summary'!$K$180:$L$200,2,FALSE))</f>
        <v/>
      </c>
      <c r="H104" s="34" t="str">
        <f>IF(B104="", "",'Project Summary'!P164)</f>
        <v/>
      </c>
      <c r="I104" s="36" t="str">
        <f>IF(B104="", "", Instructions!$L$2)</f>
        <v/>
      </c>
      <c r="J104" s="38" t="str">
        <f>IF(B104="", "", Griddles!D14)</f>
        <v/>
      </c>
      <c r="K104" s="34" t="str">
        <f>IF(B104="", "",Griddles!E14)</f>
        <v/>
      </c>
      <c r="L104" s="34" t="str">
        <f>IF(B104="", "",Griddles!F14)</f>
        <v/>
      </c>
      <c r="M104" s="38" t="str">
        <f>IF(B104="", "", Griddles!S14)</f>
        <v/>
      </c>
      <c r="N104" s="36" t="str">
        <f>IF(B104="", "", Griddles!AA14)</f>
        <v/>
      </c>
      <c r="O104" s="37" t="str">
        <f>IF(B104="", "", Griddles!Y14)</f>
        <v/>
      </c>
      <c r="P104" s="37" t="str">
        <f t="shared" si="3"/>
        <v/>
      </c>
      <c r="Q104" s="36" t="str">
        <f>IF(B104="", "", Griddles!Z14)</f>
        <v/>
      </c>
      <c r="R104" s="144" t="str">
        <f>IF(B104="", "", Griddles!Q14)</f>
        <v/>
      </c>
      <c r="S104" s="38" t="str">
        <f>IF(B104="", "", Griddles!$C$27)</f>
        <v/>
      </c>
      <c r="U104" s="34" t="str">
        <f>IF(B104="", "", Griddles!I14)</f>
        <v/>
      </c>
    </row>
    <row r="105" spans="1:21">
      <c r="A105" s="34" t="str">
        <f>IF(B105="", "", 'Project Summary'!R140)</f>
        <v/>
      </c>
      <c r="B105" s="34" t="str">
        <f>IF(Griddles!AA15="", "", "Griddles")</f>
        <v/>
      </c>
      <c r="C105" s="34" t="str">
        <f>IF(B105="", "", 'Project Summary'!$C$10)</f>
        <v/>
      </c>
      <c r="D105" s="34" t="str">
        <f t="shared" si="2"/>
        <v/>
      </c>
      <c r="E105" s="34" t="str">
        <f>IF(B105="", "", CONCATENATE('Project Summary'!$C$7, " - ", 'Project Summary'!$C$10))</f>
        <v/>
      </c>
      <c r="F105" s="34" t="str">
        <f>IF(B105="", "", 'Project Summary'!$C$11)</f>
        <v/>
      </c>
      <c r="G105" s="34" t="str">
        <f>IF(B105="","",VLOOKUP(B105,'Project Summary'!$K$180:$L$200,2,FALSE))</f>
        <v/>
      </c>
      <c r="H105" s="34" t="str">
        <f>IF(B105="", "",'Project Summary'!P165)</f>
        <v/>
      </c>
      <c r="I105" s="36" t="str">
        <f>IF(B105="", "", Instructions!$L$2)</f>
        <v/>
      </c>
      <c r="J105" s="38" t="str">
        <f>IF(B105="", "", Griddles!D15)</f>
        <v/>
      </c>
      <c r="K105" s="34" t="str">
        <f>IF(B105="", "",Griddles!E15)</f>
        <v/>
      </c>
      <c r="L105" s="34" t="str">
        <f>IF(B105="", "",Griddles!F15)</f>
        <v/>
      </c>
      <c r="M105" s="38" t="str">
        <f>IF(B105="", "", Griddles!S15)</f>
        <v/>
      </c>
      <c r="N105" s="36" t="str">
        <f>IF(B105="", "", Griddles!AA15)</f>
        <v/>
      </c>
      <c r="O105" s="37" t="str">
        <f>IF(B105="", "", Griddles!Y15)</f>
        <v/>
      </c>
      <c r="P105" s="37" t="str">
        <f t="shared" si="3"/>
        <v/>
      </c>
      <c r="Q105" s="36" t="str">
        <f>IF(B105="", "", Griddles!Z15)</f>
        <v/>
      </c>
      <c r="R105" s="144" t="str">
        <f>IF(B105="", "", Griddles!Q15)</f>
        <v/>
      </c>
      <c r="S105" s="38" t="str">
        <f>IF(B105="", "", Griddles!$C$27)</f>
        <v/>
      </c>
      <c r="U105" s="34" t="str">
        <f>IF(B105="", "", Griddles!I15)</f>
        <v/>
      </c>
    </row>
    <row r="106" spans="1:21">
      <c r="A106" s="34" t="str">
        <f>IF(B106="", "", 'Project Summary'!R141)</f>
        <v/>
      </c>
      <c r="B106" s="34" t="str">
        <f>IF('Hot Food Holding Cabinets'!U8="", "", 'Hot Food Holding Cabinets'!M8)</f>
        <v/>
      </c>
      <c r="C106" s="34" t="str">
        <f>IF(B106="", "", 'Project Summary'!$C$10)</f>
        <v/>
      </c>
      <c r="D106" s="34" t="str">
        <f t="shared" si="2"/>
        <v/>
      </c>
      <c r="E106" s="34" t="str">
        <f>IF(B106="", "", CONCATENATE('Project Summary'!$C$7, " - ", 'Project Summary'!$C$10))</f>
        <v/>
      </c>
      <c r="F106" s="34" t="str">
        <f>IF(B106="", "", 'Project Summary'!$C$11)</f>
        <v/>
      </c>
      <c r="G106" s="34" t="str">
        <f>IF(B106="","",VLOOKUP(B106,'Project Summary'!$K$180:$L$200,2,FALSE))</f>
        <v/>
      </c>
      <c r="H106" s="34" t="str">
        <f>IF(B106="", "",'Project Summary'!P168)</f>
        <v/>
      </c>
      <c r="I106" s="36" t="str">
        <f>IF(B106="", "", Instructions!$L$2)</f>
        <v/>
      </c>
      <c r="J106" s="34" t="str">
        <f>IF(B106="", "", 'Hot Food Holding Cabinets'!D8)</f>
        <v/>
      </c>
      <c r="K106" s="34" t="str">
        <f>IF(B106="", "",'Hot Food Holding Cabinets'!E8)</f>
        <v/>
      </c>
      <c r="L106" s="34" t="str">
        <f>IF(B106="", "",'Hot Food Holding Cabinets'!F8)</f>
        <v/>
      </c>
      <c r="M106" s="34" t="str">
        <f>IF(B106="", "", 'Hot Food Holding Cabinets'!J8)</f>
        <v/>
      </c>
      <c r="N106" s="36" t="str">
        <f>IF(B106="", "", 'Hot Food Holding Cabinets'!U8)</f>
        <v/>
      </c>
      <c r="O106" s="37" t="str">
        <f>IF(B106="", "", 'Hot Food Holding Cabinets'!S8)</f>
        <v/>
      </c>
      <c r="P106" s="37" t="str">
        <f t="shared" si="3"/>
        <v/>
      </c>
      <c r="Q106" s="36" t="str">
        <f>IF(B106="", "", 'Hot Food Holding Cabinets'!T8)</f>
        <v/>
      </c>
      <c r="R106" s="143" t="str">
        <f>IF(B106="", "", 'Hot Food Holding Cabinets'!O8)</f>
        <v/>
      </c>
      <c r="S106" s="38" t="str">
        <f>IF(B106="", "", 'Hot Food Holding Cabinets'!$E$29)</f>
        <v/>
      </c>
      <c r="T106" s="34" t="str">
        <f>IF(B106="", "", 'Hot Food Holding Cabinets'!I8)</f>
        <v/>
      </c>
    </row>
    <row r="107" spans="1:21">
      <c r="A107" s="34" t="str">
        <f>IF(B107="", "", 'Project Summary'!R142)</f>
        <v/>
      </c>
      <c r="B107" s="34" t="str">
        <f>IF('Hot Food Holding Cabinets'!U9="", "", 'Hot Food Holding Cabinets'!M9)</f>
        <v/>
      </c>
      <c r="C107" s="34" t="str">
        <f>IF(B107="", "", 'Project Summary'!$C$10)</f>
        <v/>
      </c>
      <c r="D107" s="34" t="str">
        <f t="shared" si="2"/>
        <v/>
      </c>
      <c r="E107" s="34" t="str">
        <f>IF(B107="", "", CONCATENATE('Project Summary'!$C$7, " - ", 'Project Summary'!$C$10))</f>
        <v/>
      </c>
      <c r="F107" s="34" t="str">
        <f>IF(B107="", "", 'Project Summary'!$C$11)</f>
        <v/>
      </c>
      <c r="G107" s="34" t="str">
        <f>IF(B107="","",VLOOKUP(B107,'Project Summary'!$K$180:$L$200,2,FALSE))</f>
        <v/>
      </c>
      <c r="H107" s="34" t="str">
        <f>IF(B107="", "",'Project Summary'!P169)</f>
        <v/>
      </c>
      <c r="I107" s="36" t="str">
        <f>IF(B107="", "", Instructions!$L$2)</f>
        <v/>
      </c>
      <c r="J107" s="34" t="str">
        <f>IF(B107="", "", 'Hot Food Holding Cabinets'!D9)</f>
        <v/>
      </c>
      <c r="K107" s="34" t="str">
        <f>IF(B107="", "",'Hot Food Holding Cabinets'!E9)</f>
        <v/>
      </c>
      <c r="L107" s="34" t="str">
        <f>IF(B107="", "",'Hot Food Holding Cabinets'!F9)</f>
        <v/>
      </c>
      <c r="M107" s="34" t="str">
        <f>IF(B107="", "", 'Hot Food Holding Cabinets'!J9)</f>
        <v/>
      </c>
      <c r="N107" s="36" t="str">
        <f>IF(B107="", "", 'Hot Food Holding Cabinets'!U9)</f>
        <v/>
      </c>
      <c r="O107" s="37" t="str">
        <f>IF(B107="", "", 'Hot Food Holding Cabinets'!S9)</f>
        <v/>
      </c>
      <c r="P107" s="37" t="str">
        <f t="shared" si="3"/>
        <v/>
      </c>
      <c r="Q107" s="36" t="str">
        <f>IF(B107="", "", 'Hot Food Holding Cabinets'!T9)</f>
        <v/>
      </c>
      <c r="R107" s="143" t="str">
        <f>IF(B107="", "", 'Hot Food Holding Cabinets'!O9)</f>
        <v/>
      </c>
      <c r="S107" s="38" t="str">
        <f>IF(B107="", "", 'Hot Food Holding Cabinets'!$E$29)</f>
        <v/>
      </c>
      <c r="T107" s="34" t="str">
        <f>IF(B107="", "", 'Hot Food Holding Cabinets'!I9)</f>
        <v/>
      </c>
    </row>
    <row r="108" spans="1:21">
      <c r="A108" s="34" t="str">
        <f>IF(B108="", "", 'Project Summary'!R143)</f>
        <v/>
      </c>
      <c r="B108" s="34" t="str">
        <f>IF('Hot Food Holding Cabinets'!U10="", "", 'Hot Food Holding Cabinets'!M10)</f>
        <v/>
      </c>
      <c r="C108" s="34" t="str">
        <f>IF(B108="", "", 'Project Summary'!$C$10)</f>
        <v/>
      </c>
      <c r="D108" s="34" t="str">
        <f t="shared" si="2"/>
        <v/>
      </c>
      <c r="E108" s="34" t="str">
        <f>IF(B108="", "", CONCATENATE('Project Summary'!$C$7, " - ", 'Project Summary'!$C$10))</f>
        <v/>
      </c>
      <c r="F108" s="34" t="str">
        <f>IF(B108="", "", 'Project Summary'!$C$11)</f>
        <v/>
      </c>
      <c r="G108" s="34" t="str">
        <f>IF(B108="","",VLOOKUP(B108,'Project Summary'!$K$180:$L$200,2,FALSE))</f>
        <v/>
      </c>
      <c r="H108" s="34" t="str">
        <f>IF(B108="", "",'Project Summary'!P170)</f>
        <v/>
      </c>
      <c r="I108" s="36" t="str">
        <f>IF(B108="", "", Instructions!$L$2)</f>
        <v/>
      </c>
      <c r="J108" s="34" t="str">
        <f>IF(B108="", "", 'Hot Food Holding Cabinets'!D10)</f>
        <v/>
      </c>
      <c r="K108" s="34" t="str">
        <f>IF(B108="", "",'Hot Food Holding Cabinets'!E10)</f>
        <v/>
      </c>
      <c r="L108" s="34" t="str">
        <f>IF(B108="", "",'Hot Food Holding Cabinets'!F10)</f>
        <v/>
      </c>
      <c r="M108" s="34" t="str">
        <f>IF(B108="", "", 'Hot Food Holding Cabinets'!J10)</f>
        <v/>
      </c>
      <c r="N108" s="36" t="str">
        <f>IF(B108="", "", 'Hot Food Holding Cabinets'!U10)</f>
        <v/>
      </c>
      <c r="O108" s="37" t="str">
        <f>IF(B108="", "", 'Hot Food Holding Cabinets'!S10)</f>
        <v/>
      </c>
      <c r="P108" s="37" t="str">
        <f t="shared" si="3"/>
        <v/>
      </c>
      <c r="Q108" s="36" t="str">
        <f>IF(B108="", "", 'Hot Food Holding Cabinets'!T10)</f>
        <v/>
      </c>
      <c r="R108" s="143" t="str">
        <f>IF(B108="", "", 'Hot Food Holding Cabinets'!O10)</f>
        <v/>
      </c>
      <c r="S108" s="38" t="str">
        <f>IF(B108="", "", 'Hot Food Holding Cabinets'!$E$29)</f>
        <v/>
      </c>
      <c r="T108" s="34" t="str">
        <f>IF(B108="", "", 'Hot Food Holding Cabinets'!I10)</f>
        <v/>
      </c>
    </row>
    <row r="109" spans="1:21">
      <c r="A109" s="34" t="str">
        <f>IF(B109="", "", 'Project Summary'!R144)</f>
        <v/>
      </c>
      <c r="B109" s="34" t="str">
        <f>IF('Hot Food Holding Cabinets'!U11="", "", 'Hot Food Holding Cabinets'!M11)</f>
        <v/>
      </c>
      <c r="C109" s="34" t="str">
        <f>IF(B109="", "", 'Project Summary'!$C$10)</f>
        <v/>
      </c>
      <c r="D109" s="34" t="str">
        <f t="shared" si="2"/>
        <v/>
      </c>
      <c r="E109" s="34" t="str">
        <f>IF(B109="", "", CONCATENATE('Project Summary'!$C$7, " - ", 'Project Summary'!$C$10))</f>
        <v/>
      </c>
      <c r="F109" s="34" t="str">
        <f>IF(B109="", "", 'Project Summary'!$C$11)</f>
        <v/>
      </c>
      <c r="G109" s="34" t="str">
        <f>IF(B109="","",VLOOKUP(B109,'Project Summary'!$K$180:$L$200,2,FALSE))</f>
        <v/>
      </c>
      <c r="H109" s="34" t="str">
        <f>IF(B109="", "",'Project Summary'!P171)</f>
        <v/>
      </c>
      <c r="I109" s="36" t="str">
        <f>IF(B109="", "", Instructions!$L$2)</f>
        <v/>
      </c>
      <c r="J109" s="34" t="str">
        <f>IF(B109="", "", 'Hot Food Holding Cabinets'!D11)</f>
        <v/>
      </c>
      <c r="K109" s="34" t="str">
        <f>IF(B109="", "",'Hot Food Holding Cabinets'!E11)</f>
        <v/>
      </c>
      <c r="L109" s="34" t="str">
        <f>IF(B109="", "",'Hot Food Holding Cabinets'!F11)</f>
        <v/>
      </c>
      <c r="M109" s="34" t="str">
        <f>IF(B109="", "", 'Hot Food Holding Cabinets'!J11)</f>
        <v/>
      </c>
      <c r="N109" s="36" t="str">
        <f>IF(B109="", "", 'Hot Food Holding Cabinets'!U11)</f>
        <v/>
      </c>
      <c r="O109" s="37" t="str">
        <f>IF(B109="", "", 'Hot Food Holding Cabinets'!S11)</f>
        <v/>
      </c>
      <c r="P109" s="37" t="str">
        <f t="shared" si="3"/>
        <v/>
      </c>
      <c r="Q109" s="36" t="str">
        <f>IF(B109="", "", 'Hot Food Holding Cabinets'!T11)</f>
        <v/>
      </c>
      <c r="R109" s="143" t="str">
        <f>IF(B109="", "", 'Hot Food Holding Cabinets'!O11)</f>
        <v/>
      </c>
      <c r="S109" s="38" t="str">
        <f>IF(B109="", "", 'Hot Food Holding Cabinets'!$E$29)</f>
        <v/>
      </c>
      <c r="T109" s="34" t="str">
        <f>IF(B109="", "", 'Hot Food Holding Cabinets'!I11)</f>
        <v/>
      </c>
    </row>
    <row r="110" spans="1:21">
      <c r="A110" s="34" t="str">
        <f>IF(B110="", "", 'Project Summary'!R145)</f>
        <v/>
      </c>
      <c r="B110" s="34" t="str">
        <f>IF('Hot Food Holding Cabinets'!U12="", "", 'Hot Food Holding Cabinets'!M12)</f>
        <v/>
      </c>
      <c r="C110" s="34" t="str">
        <f>IF(B110="", "", 'Project Summary'!$C$10)</f>
        <v/>
      </c>
      <c r="D110" s="34" t="str">
        <f t="shared" si="2"/>
        <v/>
      </c>
      <c r="E110" s="34" t="str">
        <f>IF(B110="", "", CONCATENATE('Project Summary'!$C$7, " - ", 'Project Summary'!$C$10))</f>
        <v/>
      </c>
      <c r="F110" s="34" t="str">
        <f>IF(B110="", "", 'Project Summary'!$C$11)</f>
        <v/>
      </c>
      <c r="G110" s="34" t="str">
        <f>IF(B110="","",VLOOKUP(B110,'Project Summary'!$K$180:$L$200,2,FALSE))</f>
        <v/>
      </c>
      <c r="H110" s="34" t="str">
        <f>IF(B110="", "",'Project Summary'!P172)</f>
        <v/>
      </c>
      <c r="I110" s="36" t="str">
        <f>IF(B110="", "", Instructions!$L$2)</f>
        <v/>
      </c>
      <c r="J110" s="34" t="str">
        <f>IF(B110="", "", 'Hot Food Holding Cabinets'!D12)</f>
        <v/>
      </c>
      <c r="K110" s="34" t="str">
        <f>IF(B110="", "",'Hot Food Holding Cabinets'!E12)</f>
        <v/>
      </c>
      <c r="L110" s="34" t="str">
        <f>IF(B110="", "",'Hot Food Holding Cabinets'!F12)</f>
        <v/>
      </c>
      <c r="M110" s="34" t="str">
        <f>IF(B110="", "", 'Hot Food Holding Cabinets'!J12)</f>
        <v/>
      </c>
      <c r="N110" s="36" t="str">
        <f>IF(B110="", "", 'Hot Food Holding Cabinets'!U12)</f>
        <v/>
      </c>
      <c r="O110" s="37" t="str">
        <f>IF(B110="", "", 'Hot Food Holding Cabinets'!S12)</f>
        <v/>
      </c>
      <c r="P110" s="37" t="str">
        <f t="shared" si="3"/>
        <v/>
      </c>
      <c r="Q110" s="36" t="str">
        <f>IF(B110="", "", 'Hot Food Holding Cabinets'!T12)</f>
        <v/>
      </c>
      <c r="R110" s="143" t="str">
        <f>IF(B110="", "", 'Hot Food Holding Cabinets'!O12)</f>
        <v/>
      </c>
      <c r="S110" s="38" t="str">
        <f>IF(B110="", "", 'Hot Food Holding Cabinets'!$E$29)</f>
        <v/>
      </c>
      <c r="T110" s="34" t="str">
        <f>IF(B110="", "", 'Hot Food Holding Cabinets'!I12)</f>
        <v/>
      </c>
    </row>
    <row r="111" spans="1:21">
      <c r="A111" s="34" t="str">
        <f>IF(B111="", "", 'Project Summary'!R146)</f>
        <v/>
      </c>
      <c r="B111" s="34" t="str">
        <f>IF('Hot Food Holding Cabinets'!U13="", "", 'Hot Food Holding Cabinets'!M13)</f>
        <v/>
      </c>
      <c r="C111" s="34" t="str">
        <f>IF(B111="", "", 'Project Summary'!$C$10)</f>
        <v/>
      </c>
      <c r="D111" s="34" t="str">
        <f t="shared" si="2"/>
        <v/>
      </c>
      <c r="E111" s="34" t="str">
        <f>IF(B111="", "", CONCATENATE('Project Summary'!$C$7, " - ", 'Project Summary'!$C$10))</f>
        <v/>
      </c>
      <c r="F111" s="34" t="str">
        <f>IF(B111="", "", 'Project Summary'!$C$11)</f>
        <v/>
      </c>
      <c r="G111" s="34" t="str">
        <f>IF(B111="","",VLOOKUP(B111,'Project Summary'!$K$180:$L$200,2,FALSE))</f>
        <v/>
      </c>
      <c r="H111" s="34" t="str">
        <f>IF(B111="", "",'Project Summary'!P173)</f>
        <v/>
      </c>
      <c r="I111" s="36" t="str">
        <f>IF(B111="", "", Instructions!$L$2)</f>
        <v/>
      </c>
      <c r="J111" s="34" t="str">
        <f>IF(B111="", "", 'Hot Food Holding Cabinets'!D13)</f>
        <v/>
      </c>
      <c r="K111" s="34" t="str">
        <f>IF(B111="", "",'Hot Food Holding Cabinets'!E13)</f>
        <v/>
      </c>
      <c r="L111" s="34" t="str">
        <f>IF(B111="", "",'Hot Food Holding Cabinets'!F13)</f>
        <v/>
      </c>
      <c r="M111" s="34" t="str">
        <f>IF(B111="", "", 'Hot Food Holding Cabinets'!J13)</f>
        <v/>
      </c>
      <c r="N111" s="36" t="str">
        <f>IF(B111="", "", 'Hot Food Holding Cabinets'!U13)</f>
        <v/>
      </c>
      <c r="O111" s="37" t="str">
        <f>IF(B111="", "", 'Hot Food Holding Cabinets'!S13)</f>
        <v/>
      </c>
      <c r="P111" s="37" t="str">
        <f t="shared" si="3"/>
        <v/>
      </c>
      <c r="Q111" s="36" t="str">
        <f>IF(B111="", "", 'Hot Food Holding Cabinets'!T13)</f>
        <v/>
      </c>
      <c r="R111" s="143" t="str">
        <f>IF(B111="", "", 'Hot Food Holding Cabinets'!O13)</f>
        <v/>
      </c>
      <c r="S111" s="38" t="str">
        <f>IF(B111="", "", 'Hot Food Holding Cabinets'!$E$29)</f>
        <v/>
      </c>
      <c r="T111" s="34" t="str">
        <f>IF(B111="", "", 'Hot Food Holding Cabinets'!I13)</f>
        <v/>
      </c>
    </row>
    <row r="112" spans="1:21">
      <c r="A112" s="34" t="str">
        <f>IF(B112="", "", 'Project Summary'!R147)</f>
        <v/>
      </c>
      <c r="B112" s="34" t="str">
        <f>IF('Hot Food Holding Cabinets'!U14="", "", 'Hot Food Holding Cabinets'!M14)</f>
        <v/>
      </c>
      <c r="C112" s="34" t="str">
        <f>IF(B112="", "", 'Project Summary'!$C$10)</f>
        <v/>
      </c>
      <c r="D112" s="34" t="str">
        <f t="shared" si="2"/>
        <v/>
      </c>
      <c r="E112" s="34" t="str">
        <f>IF(B112="", "", CONCATENATE('Project Summary'!$C$7, " - ", 'Project Summary'!$C$10))</f>
        <v/>
      </c>
      <c r="F112" s="34" t="str">
        <f>IF(B112="", "", 'Project Summary'!$C$11)</f>
        <v/>
      </c>
      <c r="G112" s="34" t="str">
        <f>IF(B112="","",VLOOKUP(B112,'Project Summary'!$K$180:$L$200,2,FALSE))</f>
        <v/>
      </c>
      <c r="H112" s="34" t="str">
        <f>IF(B112="", "",'Project Summary'!P174)</f>
        <v/>
      </c>
      <c r="I112" s="36" t="str">
        <f>IF(B112="", "", Instructions!$L$2)</f>
        <v/>
      </c>
      <c r="J112" s="34" t="str">
        <f>IF(B112="", "", 'Hot Food Holding Cabinets'!D14)</f>
        <v/>
      </c>
      <c r="K112" s="34" t="str">
        <f>IF(B112="", "",'Hot Food Holding Cabinets'!E14)</f>
        <v/>
      </c>
      <c r="L112" s="34" t="str">
        <f>IF(B112="", "",'Hot Food Holding Cabinets'!F14)</f>
        <v/>
      </c>
      <c r="M112" s="34" t="str">
        <f>IF(B112="", "", 'Hot Food Holding Cabinets'!J14)</f>
        <v/>
      </c>
      <c r="N112" s="36" t="str">
        <f>IF(B112="", "", 'Hot Food Holding Cabinets'!U14)</f>
        <v/>
      </c>
      <c r="O112" s="37" t="str">
        <f>IF(B112="", "", 'Hot Food Holding Cabinets'!S14)</f>
        <v/>
      </c>
      <c r="P112" s="37" t="str">
        <f t="shared" si="3"/>
        <v/>
      </c>
      <c r="Q112" s="36" t="str">
        <f>IF(B112="", "", 'Hot Food Holding Cabinets'!T14)</f>
        <v/>
      </c>
      <c r="R112" s="143" t="str">
        <f>IF(B112="", "", 'Hot Food Holding Cabinets'!O14)</f>
        <v/>
      </c>
      <c r="S112" s="38" t="str">
        <f>IF(B112="", "", 'Hot Food Holding Cabinets'!$E$29)</f>
        <v/>
      </c>
      <c r="T112" s="34" t="str">
        <f>IF(B112="", "", 'Hot Food Holding Cabinets'!I14)</f>
        <v/>
      </c>
    </row>
    <row r="113" spans="1:31">
      <c r="A113" s="152" t="str">
        <f>IF(B113="", "", 'Project Summary'!R148)</f>
        <v/>
      </c>
      <c r="B113" s="152" t="str">
        <f>IF('Hot Food Holding Cabinets'!U15="", "", 'Hot Food Holding Cabinets'!M15)</f>
        <v/>
      </c>
      <c r="C113" s="152" t="str">
        <f>IF(B113="", "", 'Project Summary'!$C$10)</f>
        <v/>
      </c>
      <c r="D113" s="152" t="str">
        <f t="shared" si="2"/>
        <v/>
      </c>
      <c r="E113" s="152" t="str">
        <f>IF(B113="", "", CONCATENATE('Project Summary'!$C$7, " - ", 'Project Summary'!$C$10))</f>
        <v/>
      </c>
      <c r="F113" s="152" t="str">
        <f>IF(B113="", "", 'Project Summary'!$C$11)</f>
        <v/>
      </c>
      <c r="G113" s="152" t="str">
        <f>IF(B113="","",VLOOKUP(B113,'Project Summary'!$K$180:$L$200,2,FALSE))</f>
        <v/>
      </c>
      <c r="H113" s="152" t="str">
        <f>IF(B113="", "",'Project Summary'!P175)</f>
        <v/>
      </c>
      <c r="I113" s="153" t="str">
        <f>IF(B113="", "", Instructions!$L$2)</f>
        <v/>
      </c>
      <c r="J113" s="152" t="str">
        <f>IF(B113="", "", 'Hot Food Holding Cabinets'!D15)</f>
        <v/>
      </c>
      <c r="K113" s="152" t="str">
        <f>IF(B113="", "",'Hot Food Holding Cabinets'!E15)</f>
        <v/>
      </c>
      <c r="L113" s="152" t="str">
        <f>IF(B113="", "",'Hot Food Holding Cabinets'!F15)</f>
        <v/>
      </c>
      <c r="M113" s="152" t="str">
        <f>IF(B113="", "", 'Hot Food Holding Cabinets'!J15)</f>
        <v/>
      </c>
      <c r="N113" s="153" t="str">
        <f>IF(B113="", "", 'Hot Food Holding Cabinets'!U15)</f>
        <v/>
      </c>
      <c r="O113" s="154" t="str">
        <f>IF(B113="", "", 'Hot Food Holding Cabinets'!S15)</f>
        <v/>
      </c>
      <c r="P113" s="154" t="str">
        <f t="shared" si="3"/>
        <v/>
      </c>
      <c r="Q113" s="153" t="str">
        <f>IF(B113="", "", 'Hot Food Holding Cabinets'!T15)</f>
        <v/>
      </c>
      <c r="R113" s="155" t="str">
        <f>IF(B113="", "", 'Hot Food Holding Cabinets'!O15)</f>
        <v/>
      </c>
      <c r="S113" s="156" t="str">
        <f>IF(B113="", "", 'Hot Food Holding Cabinets'!$E$29)</f>
        <v/>
      </c>
      <c r="T113" s="152" t="str">
        <f>IF(B113="", "", 'Hot Food Holding Cabinets'!I15)</f>
        <v/>
      </c>
      <c r="U113" s="152"/>
      <c r="V113" s="152"/>
      <c r="W113" s="152"/>
      <c r="X113" s="152"/>
      <c r="Y113" s="152"/>
      <c r="Z113" s="152"/>
      <c r="AA113" s="152"/>
      <c r="AB113" s="152"/>
      <c r="AC113" s="152"/>
      <c r="AD113" s="152"/>
      <c r="AE113" s="15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249977111117893"/>
    <pageSetUpPr fitToPage="1"/>
  </sheetPr>
  <dimension ref="A1:M27"/>
  <sheetViews>
    <sheetView tabSelected="1" zoomScaleNormal="100" workbookViewId="0">
      <selection activeCell="H3" sqref="H3:L4"/>
    </sheetView>
  </sheetViews>
  <sheetFormatPr defaultRowHeight="15"/>
  <cols>
    <col min="1" max="1" width="6.140625" customWidth="1"/>
    <col min="2" max="2" width="7.28515625" customWidth="1"/>
    <col min="3" max="3" width="5.7109375" customWidth="1"/>
    <col min="4" max="4" width="4.42578125" customWidth="1"/>
    <col min="8" max="8" width="5.85546875" customWidth="1"/>
    <col min="9" max="9" width="7.5703125" customWidth="1"/>
    <col min="10" max="12" width="7.42578125" customWidth="1"/>
    <col min="13" max="13" width="6.5703125" customWidth="1"/>
  </cols>
  <sheetData>
    <row r="1" spans="1:13" ht="28.5" customHeight="1" thickBot="1">
      <c r="A1" s="25"/>
      <c r="B1" s="25"/>
      <c r="C1" s="25"/>
      <c r="D1" s="25"/>
      <c r="E1" s="25"/>
      <c r="F1" s="25"/>
      <c r="G1" s="25"/>
      <c r="H1" s="25"/>
      <c r="I1" s="25"/>
      <c r="J1" s="25"/>
      <c r="K1" s="25"/>
      <c r="L1" s="25"/>
      <c r="M1" s="25"/>
    </row>
    <row r="2" spans="1:13" ht="21" customHeight="1">
      <c r="A2" s="25"/>
      <c r="B2" s="315"/>
      <c r="C2" s="316"/>
      <c r="D2" s="316"/>
      <c r="E2" s="321" t="s">
        <v>26</v>
      </c>
      <c r="F2" s="321"/>
      <c r="G2" s="322"/>
      <c r="H2" s="327" t="s">
        <v>27</v>
      </c>
      <c r="I2" s="327"/>
      <c r="J2" s="327"/>
      <c r="K2" s="328"/>
      <c r="L2" s="186">
        <v>5</v>
      </c>
      <c r="M2" s="25"/>
    </row>
    <row r="3" spans="1:13" ht="21" customHeight="1">
      <c r="A3" s="25"/>
      <c r="B3" s="317"/>
      <c r="C3" s="318"/>
      <c r="D3" s="318"/>
      <c r="E3" s="323"/>
      <c r="F3" s="323"/>
      <c r="G3" s="324"/>
      <c r="H3" s="329" t="s">
        <v>28</v>
      </c>
      <c r="I3" s="329"/>
      <c r="J3" s="329"/>
      <c r="K3" s="329"/>
      <c r="L3" s="330"/>
      <c r="M3" s="25"/>
    </row>
    <row r="4" spans="1:13" ht="22.5" customHeight="1" thickBot="1">
      <c r="A4" s="25"/>
      <c r="B4" s="319"/>
      <c r="C4" s="320"/>
      <c r="D4" s="320"/>
      <c r="E4" s="325"/>
      <c r="F4" s="325"/>
      <c r="G4" s="326"/>
      <c r="H4" s="331"/>
      <c r="I4" s="331"/>
      <c r="J4" s="331"/>
      <c r="K4" s="331"/>
      <c r="L4" s="332"/>
      <c r="M4" s="25"/>
    </row>
    <row r="5" spans="1:13" ht="15.75" thickBot="1">
      <c r="A5" s="25"/>
      <c r="B5" s="25"/>
      <c r="C5" s="25"/>
      <c r="D5" s="25"/>
      <c r="E5" s="25"/>
      <c r="F5" s="25"/>
      <c r="G5" s="25"/>
      <c r="H5" s="25"/>
      <c r="I5" s="25"/>
      <c r="J5" s="25"/>
      <c r="K5" s="25"/>
      <c r="L5" s="25"/>
      <c r="M5" s="25"/>
    </row>
    <row r="6" spans="1:13" ht="7.5" customHeight="1">
      <c r="A6" s="25"/>
      <c r="B6" s="333" t="s">
        <v>29</v>
      </c>
      <c r="C6" s="334"/>
      <c r="D6" s="334"/>
      <c r="E6" s="334"/>
      <c r="F6" s="334"/>
      <c r="G6" s="334"/>
      <c r="H6" s="334"/>
      <c r="I6" s="334"/>
      <c r="J6" s="334"/>
      <c r="K6" s="334"/>
      <c r="L6" s="335"/>
      <c r="M6" s="25"/>
    </row>
    <row r="7" spans="1:13">
      <c r="A7" s="25"/>
      <c r="B7" s="336"/>
      <c r="C7" s="337"/>
      <c r="D7" s="337"/>
      <c r="E7" s="337"/>
      <c r="F7" s="337"/>
      <c r="G7" s="337"/>
      <c r="H7" s="337"/>
      <c r="I7" s="337"/>
      <c r="J7" s="337"/>
      <c r="K7" s="337"/>
      <c r="L7" s="338"/>
      <c r="M7" s="25"/>
    </row>
    <row r="8" spans="1:13">
      <c r="A8" s="25"/>
      <c r="B8" s="336"/>
      <c r="C8" s="337"/>
      <c r="D8" s="337"/>
      <c r="E8" s="337"/>
      <c r="F8" s="337"/>
      <c r="G8" s="337"/>
      <c r="H8" s="337"/>
      <c r="I8" s="337"/>
      <c r="J8" s="337"/>
      <c r="K8" s="337"/>
      <c r="L8" s="338"/>
      <c r="M8" s="25"/>
    </row>
    <row r="9" spans="1:13">
      <c r="A9" s="25"/>
      <c r="B9" s="336"/>
      <c r="C9" s="337"/>
      <c r="D9" s="337"/>
      <c r="E9" s="337"/>
      <c r="F9" s="337"/>
      <c r="G9" s="337"/>
      <c r="H9" s="337"/>
      <c r="I9" s="337"/>
      <c r="J9" s="337"/>
      <c r="K9" s="337"/>
      <c r="L9" s="338"/>
      <c r="M9" s="25"/>
    </row>
    <row r="10" spans="1:13" ht="15.75" customHeight="1">
      <c r="A10" s="25"/>
      <c r="B10" s="336"/>
      <c r="C10" s="337"/>
      <c r="D10" s="337"/>
      <c r="E10" s="337"/>
      <c r="F10" s="337"/>
      <c r="G10" s="337"/>
      <c r="H10" s="337"/>
      <c r="I10" s="337"/>
      <c r="J10" s="337"/>
      <c r="K10" s="337"/>
      <c r="L10" s="338"/>
      <c r="M10" s="25"/>
    </row>
    <row r="11" spans="1:13" ht="20.25" customHeight="1">
      <c r="A11" s="25"/>
      <c r="B11" s="336"/>
      <c r="C11" s="337"/>
      <c r="D11" s="337"/>
      <c r="E11" s="337"/>
      <c r="F11" s="337"/>
      <c r="G11" s="337"/>
      <c r="H11" s="337"/>
      <c r="I11" s="337"/>
      <c r="J11" s="337"/>
      <c r="K11" s="337"/>
      <c r="L11" s="338"/>
      <c r="M11" s="25"/>
    </row>
    <row r="12" spans="1:13" ht="18.75" customHeight="1">
      <c r="A12" s="25"/>
      <c r="B12" s="336"/>
      <c r="C12" s="337"/>
      <c r="D12" s="337"/>
      <c r="E12" s="337"/>
      <c r="F12" s="337"/>
      <c r="G12" s="337"/>
      <c r="H12" s="337"/>
      <c r="I12" s="337"/>
      <c r="J12" s="337"/>
      <c r="K12" s="337"/>
      <c r="L12" s="338"/>
      <c r="M12" s="25"/>
    </row>
    <row r="13" spans="1:13" ht="20.25" customHeight="1">
      <c r="A13" s="25"/>
      <c r="B13" s="336"/>
      <c r="C13" s="337"/>
      <c r="D13" s="337"/>
      <c r="E13" s="337"/>
      <c r="F13" s="337"/>
      <c r="G13" s="337"/>
      <c r="H13" s="337"/>
      <c r="I13" s="337"/>
      <c r="J13" s="337"/>
      <c r="K13" s="337"/>
      <c r="L13" s="338"/>
      <c r="M13" s="25"/>
    </row>
    <row r="14" spans="1:13" ht="20.25" customHeight="1" thickBot="1">
      <c r="A14" s="25"/>
      <c r="B14" s="339"/>
      <c r="C14" s="340"/>
      <c r="D14" s="340"/>
      <c r="E14" s="340"/>
      <c r="F14" s="340"/>
      <c r="G14" s="340"/>
      <c r="H14" s="340"/>
      <c r="I14" s="340"/>
      <c r="J14" s="340"/>
      <c r="K14" s="340"/>
      <c r="L14" s="341"/>
      <c r="M14" s="25"/>
    </row>
    <row r="15" spans="1:13" ht="15.75" thickBot="1">
      <c r="A15" s="25"/>
      <c r="B15" s="312" t="s">
        <v>30</v>
      </c>
      <c r="C15" s="313"/>
      <c r="D15" s="313"/>
      <c r="E15" s="313"/>
      <c r="F15" s="313"/>
      <c r="G15" s="313"/>
      <c r="H15" s="313"/>
      <c r="I15" s="313"/>
      <c r="J15" s="313"/>
      <c r="K15" s="313"/>
      <c r="L15" s="314"/>
      <c r="M15" s="25"/>
    </row>
    <row r="16" spans="1:13" ht="28.5" customHeight="1">
      <c r="A16" s="25"/>
      <c r="B16" s="351" t="s">
        <v>31</v>
      </c>
      <c r="C16" s="352"/>
      <c r="D16" s="352"/>
      <c r="E16" s="353" t="s">
        <v>32</v>
      </c>
      <c r="F16" s="354"/>
      <c r="G16" s="354"/>
      <c r="H16" s="354"/>
      <c r="I16" s="354"/>
      <c r="J16" s="354"/>
      <c r="K16" s="354"/>
      <c r="L16" s="355"/>
      <c r="M16" s="25"/>
    </row>
    <row r="17" spans="1:13" ht="28.5" customHeight="1">
      <c r="A17" s="25"/>
      <c r="B17" s="356" t="s">
        <v>33</v>
      </c>
      <c r="C17" s="357"/>
      <c r="D17" s="357"/>
      <c r="E17" s="358" t="s">
        <v>34</v>
      </c>
      <c r="F17" s="359"/>
      <c r="G17" s="359"/>
      <c r="H17" s="359"/>
      <c r="I17" s="359"/>
      <c r="J17" s="359"/>
      <c r="K17" s="359"/>
      <c r="L17" s="360"/>
      <c r="M17" s="25"/>
    </row>
    <row r="18" spans="1:13" ht="28.5" customHeight="1">
      <c r="A18" s="25"/>
      <c r="B18" s="361" t="s">
        <v>35</v>
      </c>
      <c r="C18" s="362"/>
      <c r="D18" s="362"/>
      <c r="E18" s="358" t="s">
        <v>36</v>
      </c>
      <c r="F18" s="359"/>
      <c r="G18" s="359"/>
      <c r="H18" s="359"/>
      <c r="I18" s="359"/>
      <c r="J18" s="359"/>
      <c r="K18" s="359"/>
      <c r="L18" s="360"/>
      <c r="M18" s="25"/>
    </row>
    <row r="19" spans="1:13" ht="28.5" customHeight="1" thickBot="1">
      <c r="A19" s="25"/>
      <c r="B19" s="342" t="s">
        <v>37</v>
      </c>
      <c r="C19" s="343"/>
      <c r="D19" s="344"/>
      <c r="E19" s="345" t="s">
        <v>38</v>
      </c>
      <c r="F19" s="346"/>
      <c r="G19" s="346"/>
      <c r="H19" s="346"/>
      <c r="I19" s="346"/>
      <c r="J19" s="346"/>
      <c r="K19" s="346"/>
      <c r="L19" s="347"/>
      <c r="M19" s="25"/>
    </row>
    <row r="20" spans="1:13" ht="15.75" thickBot="1">
      <c r="A20" s="25"/>
      <c r="B20" s="312" t="s">
        <v>39</v>
      </c>
      <c r="C20" s="313"/>
      <c r="D20" s="313"/>
      <c r="E20" s="313"/>
      <c r="F20" s="313"/>
      <c r="G20" s="313"/>
      <c r="H20" s="313"/>
      <c r="I20" s="313"/>
      <c r="J20" s="313"/>
      <c r="K20" s="313"/>
      <c r="L20" s="314"/>
      <c r="M20" s="25"/>
    </row>
    <row r="21" spans="1:13" ht="124.5" customHeight="1" thickBot="1">
      <c r="A21" s="25"/>
      <c r="B21" s="348" t="s">
        <v>40</v>
      </c>
      <c r="C21" s="349"/>
      <c r="D21" s="349"/>
      <c r="E21" s="349"/>
      <c r="F21" s="349"/>
      <c r="G21" s="349"/>
      <c r="H21" s="349"/>
      <c r="I21" s="349"/>
      <c r="J21" s="349"/>
      <c r="K21" s="349"/>
      <c r="L21" s="350"/>
      <c r="M21" s="25"/>
    </row>
    <row r="22" spans="1:13" ht="31.5" customHeight="1">
      <c r="A22" s="25"/>
      <c r="B22" s="25"/>
      <c r="C22" s="25"/>
      <c r="D22" s="25"/>
      <c r="E22" s="25"/>
      <c r="F22" s="25"/>
      <c r="G22" s="25"/>
      <c r="H22" s="25"/>
      <c r="I22" s="25"/>
      <c r="J22" s="25"/>
      <c r="K22" s="25"/>
      <c r="L22" s="25"/>
      <c r="M22" s="25"/>
    </row>
    <row r="27" spans="1:13">
      <c r="D27" s="26"/>
    </row>
  </sheetData>
  <sheetProtection algorithmName="SHA-512" hashValue="ULZhztjY/tqu4uQBblL4Usq+ygPQLZb1USYxBZc0l2T7et0t1W+UieECODvNYuIzC4uDJKGi3QRK/7Kuxn6ouw==" saltValue="RkRkeTCLBllML4SuAz2H9g==" spinCount="100000" sheet="1" selectLockedCells="1"/>
  <mergeCells count="16">
    <mergeCell ref="B19:D19"/>
    <mergeCell ref="E19:L19"/>
    <mergeCell ref="B20:L20"/>
    <mergeCell ref="B21:L21"/>
    <mergeCell ref="B16:D16"/>
    <mergeCell ref="E16:L16"/>
    <mergeCell ref="B17:D17"/>
    <mergeCell ref="E17:L17"/>
    <mergeCell ref="B18:D18"/>
    <mergeCell ref="E18:L18"/>
    <mergeCell ref="B15:L15"/>
    <mergeCell ref="B2:D4"/>
    <mergeCell ref="E2:G4"/>
    <mergeCell ref="H2:K2"/>
    <mergeCell ref="H3:L4"/>
    <mergeCell ref="B6:L14"/>
  </mergeCells>
  <pageMargins left="0.7" right="0.7" top="0.75" bottom="0.75" header="0.3" footer="0.3"/>
  <pageSetup scale="97"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sheetPr>
  <dimension ref="A1:IS964"/>
  <sheetViews>
    <sheetView zoomScale="90" zoomScaleNormal="90" workbookViewId="0">
      <selection activeCell="C12" sqref="C12:F12"/>
    </sheetView>
  </sheetViews>
  <sheetFormatPr defaultRowHeight="15"/>
  <cols>
    <col min="1" max="1" width="4.28515625" customWidth="1"/>
    <col min="2" max="2" width="45.85546875" customWidth="1"/>
    <col min="3" max="3" width="9" customWidth="1"/>
    <col min="4" max="5" width="14" customWidth="1"/>
    <col min="6" max="6" width="12.140625" customWidth="1"/>
    <col min="7" max="7" width="4.28515625" customWidth="1"/>
    <col min="10" max="10" width="10.140625" hidden="1" customWidth="1"/>
    <col min="11" max="11" width="41.140625" style="29" hidden="1" customWidth="1"/>
    <col min="12" max="12" width="20.5703125" hidden="1" customWidth="1"/>
    <col min="13" max="13" width="20.28515625" hidden="1" customWidth="1"/>
    <col min="14" max="14" width="12" hidden="1" customWidth="1"/>
    <col min="15" max="15" width="14.28515625" hidden="1" customWidth="1"/>
    <col min="16" max="16" width="16.5703125" hidden="1" customWidth="1"/>
    <col min="17" max="17" width="9.140625" customWidth="1"/>
    <col min="18" max="18" width="9.140625" hidden="1" customWidth="1"/>
  </cols>
  <sheetData>
    <row r="1" spans="1:253" ht="22.5" customHeight="1" thickBot="1">
      <c r="A1" s="70"/>
      <c r="B1" s="71"/>
      <c r="C1" s="71"/>
      <c r="D1" s="71"/>
      <c r="E1" s="71"/>
      <c r="F1" s="71"/>
      <c r="G1" s="72"/>
      <c r="H1" s="97"/>
      <c r="I1" s="97"/>
      <c r="J1" s="28"/>
      <c r="K1" s="27"/>
      <c r="L1" s="28"/>
      <c r="M1" s="28"/>
      <c r="N1" s="28"/>
      <c r="O1" s="28"/>
      <c r="P1" s="28"/>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97"/>
      <c r="DI1" s="97"/>
      <c r="DJ1" s="97"/>
      <c r="DK1" s="97"/>
      <c r="DL1" s="97"/>
      <c r="DM1" s="97"/>
      <c r="DN1" s="97"/>
      <c r="DO1" s="97"/>
      <c r="DP1" s="97"/>
      <c r="DQ1" s="97"/>
      <c r="DR1" s="97"/>
      <c r="DS1" s="97"/>
      <c r="DT1" s="97"/>
      <c r="DU1" s="97"/>
      <c r="DV1" s="97"/>
      <c r="DW1" s="97"/>
      <c r="DX1" s="97"/>
      <c r="DY1" s="97"/>
      <c r="DZ1" s="97"/>
      <c r="EA1" s="97"/>
      <c r="EB1" s="97"/>
      <c r="EC1" s="97"/>
      <c r="ED1" s="97"/>
      <c r="EE1" s="97"/>
      <c r="EF1" s="97"/>
      <c r="EG1" s="97"/>
      <c r="EH1" s="97"/>
      <c r="EI1" s="97"/>
      <c r="EJ1" s="97"/>
      <c r="EK1" s="97"/>
      <c r="EL1" s="97"/>
      <c r="EM1" s="97"/>
      <c r="EN1" s="97"/>
      <c r="EO1" s="97"/>
      <c r="EP1" s="97"/>
      <c r="EQ1" s="97"/>
      <c r="ER1" s="97"/>
      <c r="ES1" s="97"/>
      <c r="ET1" s="97"/>
      <c r="EU1" s="97"/>
      <c r="EV1" s="97"/>
      <c r="EW1" s="97"/>
      <c r="EX1" s="97"/>
      <c r="EY1" s="97"/>
      <c r="EZ1" s="97"/>
      <c r="FA1" s="97"/>
      <c r="FB1" s="97"/>
      <c r="FC1" s="97"/>
      <c r="FD1" s="97"/>
      <c r="FE1" s="97"/>
      <c r="FF1" s="97"/>
      <c r="FG1" s="97"/>
      <c r="FH1" s="97"/>
      <c r="FI1" s="97"/>
      <c r="FJ1" s="97"/>
      <c r="FK1" s="97"/>
      <c r="FL1" s="97"/>
      <c r="FM1" s="97"/>
      <c r="FN1" s="97"/>
      <c r="FO1" s="97"/>
      <c r="FP1" s="97"/>
      <c r="FQ1" s="97"/>
      <c r="FR1" s="97"/>
      <c r="FS1" s="97"/>
      <c r="FT1" s="97"/>
      <c r="FU1" s="97"/>
      <c r="FV1" s="97"/>
      <c r="FW1" s="97"/>
      <c r="FX1" s="97"/>
      <c r="FY1" s="97"/>
      <c r="FZ1" s="97"/>
      <c r="GA1" s="97"/>
      <c r="GB1" s="97"/>
      <c r="GC1" s="97"/>
      <c r="GD1" s="97"/>
      <c r="GE1" s="97"/>
      <c r="GF1" s="97"/>
      <c r="GG1" s="97"/>
      <c r="GH1" s="97"/>
      <c r="GI1" s="97"/>
      <c r="GJ1" s="97"/>
      <c r="GK1" s="97"/>
      <c r="GL1" s="97"/>
      <c r="GM1" s="97"/>
      <c r="GN1" s="97"/>
      <c r="GO1" s="97"/>
      <c r="GP1" s="97"/>
      <c r="GQ1" s="97"/>
      <c r="GR1" s="97"/>
      <c r="GS1" s="97"/>
      <c r="GT1" s="97"/>
      <c r="GU1" s="97"/>
      <c r="GV1" s="97"/>
      <c r="GW1" s="97"/>
      <c r="GX1" s="97"/>
      <c r="GY1" s="97"/>
      <c r="GZ1" s="97"/>
      <c r="HA1" s="97"/>
      <c r="HB1" s="97"/>
      <c r="HC1" s="97"/>
      <c r="HD1" s="97"/>
      <c r="HE1" s="97"/>
      <c r="HF1" s="97"/>
      <c r="HG1" s="97"/>
      <c r="HH1" s="97"/>
      <c r="HI1" s="97"/>
      <c r="HJ1" s="97"/>
      <c r="HK1" s="97"/>
      <c r="HL1" s="97"/>
      <c r="HM1" s="97"/>
      <c r="HN1" s="97"/>
      <c r="HO1" s="97"/>
      <c r="HP1" s="97"/>
      <c r="HQ1" s="97"/>
      <c r="HR1" s="97"/>
      <c r="HS1" s="97"/>
      <c r="HT1" s="97"/>
      <c r="HU1" s="97"/>
      <c r="HV1" s="97"/>
      <c r="HW1" s="97"/>
      <c r="HX1" s="97"/>
      <c r="HY1" s="97"/>
      <c r="HZ1" s="97"/>
      <c r="IA1" s="97"/>
      <c r="IB1" s="97"/>
      <c r="IC1" s="97"/>
      <c r="ID1" s="97"/>
      <c r="IE1" s="97"/>
      <c r="IF1" s="97"/>
      <c r="IG1" s="97"/>
      <c r="IH1" s="97"/>
      <c r="II1" s="97"/>
      <c r="IJ1" s="97"/>
      <c r="IK1" s="97"/>
      <c r="IL1" s="97"/>
      <c r="IM1" s="97"/>
      <c r="IN1" s="97"/>
      <c r="IO1" s="97"/>
      <c r="IP1" s="97"/>
      <c r="IQ1" s="97"/>
      <c r="IR1" s="97"/>
      <c r="IS1" s="97"/>
    </row>
    <row r="2" spans="1:253" ht="45" customHeight="1" thickBot="1">
      <c r="A2" s="73"/>
      <c r="B2" s="369" t="s">
        <v>41</v>
      </c>
      <c r="C2" s="370"/>
      <c r="D2" s="370"/>
      <c r="E2" s="370"/>
      <c r="F2" s="371"/>
      <c r="G2" s="74"/>
      <c r="H2" s="97"/>
      <c r="I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c r="ED2" s="97"/>
      <c r="EE2" s="97"/>
      <c r="EF2" s="97"/>
      <c r="EG2" s="97"/>
      <c r="EH2" s="97"/>
      <c r="EI2" s="97"/>
      <c r="EJ2" s="97"/>
      <c r="EK2" s="97"/>
      <c r="EL2" s="97"/>
      <c r="EM2" s="97"/>
      <c r="EN2" s="97"/>
      <c r="EO2" s="97"/>
      <c r="EP2" s="97"/>
      <c r="EQ2" s="97"/>
      <c r="ER2" s="97"/>
      <c r="ES2" s="97"/>
      <c r="ET2" s="97"/>
      <c r="EU2" s="97"/>
      <c r="EV2" s="97"/>
      <c r="EW2" s="97"/>
      <c r="EX2" s="97"/>
      <c r="EY2" s="97"/>
      <c r="EZ2" s="97"/>
      <c r="FA2" s="97"/>
      <c r="FB2" s="97"/>
      <c r="FC2" s="97"/>
      <c r="FD2" s="97"/>
      <c r="FE2" s="97"/>
      <c r="FF2" s="97"/>
      <c r="FG2" s="97"/>
      <c r="FH2" s="97"/>
      <c r="FI2" s="97"/>
      <c r="FJ2" s="97"/>
      <c r="FK2" s="97"/>
      <c r="FL2" s="97"/>
      <c r="FM2" s="97"/>
      <c r="FN2" s="97"/>
      <c r="FO2" s="97"/>
      <c r="FP2" s="97"/>
      <c r="FQ2" s="97"/>
      <c r="FR2" s="97"/>
      <c r="FS2" s="97"/>
      <c r="FT2" s="97"/>
      <c r="FU2" s="97"/>
      <c r="FV2" s="97"/>
      <c r="FW2" s="97"/>
      <c r="FX2" s="97"/>
      <c r="FY2" s="97"/>
      <c r="FZ2" s="97"/>
      <c r="GA2" s="97"/>
      <c r="GB2" s="97"/>
      <c r="GC2" s="97"/>
      <c r="GD2" s="97"/>
      <c r="GE2" s="97"/>
      <c r="GF2" s="97"/>
      <c r="GG2" s="97"/>
      <c r="GH2" s="97"/>
      <c r="GI2" s="97"/>
      <c r="GJ2" s="97"/>
      <c r="GK2" s="97"/>
      <c r="GL2" s="97"/>
      <c r="GM2" s="97"/>
      <c r="GN2" s="97"/>
      <c r="GO2" s="97"/>
      <c r="GP2" s="97"/>
      <c r="GQ2" s="97"/>
      <c r="GR2" s="97"/>
      <c r="GS2" s="97"/>
      <c r="GT2" s="97"/>
      <c r="GU2" s="97"/>
      <c r="GV2" s="97"/>
      <c r="GW2" s="97"/>
      <c r="GX2" s="97"/>
      <c r="GY2" s="97"/>
      <c r="GZ2" s="97"/>
      <c r="HA2" s="97"/>
      <c r="HB2" s="97"/>
      <c r="HC2" s="97"/>
      <c r="HD2" s="97"/>
      <c r="HE2" s="97"/>
      <c r="HF2" s="97"/>
      <c r="HG2" s="97"/>
      <c r="HH2" s="97"/>
      <c r="HI2" s="97"/>
      <c r="HJ2" s="97"/>
      <c r="HK2" s="97"/>
      <c r="HL2" s="97"/>
      <c r="HM2" s="97"/>
      <c r="HN2" s="97"/>
      <c r="HO2" s="97"/>
      <c r="HP2" s="97"/>
      <c r="HQ2" s="97"/>
      <c r="HR2" s="97"/>
      <c r="HS2" s="97"/>
      <c r="HT2" s="97"/>
      <c r="HU2" s="97"/>
      <c r="HV2" s="97"/>
      <c r="HW2" s="97"/>
      <c r="HX2" s="97"/>
      <c r="HY2" s="97"/>
      <c r="HZ2" s="97"/>
      <c r="IA2" s="97"/>
      <c r="IB2" s="97"/>
      <c r="IC2" s="97"/>
      <c r="ID2" s="97"/>
      <c r="IE2" s="97"/>
      <c r="IF2" s="97"/>
      <c r="IG2" s="97"/>
      <c r="IH2" s="97"/>
      <c r="II2" s="97"/>
      <c r="IJ2" s="97"/>
      <c r="IK2" s="97"/>
      <c r="IL2" s="97"/>
      <c r="IM2" s="97"/>
      <c r="IN2" s="97"/>
      <c r="IO2" s="97"/>
      <c r="IP2" s="97"/>
      <c r="IQ2" s="97"/>
      <c r="IR2" s="97"/>
      <c r="IS2" s="97"/>
    </row>
    <row r="3" spans="1:253" ht="6.75" customHeight="1" thickBot="1">
      <c r="A3" s="73"/>
      <c r="B3" s="75"/>
      <c r="C3" s="76"/>
      <c r="D3" s="76"/>
      <c r="E3" s="76"/>
      <c r="F3" s="76"/>
      <c r="G3" s="74"/>
      <c r="H3" s="97"/>
      <c r="I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97"/>
      <c r="HB3" s="97"/>
      <c r="HC3" s="97"/>
      <c r="HD3" s="97"/>
      <c r="HE3" s="97"/>
      <c r="HF3" s="97"/>
      <c r="HG3" s="97"/>
      <c r="HH3" s="97"/>
      <c r="HI3" s="97"/>
      <c r="HJ3" s="97"/>
      <c r="HK3" s="97"/>
      <c r="HL3" s="97"/>
      <c r="HM3" s="97"/>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c r="IS3" s="97"/>
    </row>
    <row r="4" spans="1:253" ht="12.75" customHeight="1">
      <c r="A4" s="77"/>
      <c r="B4" s="363" t="s">
        <v>42</v>
      </c>
      <c r="C4" s="364"/>
      <c r="D4" s="364"/>
      <c r="E4" s="364"/>
      <c r="F4" s="365"/>
      <c r="G4" s="74"/>
      <c r="H4" s="97"/>
      <c r="I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c r="GH4" s="97"/>
      <c r="GI4" s="97"/>
      <c r="GJ4" s="97"/>
      <c r="GK4" s="97"/>
      <c r="GL4" s="97"/>
      <c r="GM4" s="97"/>
      <c r="GN4" s="97"/>
      <c r="GO4" s="97"/>
      <c r="GP4" s="97"/>
      <c r="GQ4" s="97"/>
      <c r="GR4" s="97"/>
      <c r="GS4" s="97"/>
      <c r="GT4" s="97"/>
      <c r="GU4" s="97"/>
      <c r="GV4" s="97"/>
      <c r="GW4" s="97"/>
      <c r="GX4" s="97"/>
      <c r="GY4" s="97"/>
      <c r="GZ4" s="97"/>
      <c r="HA4" s="97"/>
      <c r="HB4" s="97"/>
      <c r="HC4" s="97"/>
      <c r="HD4" s="97"/>
      <c r="HE4" s="97"/>
      <c r="HF4" s="97"/>
      <c r="HG4" s="97"/>
      <c r="HH4" s="97"/>
      <c r="HI4" s="97"/>
      <c r="HJ4" s="97"/>
      <c r="HK4" s="97"/>
      <c r="HL4" s="97"/>
      <c r="HM4" s="97"/>
      <c r="HN4" s="97"/>
      <c r="HO4" s="97"/>
      <c r="HP4" s="97"/>
      <c r="HQ4" s="97"/>
      <c r="HR4" s="97"/>
      <c r="HS4" s="97"/>
      <c r="HT4" s="97"/>
      <c r="HU4" s="97"/>
      <c r="HV4" s="97"/>
      <c r="HW4" s="97"/>
      <c r="HX4" s="97"/>
      <c r="HY4" s="97"/>
      <c r="HZ4" s="97"/>
      <c r="IA4" s="97"/>
      <c r="IB4" s="97"/>
      <c r="IC4" s="97"/>
      <c r="ID4" s="97"/>
      <c r="IE4" s="97"/>
      <c r="IF4" s="97"/>
      <c r="IG4" s="97"/>
      <c r="IH4" s="97"/>
      <c r="II4" s="97"/>
      <c r="IJ4" s="97"/>
      <c r="IK4" s="97"/>
      <c r="IL4" s="97"/>
      <c r="IM4" s="97"/>
      <c r="IN4" s="97"/>
      <c r="IO4" s="97"/>
      <c r="IP4" s="97"/>
      <c r="IQ4" s="97"/>
      <c r="IR4" s="97"/>
      <c r="IS4" s="97"/>
    </row>
    <row r="5" spans="1:253" ht="12.75" customHeight="1" thickBot="1">
      <c r="A5" s="77"/>
      <c r="B5" s="366"/>
      <c r="C5" s="367"/>
      <c r="D5" s="367"/>
      <c r="E5" s="367"/>
      <c r="F5" s="368"/>
      <c r="G5" s="74"/>
      <c r="H5" s="97"/>
      <c r="I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c r="IE5" s="97"/>
      <c r="IF5" s="97"/>
      <c r="IG5" s="97"/>
      <c r="IH5" s="97"/>
      <c r="II5" s="97"/>
      <c r="IJ5" s="97"/>
      <c r="IK5" s="97"/>
      <c r="IL5" s="97"/>
      <c r="IM5" s="97"/>
      <c r="IN5" s="97"/>
      <c r="IO5" s="97"/>
      <c r="IP5" s="97"/>
      <c r="IQ5" s="97"/>
      <c r="IR5" s="97"/>
      <c r="IS5" s="97"/>
    </row>
    <row r="6" spans="1:253" ht="13.5" customHeight="1" thickBot="1">
      <c r="A6" s="77"/>
      <c r="B6" s="78"/>
      <c r="C6" s="78"/>
      <c r="D6" s="78"/>
      <c r="E6" s="78"/>
      <c r="F6" s="78"/>
      <c r="G6" s="74"/>
      <c r="H6" s="97"/>
      <c r="I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row>
    <row r="7" spans="1:253" ht="16.5" customHeight="1">
      <c r="A7" s="77"/>
      <c r="B7" s="148" t="s">
        <v>43</v>
      </c>
      <c r="C7" s="375"/>
      <c r="D7" s="376"/>
      <c r="E7" s="376"/>
      <c r="F7" s="377"/>
      <c r="G7" s="74"/>
      <c r="H7" s="97"/>
      <c r="I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row>
    <row r="8" spans="1:253" ht="16.5" customHeight="1">
      <c r="A8" s="77"/>
      <c r="B8" s="149" t="s">
        <v>44</v>
      </c>
      <c r="C8" s="378"/>
      <c r="D8" s="379"/>
      <c r="E8" s="379"/>
      <c r="F8" s="380"/>
      <c r="G8" s="74"/>
      <c r="H8" s="97"/>
      <c r="I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row>
    <row r="9" spans="1:253" ht="16.5" customHeight="1">
      <c r="A9" s="77"/>
      <c r="B9" s="149" t="s">
        <v>45</v>
      </c>
      <c r="C9" s="378"/>
      <c r="D9" s="379"/>
      <c r="E9" s="379"/>
      <c r="F9" s="380"/>
      <c r="G9" s="74"/>
      <c r="H9" s="97"/>
      <c r="I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c r="IE9" s="97"/>
      <c r="IF9" s="97"/>
      <c r="IG9" s="97"/>
      <c r="IH9" s="97"/>
      <c r="II9" s="97"/>
      <c r="IJ9" s="97"/>
      <c r="IK9" s="97"/>
      <c r="IL9" s="97"/>
      <c r="IM9" s="97"/>
      <c r="IN9" s="97"/>
      <c r="IO9" s="97"/>
      <c r="IP9" s="97"/>
      <c r="IQ9" s="97"/>
      <c r="IR9" s="97"/>
      <c r="IS9" s="97"/>
    </row>
    <row r="10" spans="1:253" ht="16.5" customHeight="1">
      <c r="A10" s="77"/>
      <c r="B10" s="149" t="s">
        <v>46</v>
      </c>
      <c r="C10" s="378"/>
      <c r="D10" s="379"/>
      <c r="E10" s="379"/>
      <c r="F10" s="380"/>
      <c r="G10" s="74"/>
      <c r="H10" s="97"/>
      <c r="I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c r="HC10" s="97"/>
      <c r="HD10" s="97"/>
      <c r="HE10" s="97"/>
      <c r="HF10" s="97"/>
      <c r="HG10" s="97"/>
      <c r="HH10" s="97"/>
      <c r="HI10" s="97"/>
      <c r="HJ10" s="97"/>
      <c r="HK10" s="97"/>
      <c r="HL10" s="97"/>
      <c r="HM10" s="97"/>
      <c r="HN10" s="97"/>
      <c r="HO10" s="97"/>
      <c r="HP10" s="97"/>
      <c r="HQ10" s="97"/>
      <c r="HR10" s="97"/>
      <c r="HS10" s="97"/>
      <c r="HT10" s="97"/>
      <c r="HU10" s="97"/>
      <c r="HV10" s="97"/>
      <c r="HW10" s="97"/>
      <c r="HX10" s="97"/>
      <c r="HY10" s="97"/>
      <c r="HZ10" s="97"/>
      <c r="IA10" s="97"/>
      <c r="IB10" s="97"/>
      <c r="IC10" s="97"/>
      <c r="ID10" s="97"/>
      <c r="IE10" s="97"/>
      <c r="IF10" s="97"/>
      <c r="IG10" s="97"/>
      <c r="IH10" s="97"/>
      <c r="II10" s="97"/>
      <c r="IJ10" s="97"/>
      <c r="IK10" s="97"/>
      <c r="IL10" s="97"/>
      <c r="IM10" s="97"/>
      <c r="IN10" s="97"/>
      <c r="IO10" s="97"/>
      <c r="IP10" s="97"/>
      <c r="IQ10" s="97"/>
      <c r="IR10" s="97"/>
      <c r="IS10" s="97"/>
    </row>
    <row r="11" spans="1:253" ht="16.5" customHeight="1">
      <c r="A11" s="77"/>
      <c r="B11" s="150" t="s">
        <v>47</v>
      </c>
      <c r="C11" s="381"/>
      <c r="D11" s="382"/>
      <c r="E11" s="382"/>
      <c r="F11" s="383"/>
      <c r="G11" s="74"/>
      <c r="H11" s="97"/>
      <c r="I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c r="GH11" s="97"/>
      <c r="GI11" s="97"/>
      <c r="GJ11" s="97"/>
      <c r="GK11" s="97"/>
      <c r="GL11" s="97"/>
      <c r="GM11" s="97"/>
      <c r="GN11" s="97"/>
      <c r="GO11" s="97"/>
      <c r="GP11" s="97"/>
      <c r="GQ11" s="97"/>
      <c r="GR11" s="97"/>
      <c r="GS11" s="97"/>
      <c r="GT11" s="97"/>
      <c r="GU11" s="97"/>
      <c r="GV11" s="97"/>
      <c r="GW11" s="97"/>
      <c r="GX11" s="97"/>
      <c r="GY11" s="97"/>
      <c r="GZ11" s="97"/>
      <c r="HA11" s="97"/>
      <c r="HB11" s="97"/>
      <c r="HC11" s="97"/>
      <c r="HD11" s="97"/>
      <c r="HE11" s="97"/>
      <c r="HF11" s="97"/>
      <c r="HG11" s="97"/>
      <c r="HH11" s="97"/>
      <c r="HI11" s="97"/>
      <c r="HJ11" s="97"/>
      <c r="HK11" s="97"/>
      <c r="HL11" s="97"/>
      <c r="HM11" s="97"/>
      <c r="HN11" s="97"/>
      <c r="HO11" s="97"/>
      <c r="HP11" s="97"/>
      <c r="HQ11" s="97"/>
      <c r="HR11" s="97"/>
      <c r="HS11" s="97"/>
      <c r="HT11" s="97"/>
      <c r="HU11" s="97"/>
      <c r="HV11" s="97"/>
      <c r="HW11" s="97"/>
      <c r="HX11" s="97"/>
      <c r="HY11" s="97"/>
      <c r="HZ11" s="97"/>
      <c r="IA11" s="97"/>
      <c r="IB11" s="97"/>
      <c r="IC11" s="97"/>
      <c r="ID11" s="97"/>
      <c r="IE11" s="97"/>
      <c r="IF11" s="97"/>
      <c r="IG11" s="97"/>
      <c r="IH11" s="97"/>
      <c r="II11" s="97"/>
      <c r="IJ11" s="97"/>
      <c r="IK11" s="97"/>
      <c r="IL11" s="97"/>
      <c r="IM11" s="97"/>
      <c r="IN11" s="97"/>
      <c r="IO11" s="97"/>
      <c r="IP11" s="97"/>
      <c r="IQ11" s="97"/>
      <c r="IR11" s="97"/>
      <c r="IS11" s="97"/>
    </row>
    <row r="12" spans="1:253" ht="16.5" customHeight="1" thickBot="1">
      <c r="A12" s="77"/>
      <c r="B12" s="151" t="s">
        <v>48</v>
      </c>
      <c r="C12" s="390"/>
      <c r="D12" s="391"/>
      <c r="E12" s="391"/>
      <c r="F12" s="392"/>
      <c r="G12" s="74"/>
      <c r="H12" s="97"/>
      <c r="I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c r="DP12" s="97"/>
      <c r="DQ12" s="97"/>
      <c r="DR12" s="97"/>
      <c r="DS12" s="97"/>
      <c r="DT12" s="97"/>
      <c r="DU12" s="97"/>
      <c r="DV12" s="97"/>
      <c r="DW12" s="97"/>
      <c r="DX12" s="97"/>
      <c r="DY12" s="97"/>
      <c r="DZ12" s="97"/>
      <c r="EA12" s="97"/>
      <c r="EB12" s="97"/>
      <c r="EC12" s="97"/>
      <c r="ED12" s="97"/>
      <c r="EE12" s="97"/>
      <c r="EF12" s="97"/>
      <c r="EG12" s="97"/>
      <c r="EH12" s="97"/>
      <c r="EI12" s="97"/>
      <c r="EJ12" s="97"/>
      <c r="EK12" s="97"/>
      <c r="EL12" s="97"/>
      <c r="EM12" s="97"/>
      <c r="EN12" s="97"/>
      <c r="EO12" s="97"/>
      <c r="EP12" s="97"/>
      <c r="EQ12" s="97"/>
      <c r="ER12" s="97"/>
      <c r="ES12" s="97"/>
      <c r="ET12" s="97"/>
      <c r="EU12" s="97"/>
      <c r="EV12" s="97"/>
      <c r="EW12" s="97"/>
      <c r="EX12" s="97"/>
      <c r="EY12" s="97"/>
      <c r="EZ12" s="97"/>
      <c r="FA12" s="97"/>
      <c r="FB12" s="97"/>
      <c r="FC12" s="97"/>
      <c r="FD12" s="97"/>
      <c r="FE12" s="97"/>
      <c r="FF12" s="97"/>
      <c r="FG12" s="97"/>
      <c r="FH12" s="97"/>
      <c r="FI12" s="97"/>
      <c r="FJ12" s="97"/>
      <c r="FK12" s="97"/>
      <c r="FL12" s="97"/>
      <c r="FM12" s="97"/>
      <c r="FN12" s="97"/>
      <c r="FO12" s="97"/>
      <c r="FP12" s="97"/>
      <c r="FQ12" s="97"/>
      <c r="FR12" s="97"/>
      <c r="FS12" s="97"/>
      <c r="FT12" s="97"/>
      <c r="FU12" s="97"/>
      <c r="FV12" s="97"/>
      <c r="FW12" s="97"/>
      <c r="FX12" s="97"/>
      <c r="FY12" s="97"/>
      <c r="FZ12" s="97"/>
      <c r="GA12" s="97"/>
      <c r="GB12" s="97"/>
      <c r="GC12" s="97"/>
      <c r="GD12" s="97"/>
      <c r="GE12" s="97"/>
      <c r="GF12" s="97"/>
      <c r="GG12" s="97"/>
      <c r="GH12" s="97"/>
      <c r="GI12" s="97"/>
      <c r="GJ12" s="97"/>
      <c r="GK12" s="97"/>
      <c r="GL12" s="97"/>
      <c r="GM12" s="97"/>
      <c r="GN12" s="97"/>
      <c r="GO12" s="97"/>
      <c r="GP12" s="97"/>
      <c r="GQ12" s="97"/>
      <c r="GR12" s="97"/>
      <c r="GS12" s="97"/>
      <c r="GT12" s="97"/>
      <c r="GU12" s="97"/>
      <c r="GV12" s="97"/>
      <c r="GW12" s="97"/>
      <c r="GX12" s="97"/>
      <c r="GY12" s="97"/>
      <c r="GZ12" s="97"/>
      <c r="HA12" s="97"/>
      <c r="HB12" s="97"/>
      <c r="HC12" s="97"/>
      <c r="HD12" s="97"/>
      <c r="HE12" s="97"/>
      <c r="HF12" s="97"/>
      <c r="HG12" s="97"/>
      <c r="HH12" s="97"/>
      <c r="HI12" s="97"/>
      <c r="HJ12" s="97"/>
      <c r="HK12" s="97"/>
      <c r="HL12" s="97"/>
      <c r="HM12" s="97"/>
      <c r="HN12" s="97"/>
      <c r="HO12" s="97"/>
      <c r="HP12" s="97"/>
      <c r="HQ12" s="97"/>
      <c r="HR12" s="97"/>
      <c r="HS12" s="97"/>
      <c r="HT12" s="97"/>
      <c r="HU12" s="97"/>
      <c r="HV12" s="97"/>
      <c r="HW12" s="97"/>
      <c r="HX12" s="97"/>
      <c r="HY12" s="97"/>
      <c r="HZ12" s="97"/>
      <c r="IA12" s="97"/>
      <c r="IB12" s="97"/>
      <c r="IC12" s="97"/>
      <c r="ID12" s="97"/>
      <c r="IE12" s="97"/>
      <c r="IF12" s="97"/>
      <c r="IG12" s="97"/>
      <c r="IH12" s="97"/>
      <c r="II12" s="97"/>
      <c r="IJ12" s="97"/>
      <c r="IK12" s="97"/>
      <c r="IL12" s="97"/>
      <c r="IM12" s="97"/>
      <c r="IN12" s="97"/>
      <c r="IO12" s="97"/>
      <c r="IP12" s="97"/>
      <c r="IQ12" s="97"/>
      <c r="IR12" s="97"/>
      <c r="IS12" s="97"/>
    </row>
    <row r="13" spans="1:253" ht="13.5" customHeight="1" thickBot="1">
      <c r="A13" s="77"/>
      <c r="B13" s="78"/>
      <c r="C13" s="78"/>
      <c r="D13" s="78"/>
      <c r="E13" s="78"/>
      <c r="F13" s="78"/>
      <c r="G13" s="74"/>
      <c r="H13" s="97"/>
      <c r="I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c r="DK13" s="97"/>
      <c r="DL13" s="97"/>
      <c r="DM13" s="97"/>
      <c r="DN13" s="97"/>
      <c r="DO13" s="97"/>
      <c r="DP13" s="97"/>
      <c r="DQ13" s="97"/>
      <c r="DR13" s="97"/>
      <c r="DS13" s="97"/>
      <c r="DT13" s="97"/>
      <c r="DU13" s="97"/>
      <c r="DV13" s="97"/>
      <c r="DW13" s="97"/>
      <c r="DX13" s="97"/>
      <c r="DY13" s="97"/>
      <c r="DZ13" s="97"/>
      <c r="EA13" s="97"/>
      <c r="EB13" s="97"/>
      <c r="EC13" s="97"/>
      <c r="ED13" s="97"/>
      <c r="EE13" s="97"/>
      <c r="EF13" s="97"/>
      <c r="EG13" s="97"/>
      <c r="EH13" s="97"/>
      <c r="EI13" s="97"/>
      <c r="EJ13" s="97"/>
      <c r="EK13" s="97"/>
      <c r="EL13" s="97"/>
      <c r="EM13" s="97"/>
      <c r="EN13" s="97"/>
      <c r="EO13" s="97"/>
      <c r="EP13" s="97"/>
      <c r="EQ13" s="97"/>
      <c r="ER13" s="97"/>
      <c r="ES13" s="97"/>
      <c r="ET13" s="97"/>
      <c r="EU13" s="97"/>
      <c r="EV13" s="97"/>
      <c r="EW13" s="97"/>
      <c r="EX13" s="97"/>
      <c r="EY13" s="97"/>
      <c r="EZ13" s="97"/>
      <c r="FA13" s="97"/>
      <c r="FB13" s="97"/>
      <c r="FC13" s="97"/>
      <c r="FD13" s="97"/>
      <c r="FE13" s="97"/>
      <c r="FF13" s="97"/>
      <c r="FG13" s="97"/>
      <c r="FH13" s="97"/>
      <c r="FI13" s="97"/>
      <c r="FJ13" s="97"/>
      <c r="FK13" s="97"/>
      <c r="FL13" s="97"/>
      <c r="FM13" s="97"/>
      <c r="FN13" s="97"/>
      <c r="FO13" s="97"/>
      <c r="FP13" s="97"/>
      <c r="FQ13" s="97"/>
      <c r="FR13" s="97"/>
      <c r="FS13" s="97"/>
      <c r="FT13" s="97"/>
      <c r="FU13" s="97"/>
      <c r="FV13" s="97"/>
      <c r="FW13" s="97"/>
      <c r="FX13" s="97"/>
      <c r="FY13" s="97"/>
      <c r="FZ13" s="97"/>
      <c r="GA13" s="97"/>
      <c r="GB13" s="97"/>
      <c r="GC13" s="97"/>
      <c r="GD13" s="97"/>
      <c r="GE13" s="97"/>
      <c r="GF13" s="97"/>
      <c r="GG13" s="97"/>
      <c r="GH13" s="97"/>
      <c r="GI13" s="97"/>
      <c r="GJ13" s="97"/>
      <c r="GK13" s="97"/>
      <c r="GL13" s="97"/>
      <c r="GM13" s="97"/>
      <c r="GN13" s="97"/>
      <c r="GO13" s="97"/>
      <c r="GP13" s="97"/>
      <c r="GQ13" s="97"/>
      <c r="GR13" s="97"/>
      <c r="GS13" s="97"/>
      <c r="GT13" s="97"/>
      <c r="GU13" s="97"/>
      <c r="GV13" s="97"/>
      <c r="GW13" s="97"/>
      <c r="GX13" s="97"/>
      <c r="GY13" s="97"/>
      <c r="GZ13" s="97"/>
      <c r="HA13" s="97"/>
      <c r="HB13" s="97"/>
      <c r="HC13" s="97"/>
      <c r="HD13" s="97"/>
      <c r="HE13" s="97"/>
      <c r="HF13" s="97"/>
      <c r="HG13" s="97"/>
      <c r="HH13" s="97"/>
      <c r="HI13" s="97"/>
      <c r="HJ13" s="97"/>
      <c r="HK13" s="97"/>
      <c r="HL13" s="97"/>
      <c r="HM13" s="97"/>
      <c r="HN13" s="97"/>
      <c r="HO13" s="97"/>
      <c r="HP13" s="97"/>
      <c r="HQ13" s="97"/>
      <c r="HR13" s="97"/>
      <c r="HS13" s="97"/>
      <c r="HT13" s="97"/>
      <c r="HU13" s="97"/>
      <c r="HV13" s="97"/>
      <c r="HW13" s="97"/>
      <c r="HX13" s="97"/>
      <c r="HY13" s="97"/>
      <c r="HZ13" s="97"/>
      <c r="IA13" s="97"/>
      <c r="IB13" s="97"/>
      <c r="IC13" s="97"/>
      <c r="ID13" s="97"/>
      <c r="IE13" s="97"/>
      <c r="IF13" s="97"/>
      <c r="IG13" s="97"/>
      <c r="IH13" s="97"/>
      <c r="II13" s="97"/>
      <c r="IJ13" s="97"/>
      <c r="IK13" s="97"/>
      <c r="IL13" s="97"/>
      <c r="IM13" s="97"/>
      <c r="IN13" s="97"/>
      <c r="IO13" s="97"/>
      <c r="IP13" s="97"/>
      <c r="IQ13" s="97"/>
      <c r="IR13" s="97"/>
      <c r="IS13" s="97"/>
    </row>
    <row r="14" spans="1:253" ht="16.5" customHeight="1">
      <c r="A14" s="77"/>
      <c r="B14" s="60" t="s">
        <v>49</v>
      </c>
      <c r="C14" s="386">
        <f>SUM(E19:E33)</f>
        <v>0</v>
      </c>
      <c r="D14" s="387"/>
      <c r="E14" s="78"/>
      <c r="F14" s="78"/>
      <c r="G14" s="74"/>
      <c r="H14" s="97"/>
      <c r="I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c r="DM14" s="97"/>
      <c r="DN14" s="97"/>
      <c r="DO14" s="97"/>
      <c r="DP14" s="97"/>
      <c r="DQ14" s="97"/>
      <c r="DR14" s="97"/>
      <c r="DS14" s="97"/>
      <c r="DT14" s="97"/>
      <c r="DU14" s="97"/>
      <c r="DV14" s="97"/>
      <c r="DW14" s="97"/>
      <c r="DX14" s="97"/>
      <c r="DY14" s="97"/>
      <c r="DZ14" s="97"/>
      <c r="EA14" s="97"/>
      <c r="EB14" s="97"/>
      <c r="EC14" s="97"/>
      <c r="ED14" s="97"/>
      <c r="EE14" s="97"/>
      <c r="EF14" s="97"/>
      <c r="EG14" s="97"/>
      <c r="EH14" s="97"/>
      <c r="EI14" s="97"/>
      <c r="EJ14" s="97"/>
      <c r="EK14" s="97"/>
      <c r="EL14" s="97"/>
      <c r="EM14" s="97"/>
      <c r="EN14" s="97"/>
      <c r="EO14" s="97"/>
      <c r="EP14" s="97"/>
      <c r="EQ14" s="97"/>
      <c r="ER14" s="97"/>
      <c r="ES14" s="97"/>
      <c r="ET14" s="97"/>
      <c r="EU14" s="97"/>
      <c r="EV14" s="97"/>
      <c r="EW14" s="97"/>
      <c r="EX14" s="97"/>
      <c r="EY14" s="97"/>
      <c r="EZ14" s="97"/>
      <c r="FA14" s="97"/>
      <c r="FB14" s="97"/>
      <c r="FC14" s="97"/>
      <c r="FD14" s="97"/>
      <c r="FE14" s="97"/>
      <c r="FF14" s="97"/>
      <c r="FG14" s="97"/>
      <c r="FH14" s="97"/>
      <c r="FI14" s="97"/>
      <c r="FJ14" s="97"/>
      <c r="FK14" s="97"/>
      <c r="FL14" s="97"/>
      <c r="FM14" s="97"/>
      <c r="FN14" s="97"/>
      <c r="FO14" s="97"/>
      <c r="FP14" s="97"/>
      <c r="FQ14" s="97"/>
      <c r="FR14" s="97"/>
      <c r="FS14" s="97"/>
      <c r="FT14" s="97"/>
      <c r="FU14" s="97"/>
      <c r="FV14" s="97"/>
      <c r="FW14" s="97"/>
      <c r="FX14" s="97"/>
      <c r="FY14" s="97"/>
      <c r="FZ14" s="97"/>
      <c r="GA14" s="97"/>
      <c r="GB14" s="97"/>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c r="HC14" s="97"/>
      <c r="HD14" s="97"/>
      <c r="HE14" s="97"/>
      <c r="HF14" s="97"/>
      <c r="HG14" s="97"/>
      <c r="HH14" s="97"/>
      <c r="HI14" s="97"/>
      <c r="HJ14" s="97"/>
      <c r="HK14" s="97"/>
      <c r="HL14" s="97"/>
      <c r="HM14" s="97"/>
      <c r="HN14" s="97"/>
      <c r="HO14" s="97"/>
      <c r="HP14" s="97"/>
      <c r="HQ14" s="97"/>
      <c r="HR14" s="97"/>
      <c r="HS14" s="97"/>
      <c r="HT14" s="97"/>
      <c r="HU14" s="97"/>
      <c r="HV14" s="97"/>
      <c r="HW14" s="97"/>
      <c r="HX14" s="97"/>
      <c r="HY14" s="97"/>
      <c r="HZ14" s="97"/>
      <c r="IA14" s="97"/>
      <c r="IB14" s="97"/>
      <c r="IC14" s="97"/>
      <c r="ID14" s="97"/>
      <c r="IE14" s="97"/>
      <c r="IF14" s="97"/>
      <c r="IG14" s="97"/>
      <c r="IH14" s="97"/>
      <c r="II14" s="97"/>
      <c r="IJ14" s="97"/>
      <c r="IK14" s="97"/>
      <c r="IL14" s="97"/>
      <c r="IM14" s="97"/>
      <c r="IN14" s="97"/>
      <c r="IO14" s="97"/>
      <c r="IP14" s="97"/>
      <c r="IQ14" s="97"/>
      <c r="IR14" s="97"/>
      <c r="IS14" s="97"/>
    </row>
    <row r="15" spans="1:253" ht="16.5" customHeight="1">
      <c r="A15" s="77"/>
      <c r="B15" s="61" t="s">
        <v>50</v>
      </c>
      <c r="C15" s="384">
        <f>SUM(D19:D33)</f>
        <v>0</v>
      </c>
      <c r="D15" s="385"/>
      <c r="E15" s="78"/>
      <c r="F15" s="78"/>
      <c r="G15" s="74"/>
      <c r="H15" s="97"/>
      <c r="I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7"/>
      <c r="DV15" s="97"/>
      <c r="DW15" s="97"/>
      <c r="DX15" s="97"/>
      <c r="DY15" s="97"/>
      <c r="DZ15" s="97"/>
      <c r="EA15" s="97"/>
      <c r="EB15" s="97"/>
      <c r="EC15" s="97"/>
      <c r="ED15" s="97"/>
      <c r="EE15" s="97"/>
      <c r="EF15" s="97"/>
      <c r="EG15" s="97"/>
      <c r="EH15" s="97"/>
      <c r="EI15" s="97"/>
      <c r="EJ15" s="97"/>
      <c r="EK15" s="97"/>
      <c r="EL15" s="97"/>
      <c r="EM15" s="97"/>
      <c r="EN15" s="97"/>
      <c r="EO15" s="97"/>
      <c r="EP15" s="97"/>
      <c r="EQ15" s="97"/>
      <c r="ER15" s="97"/>
      <c r="ES15" s="97"/>
      <c r="ET15" s="97"/>
      <c r="EU15" s="97"/>
      <c r="EV15" s="97"/>
      <c r="EW15" s="97"/>
      <c r="EX15" s="97"/>
      <c r="EY15" s="97"/>
      <c r="EZ15" s="97"/>
      <c r="FA15" s="97"/>
      <c r="FB15" s="97"/>
      <c r="FC15" s="97"/>
      <c r="FD15" s="97"/>
      <c r="FE15" s="97"/>
      <c r="FF15" s="97"/>
      <c r="FG15" s="97"/>
      <c r="FH15" s="97"/>
      <c r="FI15" s="97"/>
      <c r="FJ15" s="97"/>
      <c r="FK15" s="97"/>
      <c r="FL15" s="97"/>
      <c r="FM15" s="97"/>
      <c r="FN15" s="97"/>
      <c r="FO15" s="97"/>
      <c r="FP15" s="97"/>
      <c r="FQ15" s="97"/>
      <c r="FR15" s="97"/>
      <c r="FS15" s="97"/>
      <c r="FT15" s="97"/>
      <c r="FU15" s="97"/>
      <c r="FV15" s="97"/>
      <c r="FW15" s="97"/>
      <c r="FX15" s="97"/>
      <c r="FY15" s="97"/>
      <c r="FZ15" s="97"/>
      <c r="GA15" s="97"/>
      <c r="GB15" s="97"/>
      <c r="GC15" s="97"/>
      <c r="GD15" s="97"/>
      <c r="GE15" s="97"/>
      <c r="GF15" s="97"/>
      <c r="GG15" s="97"/>
      <c r="GH15" s="97"/>
      <c r="GI15" s="97"/>
      <c r="GJ15" s="97"/>
      <c r="GK15" s="97"/>
      <c r="GL15" s="97"/>
      <c r="GM15" s="97"/>
      <c r="GN15" s="97"/>
      <c r="GO15" s="97"/>
      <c r="GP15" s="97"/>
      <c r="GQ15" s="97"/>
      <c r="GR15" s="97"/>
      <c r="GS15" s="97"/>
      <c r="GT15" s="97"/>
      <c r="GU15" s="97"/>
      <c r="GV15" s="97"/>
      <c r="GW15" s="97"/>
      <c r="GX15" s="97"/>
      <c r="GY15" s="97"/>
      <c r="GZ15" s="97"/>
      <c r="HA15" s="97"/>
      <c r="HB15" s="97"/>
      <c r="HC15" s="97"/>
      <c r="HD15" s="97"/>
      <c r="HE15" s="97"/>
      <c r="HF15" s="97"/>
      <c r="HG15" s="97"/>
      <c r="HH15" s="97"/>
      <c r="HI15" s="97"/>
      <c r="HJ15" s="97"/>
      <c r="HK15" s="97"/>
      <c r="HL15" s="97"/>
      <c r="HM15" s="97"/>
      <c r="HN15" s="97"/>
      <c r="HO15" s="97"/>
      <c r="HP15" s="97"/>
      <c r="HQ15" s="97"/>
      <c r="HR15" s="97"/>
      <c r="HS15" s="97"/>
      <c r="HT15" s="97"/>
      <c r="HU15" s="97"/>
      <c r="HV15" s="97"/>
      <c r="HW15" s="97"/>
      <c r="HX15" s="97"/>
      <c r="HY15" s="97"/>
      <c r="HZ15" s="97"/>
      <c r="IA15" s="97"/>
      <c r="IB15" s="97"/>
      <c r="IC15" s="97"/>
      <c r="ID15" s="97"/>
      <c r="IE15" s="97"/>
      <c r="IF15" s="97"/>
      <c r="IG15" s="97"/>
      <c r="IH15" s="97"/>
      <c r="II15" s="97"/>
      <c r="IJ15" s="97"/>
      <c r="IK15" s="97"/>
      <c r="IL15" s="97"/>
      <c r="IM15" s="97"/>
      <c r="IN15" s="97"/>
      <c r="IO15" s="97"/>
      <c r="IP15" s="97"/>
      <c r="IQ15" s="97"/>
      <c r="IR15" s="97"/>
      <c r="IS15" s="97"/>
    </row>
    <row r="16" spans="1:253" ht="16.5" customHeight="1" thickBot="1">
      <c r="A16" s="77"/>
      <c r="B16" s="62" t="s">
        <v>51</v>
      </c>
      <c r="C16" s="388">
        <f>SUM(F19:F33)</f>
        <v>0</v>
      </c>
      <c r="D16" s="389"/>
      <c r="E16" s="78"/>
      <c r="F16" s="78"/>
      <c r="G16" s="74"/>
      <c r="H16" s="97"/>
      <c r="I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c r="FK16" s="97"/>
      <c r="FL16" s="97"/>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97"/>
      <c r="GQ16" s="97"/>
      <c r="GR16" s="97"/>
      <c r="GS16" s="97"/>
      <c r="GT16" s="97"/>
      <c r="GU16" s="97"/>
      <c r="GV16" s="97"/>
      <c r="GW16" s="97"/>
      <c r="GX16" s="97"/>
      <c r="GY16" s="97"/>
      <c r="GZ16" s="97"/>
      <c r="HA16" s="97"/>
      <c r="HB16" s="97"/>
      <c r="HC16" s="97"/>
      <c r="HD16" s="97"/>
      <c r="HE16" s="97"/>
      <c r="HF16" s="97"/>
      <c r="HG16" s="97"/>
      <c r="HH16" s="97"/>
      <c r="HI16" s="97"/>
      <c r="HJ16" s="97"/>
      <c r="HK16" s="97"/>
      <c r="HL16" s="97"/>
      <c r="HM16" s="97"/>
      <c r="HN16" s="97"/>
      <c r="HO16" s="97"/>
      <c r="HP16" s="97"/>
      <c r="HQ16" s="97"/>
      <c r="HR16" s="97"/>
      <c r="HS16" s="97"/>
      <c r="HT16" s="97"/>
      <c r="HU16" s="97"/>
      <c r="HV16" s="97"/>
      <c r="HW16" s="97"/>
      <c r="HX16" s="97"/>
      <c r="HY16" s="97"/>
      <c r="HZ16" s="97"/>
      <c r="IA16" s="97"/>
      <c r="IB16" s="97"/>
      <c r="IC16" s="97"/>
      <c r="ID16" s="97"/>
      <c r="IE16" s="97"/>
      <c r="IF16" s="97"/>
      <c r="IG16" s="97"/>
      <c r="IH16" s="97"/>
      <c r="II16" s="97"/>
      <c r="IJ16" s="97"/>
      <c r="IK16" s="97"/>
      <c r="IL16" s="97"/>
      <c r="IM16" s="97"/>
      <c r="IN16" s="97"/>
      <c r="IO16" s="97"/>
      <c r="IP16" s="97"/>
      <c r="IQ16" s="97"/>
      <c r="IR16" s="97"/>
      <c r="IS16" s="97"/>
    </row>
    <row r="17" spans="1:253" ht="13.5" customHeight="1" thickBot="1">
      <c r="A17" s="77"/>
      <c r="B17" s="78"/>
      <c r="C17" s="78"/>
      <c r="D17" s="78"/>
      <c r="E17" s="78"/>
      <c r="F17" s="78"/>
      <c r="G17" s="74"/>
      <c r="H17" s="97"/>
      <c r="I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c r="DK17" s="97"/>
      <c r="DL17" s="97"/>
      <c r="DM17" s="97"/>
      <c r="DN17" s="97"/>
      <c r="DO17" s="97"/>
      <c r="DP17" s="97"/>
      <c r="DQ17" s="97"/>
      <c r="DR17" s="97"/>
      <c r="DS17" s="97"/>
      <c r="DT17" s="97"/>
      <c r="DU17" s="97"/>
      <c r="DV17" s="97"/>
      <c r="DW17" s="97"/>
      <c r="DX17" s="97"/>
      <c r="DY17" s="97"/>
      <c r="DZ17" s="97"/>
      <c r="EA17" s="97"/>
      <c r="EB17" s="97"/>
      <c r="EC17" s="97"/>
      <c r="ED17" s="97"/>
      <c r="EE17" s="97"/>
      <c r="EF17" s="97"/>
      <c r="EG17" s="97"/>
      <c r="EH17" s="97"/>
      <c r="EI17" s="97"/>
      <c r="EJ17" s="97"/>
      <c r="EK17" s="97"/>
      <c r="EL17" s="97"/>
      <c r="EM17" s="97"/>
      <c r="EN17" s="97"/>
      <c r="EO17" s="97"/>
      <c r="EP17" s="97"/>
      <c r="EQ17" s="97"/>
      <c r="ER17" s="97"/>
      <c r="ES17" s="97"/>
      <c r="ET17" s="97"/>
      <c r="EU17" s="97"/>
      <c r="EV17" s="97"/>
      <c r="EW17" s="97"/>
      <c r="EX17" s="97"/>
      <c r="EY17" s="97"/>
      <c r="EZ17" s="97"/>
      <c r="FA17" s="97"/>
      <c r="FB17" s="97"/>
      <c r="FC17" s="97"/>
      <c r="FD17" s="97"/>
      <c r="FE17" s="97"/>
      <c r="FF17" s="97"/>
      <c r="FG17" s="97"/>
      <c r="FH17" s="97"/>
      <c r="FI17" s="97"/>
      <c r="FJ17" s="97"/>
      <c r="FK17" s="97"/>
      <c r="FL17" s="97"/>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97"/>
      <c r="GQ17" s="97"/>
      <c r="GR17" s="97"/>
      <c r="GS17" s="97"/>
      <c r="GT17" s="97"/>
      <c r="GU17" s="97"/>
      <c r="GV17" s="97"/>
      <c r="GW17" s="97"/>
      <c r="GX17" s="97"/>
      <c r="GY17" s="97"/>
      <c r="GZ17" s="97"/>
      <c r="HA17" s="97"/>
      <c r="HB17" s="97"/>
      <c r="HC17" s="97"/>
      <c r="HD17" s="97"/>
      <c r="HE17" s="97"/>
      <c r="HF17" s="97"/>
      <c r="HG17" s="97"/>
      <c r="HH17" s="97"/>
      <c r="HI17" s="97"/>
      <c r="HJ17" s="97"/>
      <c r="HK17" s="97"/>
      <c r="HL17" s="97"/>
      <c r="HM17" s="97"/>
      <c r="HN17" s="97"/>
      <c r="HO17" s="97"/>
      <c r="HP17" s="97"/>
      <c r="HQ17" s="97"/>
      <c r="HR17" s="97"/>
      <c r="HS17" s="97"/>
      <c r="HT17" s="97"/>
      <c r="HU17" s="97"/>
      <c r="HV17" s="97"/>
      <c r="HW17" s="97"/>
      <c r="HX17" s="97"/>
      <c r="HY17" s="97"/>
      <c r="HZ17" s="97"/>
      <c r="IA17" s="97"/>
      <c r="IB17" s="97"/>
      <c r="IC17" s="97"/>
      <c r="ID17" s="97"/>
      <c r="IE17" s="97"/>
      <c r="IF17" s="97"/>
      <c r="IG17" s="97"/>
      <c r="IH17" s="97"/>
      <c r="II17" s="97"/>
      <c r="IJ17" s="97"/>
      <c r="IK17" s="97"/>
      <c r="IL17" s="97"/>
      <c r="IM17" s="97"/>
      <c r="IN17" s="97"/>
      <c r="IO17" s="97"/>
      <c r="IP17" s="97"/>
      <c r="IQ17" s="97"/>
      <c r="IR17" s="97"/>
      <c r="IS17" s="97"/>
    </row>
    <row r="18" spans="1:253" ht="32.25" customHeight="1" thickBot="1">
      <c r="A18" s="77"/>
      <c r="B18" s="182" t="s">
        <v>52</v>
      </c>
      <c r="C18" s="183" t="s">
        <v>53</v>
      </c>
      <c r="D18" s="184" t="s">
        <v>54</v>
      </c>
      <c r="E18" s="184" t="s">
        <v>55</v>
      </c>
      <c r="F18" s="185" t="s">
        <v>56</v>
      </c>
      <c r="G18" s="74"/>
      <c r="H18" s="97"/>
      <c r="I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c r="DP18" s="97"/>
      <c r="DQ18" s="97"/>
      <c r="DR18" s="97"/>
      <c r="DS18" s="97"/>
      <c r="DT18" s="97"/>
      <c r="DU18" s="97"/>
      <c r="DV18" s="97"/>
      <c r="DW18" s="97"/>
      <c r="DX18" s="97"/>
      <c r="DY18" s="97"/>
      <c r="DZ18" s="97"/>
      <c r="EA18" s="97"/>
      <c r="EB18" s="97"/>
      <c r="EC18" s="97"/>
      <c r="ED18" s="97"/>
      <c r="EE18" s="97"/>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97"/>
      <c r="GQ18" s="97"/>
      <c r="GR18" s="97"/>
      <c r="GS18" s="97"/>
      <c r="GT18" s="97"/>
      <c r="GU18" s="97"/>
      <c r="GV18" s="97"/>
      <c r="GW18" s="97"/>
      <c r="GX18" s="97"/>
      <c r="GY18" s="97"/>
      <c r="GZ18" s="97"/>
      <c r="HA18" s="97"/>
      <c r="HB18" s="97"/>
      <c r="HC18" s="97"/>
      <c r="HD18" s="97"/>
      <c r="HE18" s="97"/>
      <c r="HF18" s="97"/>
      <c r="HG18" s="97"/>
      <c r="HH18" s="97"/>
      <c r="HI18" s="97"/>
      <c r="HJ18" s="97"/>
      <c r="HK18" s="97"/>
      <c r="HL18" s="97"/>
      <c r="HM18" s="97"/>
      <c r="HN18" s="97"/>
      <c r="HO18" s="97"/>
      <c r="HP18" s="97"/>
      <c r="HQ18" s="97"/>
      <c r="HR18" s="97"/>
      <c r="HS18" s="97"/>
      <c r="HT18" s="97"/>
      <c r="HU18" s="97"/>
      <c r="HV18" s="97"/>
      <c r="HW18" s="97"/>
      <c r="HX18" s="97"/>
      <c r="HY18" s="97"/>
      <c r="HZ18" s="97"/>
      <c r="IA18" s="97"/>
      <c r="IB18" s="97"/>
      <c r="IC18" s="97"/>
      <c r="ID18" s="97"/>
      <c r="IE18" s="97"/>
      <c r="IF18" s="97"/>
      <c r="IG18" s="97"/>
      <c r="IH18" s="97"/>
      <c r="II18" s="97"/>
      <c r="IJ18" s="97"/>
      <c r="IK18" s="97"/>
      <c r="IL18" s="97"/>
      <c r="IM18" s="97"/>
      <c r="IN18" s="97"/>
      <c r="IO18" s="97"/>
      <c r="IP18" s="97"/>
      <c r="IQ18" s="97"/>
      <c r="IR18" s="97"/>
      <c r="IS18" s="97"/>
    </row>
    <row r="19" spans="1:253" ht="18" customHeight="1">
      <c r="A19" s="77"/>
      <c r="B19" s="94" t="s">
        <v>57</v>
      </c>
      <c r="C19" s="66">
        <f>N46</f>
        <v>0</v>
      </c>
      <c r="D19" s="63">
        <f>L46</f>
        <v>0</v>
      </c>
      <c r="E19" s="64">
        <f>M46</f>
        <v>0</v>
      </c>
      <c r="F19" s="65">
        <f>O46</f>
        <v>0</v>
      </c>
      <c r="G19" s="74"/>
      <c r="H19" s="97"/>
      <c r="I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row>
    <row r="20" spans="1:253" ht="18" customHeight="1">
      <c r="A20" s="77"/>
      <c r="B20" s="95" t="s">
        <v>58</v>
      </c>
      <c r="C20" s="67">
        <f>N56</f>
        <v>0</v>
      </c>
      <c r="D20" s="22">
        <f>L56</f>
        <v>0</v>
      </c>
      <c r="E20" s="30">
        <f>M56</f>
        <v>0</v>
      </c>
      <c r="F20" s="39">
        <f>O56</f>
        <v>0</v>
      </c>
      <c r="G20" s="74"/>
      <c r="H20" s="97"/>
      <c r="I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row>
    <row r="21" spans="1:253" ht="18" customHeight="1">
      <c r="A21" s="77"/>
      <c r="B21" s="95" t="s">
        <v>59</v>
      </c>
      <c r="C21" s="67">
        <f>N66</f>
        <v>0</v>
      </c>
      <c r="D21" s="22">
        <f>L66</f>
        <v>0</v>
      </c>
      <c r="E21" s="30">
        <f>M66</f>
        <v>0</v>
      </c>
      <c r="F21" s="39">
        <f>O66</f>
        <v>0</v>
      </c>
      <c r="G21" s="74"/>
      <c r="H21" s="97"/>
      <c r="I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row>
    <row r="22" spans="1:253" ht="18" customHeight="1">
      <c r="A22" s="77"/>
      <c r="B22" s="95" t="s">
        <v>60</v>
      </c>
      <c r="C22" s="67">
        <f>N76</f>
        <v>0</v>
      </c>
      <c r="D22" s="22">
        <f>L76</f>
        <v>0</v>
      </c>
      <c r="E22" s="30">
        <f>M76</f>
        <v>0</v>
      </c>
      <c r="F22" s="39">
        <f>O76</f>
        <v>0</v>
      </c>
      <c r="G22" s="74"/>
      <c r="H22" s="97"/>
      <c r="I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row>
    <row r="23" spans="1:253" ht="18" customHeight="1">
      <c r="A23" s="77"/>
      <c r="B23" s="95" t="s">
        <v>61</v>
      </c>
      <c r="C23" s="67">
        <f>N86</f>
        <v>0</v>
      </c>
      <c r="D23" s="22">
        <f>L86</f>
        <v>0</v>
      </c>
      <c r="E23" s="30">
        <f>M86</f>
        <v>0</v>
      </c>
      <c r="F23" s="39">
        <f>O86</f>
        <v>0</v>
      </c>
      <c r="G23" s="74"/>
      <c r="H23" s="97"/>
      <c r="I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row>
    <row r="24" spans="1:253" ht="18" customHeight="1">
      <c r="A24" s="77"/>
      <c r="B24" s="95" t="s">
        <v>62</v>
      </c>
      <c r="C24" s="67">
        <f>N96</f>
        <v>0</v>
      </c>
      <c r="D24" s="22">
        <f>L96</f>
        <v>0</v>
      </c>
      <c r="E24" s="30">
        <f>M96</f>
        <v>0</v>
      </c>
      <c r="F24" s="39">
        <f>O96</f>
        <v>0</v>
      </c>
      <c r="G24" s="74"/>
      <c r="H24" s="97"/>
      <c r="I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row>
    <row r="25" spans="1:253" ht="18" customHeight="1">
      <c r="A25" s="77"/>
      <c r="B25" s="95" t="s">
        <v>63</v>
      </c>
      <c r="C25" s="67">
        <f>N106</f>
        <v>0</v>
      </c>
      <c r="D25" s="22">
        <f>L106</f>
        <v>0</v>
      </c>
      <c r="E25" s="30">
        <f>M106</f>
        <v>0</v>
      </c>
      <c r="F25" s="39">
        <f>O106</f>
        <v>0</v>
      </c>
      <c r="G25" s="74"/>
      <c r="H25" s="97"/>
      <c r="I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c r="DM25" s="97"/>
      <c r="DN25" s="97"/>
      <c r="DO25" s="97"/>
      <c r="DP25" s="97"/>
      <c r="DQ25" s="97"/>
      <c r="DR25" s="97"/>
      <c r="DS25" s="97"/>
      <c r="DT25" s="97"/>
      <c r="DU25" s="97"/>
      <c r="DV25" s="97"/>
      <c r="DW25" s="97"/>
      <c r="DX25" s="97"/>
      <c r="DY25" s="97"/>
      <c r="DZ25" s="97"/>
      <c r="EA25" s="97"/>
      <c r="EB25" s="97"/>
      <c r="EC25" s="97"/>
      <c r="ED25" s="97"/>
      <c r="EE25" s="97"/>
      <c r="EF25" s="97"/>
      <c r="EG25" s="97"/>
      <c r="EH25" s="97"/>
      <c r="EI25" s="97"/>
      <c r="EJ25" s="97"/>
      <c r="EK25" s="97"/>
      <c r="EL25" s="97"/>
      <c r="EM25" s="97"/>
      <c r="EN25" s="97"/>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97"/>
      <c r="IS25" s="97"/>
    </row>
    <row r="26" spans="1:253" ht="18" customHeight="1">
      <c r="A26" s="77"/>
      <c r="B26" s="95" t="s">
        <v>64</v>
      </c>
      <c r="C26" s="67">
        <f>N116</f>
        <v>0</v>
      </c>
      <c r="D26" s="22">
        <f>L116</f>
        <v>0</v>
      </c>
      <c r="E26" s="30">
        <f>M116</f>
        <v>0</v>
      </c>
      <c r="F26" s="39">
        <f>O116</f>
        <v>0</v>
      </c>
      <c r="G26" s="74"/>
      <c r="H26" s="97"/>
      <c r="I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c r="DP26" s="97"/>
      <c r="DQ26" s="97"/>
      <c r="DR26" s="97"/>
      <c r="DS26" s="97"/>
      <c r="DT26" s="97"/>
      <c r="DU26" s="97"/>
      <c r="DV26" s="97"/>
      <c r="DW26" s="97"/>
      <c r="DX26" s="97"/>
      <c r="DY26" s="97"/>
      <c r="DZ26" s="97"/>
      <c r="EA26" s="97"/>
      <c r="EB26" s="97"/>
      <c r="EC26" s="97"/>
      <c r="ED26" s="97"/>
      <c r="EE26" s="97"/>
      <c r="EF26" s="97"/>
      <c r="EG26" s="97"/>
      <c r="EH26" s="97"/>
      <c r="EI26" s="97"/>
      <c r="EJ26" s="97"/>
      <c r="EK26" s="97"/>
      <c r="EL26" s="97"/>
      <c r="EM26" s="97"/>
      <c r="EN26" s="97"/>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row>
    <row r="27" spans="1:253" ht="18" customHeight="1">
      <c r="A27" s="77"/>
      <c r="B27" s="95" t="s">
        <v>65</v>
      </c>
      <c r="C27" s="68">
        <f>N126</f>
        <v>0</v>
      </c>
      <c r="D27" s="22">
        <f>L126</f>
        <v>0</v>
      </c>
      <c r="E27" s="30">
        <f>M126</f>
        <v>0</v>
      </c>
      <c r="F27" s="39">
        <f>O126</f>
        <v>0</v>
      </c>
      <c r="G27" s="74"/>
      <c r="H27" s="97"/>
      <c r="I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c r="DK27" s="97"/>
      <c r="DL27" s="97"/>
      <c r="DM27" s="97"/>
      <c r="DN27" s="97"/>
      <c r="DO27" s="97"/>
      <c r="DP27" s="97"/>
      <c r="DQ27" s="97"/>
      <c r="DR27" s="97"/>
      <c r="DS27" s="97"/>
      <c r="DT27" s="97"/>
      <c r="DU27" s="97"/>
      <c r="DV27" s="97"/>
      <c r="DW27" s="97"/>
      <c r="DX27" s="97"/>
      <c r="DY27" s="97"/>
      <c r="DZ27" s="97"/>
      <c r="EA27" s="97"/>
      <c r="EB27" s="97"/>
      <c r="EC27" s="97"/>
      <c r="ED27" s="97"/>
      <c r="EE27" s="97"/>
      <c r="EF27" s="97"/>
      <c r="EG27" s="97"/>
      <c r="EH27" s="97"/>
      <c r="EI27" s="97"/>
      <c r="EJ27" s="97"/>
      <c r="EK27" s="97"/>
      <c r="EL27" s="97"/>
      <c r="EM27" s="97"/>
      <c r="EN27" s="97"/>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row>
    <row r="28" spans="1:253" ht="18" customHeight="1">
      <c r="A28" s="77"/>
      <c r="B28" s="95" t="s">
        <v>66</v>
      </c>
      <c r="C28" s="68">
        <f>N136</f>
        <v>0</v>
      </c>
      <c r="D28" s="22">
        <f>L136</f>
        <v>0</v>
      </c>
      <c r="E28" s="30">
        <f>M136</f>
        <v>0</v>
      </c>
      <c r="F28" s="39">
        <f>O136</f>
        <v>0</v>
      </c>
      <c r="G28" s="74"/>
      <c r="H28" s="97"/>
      <c r="I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row>
    <row r="29" spans="1:253" ht="18" customHeight="1">
      <c r="A29" s="77"/>
      <c r="B29" s="95" t="s">
        <v>67</v>
      </c>
      <c r="C29" s="68">
        <f>N146</f>
        <v>0</v>
      </c>
      <c r="D29" s="22">
        <f>L146</f>
        <v>0</v>
      </c>
      <c r="E29" s="30">
        <f>M146</f>
        <v>0</v>
      </c>
      <c r="F29" s="39">
        <f>O146</f>
        <v>0</v>
      </c>
      <c r="G29" s="74"/>
      <c r="H29" s="97"/>
      <c r="I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c r="DM29" s="97"/>
      <c r="DN29" s="97"/>
      <c r="DO29" s="97"/>
      <c r="DP29" s="97"/>
      <c r="DQ29" s="97"/>
      <c r="DR29" s="97"/>
      <c r="DS29" s="97"/>
      <c r="DT29" s="97"/>
      <c r="DU29" s="97"/>
      <c r="DV29" s="97"/>
      <c r="DW29" s="97"/>
      <c r="DX29" s="97"/>
      <c r="DY29" s="97"/>
      <c r="DZ29" s="97"/>
      <c r="EA29" s="97"/>
      <c r="EB29" s="97"/>
      <c r="EC29" s="97"/>
      <c r="ED29" s="97"/>
      <c r="EE29" s="97"/>
      <c r="EF29" s="97"/>
      <c r="EG29" s="97"/>
      <c r="EH29" s="97"/>
      <c r="EI29" s="97"/>
      <c r="EJ29" s="97"/>
      <c r="EK29" s="97"/>
      <c r="EL29" s="97"/>
      <c r="EM29" s="97"/>
      <c r="EN29" s="97"/>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row>
    <row r="30" spans="1:253" ht="18" customHeight="1">
      <c r="A30" s="77"/>
      <c r="B30" s="95" t="s">
        <v>68</v>
      </c>
      <c r="C30" s="68">
        <f>N156</f>
        <v>0</v>
      </c>
      <c r="D30" s="22">
        <f>L156</f>
        <v>0</v>
      </c>
      <c r="E30" s="30">
        <f>M156</f>
        <v>0</v>
      </c>
      <c r="F30" s="39">
        <f>O156</f>
        <v>0</v>
      </c>
      <c r="G30" s="74"/>
      <c r="H30" s="97"/>
      <c r="I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c r="DK30" s="97"/>
      <c r="DL30" s="97"/>
      <c r="DM30" s="97"/>
      <c r="DN30" s="97"/>
      <c r="DO30" s="97"/>
      <c r="DP30" s="97"/>
      <c r="DQ30" s="97"/>
      <c r="DR30" s="97"/>
      <c r="DS30" s="97"/>
      <c r="DT30" s="97"/>
      <c r="DU30" s="97"/>
      <c r="DV30" s="97"/>
      <c r="DW30" s="97"/>
      <c r="DX30" s="97"/>
      <c r="DY30" s="97"/>
      <c r="DZ30" s="97"/>
      <c r="EA30" s="97"/>
      <c r="EB30" s="97"/>
      <c r="EC30" s="97"/>
      <c r="ED30" s="97"/>
      <c r="EE30" s="97"/>
      <c r="EF30" s="97"/>
      <c r="EG30" s="97"/>
      <c r="EH30" s="97"/>
      <c r="EI30" s="97"/>
      <c r="EJ30" s="97"/>
      <c r="EK30" s="97"/>
      <c r="EL30" s="97"/>
      <c r="EM30" s="97"/>
      <c r="EN30" s="97"/>
      <c r="EO30" s="97"/>
      <c r="EP30" s="97"/>
      <c r="EQ30" s="97"/>
      <c r="ER30" s="97"/>
      <c r="ES30" s="97"/>
      <c r="ET30" s="97"/>
      <c r="EU30" s="97"/>
      <c r="EV30" s="97"/>
      <c r="EW30" s="97"/>
      <c r="EX30" s="97"/>
      <c r="EY30" s="97"/>
      <c r="EZ30" s="97"/>
      <c r="FA30" s="97"/>
      <c r="FB30" s="97"/>
      <c r="FC30" s="97"/>
      <c r="FD30" s="97"/>
      <c r="FE30" s="97"/>
      <c r="FF30" s="97"/>
      <c r="FG30" s="97"/>
      <c r="FH30" s="97"/>
      <c r="FI30" s="97"/>
      <c r="FJ30" s="97"/>
      <c r="FK30" s="97"/>
      <c r="FL30" s="97"/>
      <c r="FM30" s="97"/>
      <c r="FN30" s="97"/>
      <c r="FO30" s="97"/>
      <c r="FP30" s="97"/>
      <c r="FQ30" s="97"/>
      <c r="FR30" s="97"/>
      <c r="FS30" s="97"/>
      <c r="FT30" s="97"/>
      <c r="FU30" s="97"/>
      <c r="FV30" s="97"/>
      <c r="FW30" s="97"/>
      <c r="FX30" s="97"/>
      <c r="FY30" s="97"/>
      <c r="FZ30" s="97"/>
      <c r="GA30" s="97"/>
      <c r="GB30" s="97"/>
      <c r="GC30" s="97"/>
      <c r="GD30" s="97"/>
      <c r="GE30" s="97"/>
      <c r="GF30" s="97"/>
      <c r="GG30" s="97"/>
      <c r="GH30" s="97"/>
      <c r="GI30" s="97"/>
      <c r="GJ30" s="97"/>
      <c r="GK30" s="97"/>
      <c r="GL30" s="97"/>
      <c r="GM30" s="97"/>
      <c r="GN30" s="97"/>
      <c r="GO30" s="97"/>
      <c r="GP30" s="97"/>
      <c r="GQ30" s="97"/>
      <c r="GR30" s="97"/>
      <c r="GS30" s="97"/>
      <c r="GT30" s="97"/>
      <c r="GU30" s="97"/>
      <c r="GV30" s="97"/>
      <c r="GW30" s="97"/>
      <c r="GX30" s="97"/>
      <c r="GY30" s="97"/>
      <c r="GZ30" s="97"/>
      <c r="HA30" s="97"/>
      <c r="HB30" s="97"/>
      <c r="HC30" s="97"/>
      <c r="HD30" s="97"/>
      <c r="HE30" s="97"/>
      <c r="HF30" s="97"/>
      <c r="HG30" s="97"/>
      <c r="HH30" s="97"/>
      <c r="HI30" s="97"/>
      <c r="HJ30" s="97"/>
      <c r="HK30" s="97"/>
      <c r="HL30" s="97"/>
      <c r="HM30" s="97"/>
      <c r="HN30" s="97"/>
      <c r="HO30" s="97"/>
      <c r="HP30" s="97"/>
      <c r="HQ30" s="97"/>
      <c r="HR30" s="97"/>
      <c r="HS30" s="97"/>
      <c r="HT30" s="97"/>
      <c r="HU30" s="97"/>
      <c r="HV30" s="97"/>
      <c r="HW30" s="97"/>
      <c r="HX30" s="97"/>
      <c r="HY30" s="97"/>
      <c r="HZ30" s="97"/>
      <c r="IA30" s="97"/>
      <c r="IB30" s="97"/>
      <c r="IC30" s="97"/>
      <c r="ID30" s="97"/>
      <c r="IE30" s="97"/>
      <c r="IF30" s="97"/>
      <c r="IG30" s="97"/>
      <c r="IH30" s="97"/>
      <c r="II30" s="97"/>
      <c r="IJ30" s="97"/>
      <c r="IK30" s="97"/>
      <c r="IL30" s="97"/>
      <c r="IM30" s="97"/>
      <c r="IN30" s="97"/>
      <c r="IO30" s="97"/>
      <c r="IP30" s="97"/>
      <c r="IQ30" s="97"/>
      <c r="IR30" s="97"/>
      <c r="IS30" s="97"/>
    </row>
    <row r="31" spans="1:253" ht="18" customHeight="1">
      <c r="A31" s="77"/>
      <c r="B31" s="95" t="s">
        <v>69</v>
      </c>
      <c r="C31" s="68">
        <f>N166</f>
        <v>0</v>
      </c>
      <c r="D31" s="22">
        <f>L166</f>
        <v>0</v>
      </c>
      <c r="E31" s="30">
        <f>M166</f>
        <v>0</v>
      </c>
      <c r="F31" s="39">
        <f>O166</f>
        <v>0</v>
      </c>
      <c r="G31" s="74"/>
      <c r="H31" s="97"/>
      <c r="I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7"/>
      <c r="AT31" s="97"/>
      <c r="AU31" s="97"/>
      <c r="AV31" s="97"/>
      <c r="AW31" s="97"/>
      <c r="AX31" s="97"/>
      <c r="AY31" s="97"/>
      <c r="AZ31" s="97"/>
      <c r="BA31" s="97"/>
      <c r="BB31" s="97"/>
      <c r="BC31" s="97"/>
      <c r="BD31" s="97"/>
      <c r="BE31" s="97"/>
      <c r="BF31" s="97"/>
      <c r="BG31" s="97"/>
      <c r="BH31" s="97"/>
      <c r="BI31" s="97"/>
      <c r="BJ31" s="97"/>
      <c r="BK31" s="97"/>
      <c r="BL31" s="97"/>
      <c r="BM31" s="97"/>
      <c r="BN31" s="97"/>
      <c r="BO31" s="97"/>
      <c r="BP31" s="97"/>
      <c r="BQ31" s="97"/>
      <c r="BR31" s="97"/>
      <c r="BS31" s="97"/>
      <c r="BT31" s="97"/>
      <c r="BU31" s="97"/>
      <c r="BV31" s="97"/>
      <c r="BW31" s="97"/>
      <c r="BX31" s="97"/>
      <c r="BY31" s="97"/>
      <c r="BZ31" s="97"/>
      <c r="CA31" s="97"/>
      <c r="CB31" s="97"/>
      <c r="CC31" s="97"/>
      <c r="CD31" s="97"/>
      <c r="CE31" s="97"/>
      <c r="CF31" s="97"/>
      <c r="CG31" s="97"/>
      <c r="CH31" s="97"/>
      <c r="CI31" s="97"/>
      <c r="CJ31" s="97"/>
      <c r="CK31" s="97"/>
      <c r="CL31" s="97"/>
      <c r="CM31" s="97"/>
      <c r="CN31" s="97"/>
      <c r="CO31" s="97"/>
      <c r="CP31" s="97"/>
      <c r="CQ31" s="97"/>
      <c r="CR31" s="97"/>
      <c r="CS31" s="97"/>
      <c r="CT31" s="97"/>
      <c r="CU31" s="97"/>
      <c r="CV31" s="97"/>
      <c r="CW31" s="97"/>
      <c r="CX31" s="97"/>
      <c r="CY31" s="97"/>
      <c r="CZ31" s="97"/>
      <c r="DA31" s="97"/>
      <c r="DB31" s="97"/>
      <c r="DC31" s="97"/>
      <c r="DD31" s="97"/>
      <c r="DE31" s="97"/>
      <c r="DF31" s="97"/>
      <c r="DG31" s="97"/>
      <c r="DH31" s="97"/>
      <c r="DI31" s="97"/>
      <c r="DJ31" s="97"/>
      <c r="DK31" s="97"/>
      <c r="DL31" s="97"/>
      <c r="DM31" s="97"/>
      <c r="DN31" s="97"/>
      <c r="DO31" s="97"/>
      <c r="DP31" s="97"/>
      <c r="DQ31" s="97"/>
      <c r="DR31" s="97"/>
      <c r="DS31" s="97"/>
      <c r="DT31" s="97"/>
      <c r="DU31" s="97"/>
      <c r="DV31" s="97"/>
      <c r="DW31" s="97"/>
      <c r="DX31" s="97"/>
      <c r="DY31" s="97"/>
      <c r="DZ31" s="97"/>
      <c r="EA31" s="97"/>
      <c r="EB31" s="97"/>
      <c r="EC31" s="97"/>
      <c r="ED31" s="97"/>
      <c r="EE31" s="97"/>
      <c r="EF31" s="97"/>
      <c r="EG31" s="97"/>
      <c r="EH31" s="97"/>
      <c r="EI31" s="97"/>
      <c r="EJ31" s="97"/>
      <c r="EK31" s="97"/>
      <c r="EL31" s="97"/>
      <c r="EM31" s="97"/>
      <c r="EN31" s="97"/>
      <c r="EO31" s="97"/>
      <c r="EP31" s="97"/>
      <c r="EQ31" s="97"/>
      <c r="ER31" s="97"/>
      <c r="ES31" s="97"/>
      <c r="ET31" s="97"/>
      <c r="EU31" s="97"/>
      <c r="EV31" s="97"/>
      <c r="EW31" s="97"/>
      <c r="EX31" s="97"/>
      <c r="EY31" s="97"/>
      <c r="EZ31" s="97"/>
      <c r="FA31" s="97"/>
      <c r="FB31" s="97"/>
      <c r="FC31" s="97"/>
      <c r="FD31" s="97"/>
      <c r="FE31" s="97"/>
      <c r="FF31" s="97"/>
      <c r="FG31" s="97"/>
      <c r="FH31" s="97"/>
      <c r="FI31" s="97"/>
      <c r="FJ31" s="97"/>
      <c r="FK31" s="97"/>
      <c r="FL31" s="97"/>
      <c r="FM31" s="97"/>
      <c r="FN31" s="97"/>
      <c r="FO31" s="97"/>
      <c r="FP31" s="97"/>
      <c r="FQ31" s="97"/>
      <c r="FR31" s="97"/>
      <c r="FS31" s="97"/>
      <c r="FT31" s="97"/>
      <c r="FU31" s="97"/>
      <c r="FV31" s="97"/>
      <c r="FW31" s="97"/>
      <c r="FX31" s="97"/>
      <c r="FY31" s="97"/>
      <c r="FZ31" s="97"/>
      <c r="GA31" s="97"/>
      <c r="GB31" s="97"/>
      <c r="GC31" s="97"/>
      <c r="GD31" s="97"/>
      <c r="GE31" s="97"/>
      <c r="GF31" s="97"/>
      <c r="GG31" s="97"/>
      <c r="GH31" s="97"/>
      <c r="GI31" s="97"/>
      <c r="GJ31" s="97"/>
      <c r="GK31" s="97"/>
      <c r="GL31" s="97"/>
      <c r="GM31" s="97"/>
      <c r="GN31" s="97"/>
      <c r="GO31" s="97"/>
      <c r="GP31" s="97"/>
      <c r="GQ31" s="97"/>
      <c r="GR31" s="97"/>
      <c r="GS31" s="97"/>
      <c r="GT31" s="97"/>
      <c r="GU31" s="97"/>
      <c r="GV31" s="97"/>
      <c r="GW31" s="97"/>
      <c r="GX31" s="97"/>
      <c r="GY31" s="97"/>
      <c r="GZ31" s="97"/>
      <c r="HA31" s="97"/>
      <c r="HB31" s="97"/>
      <c r="HC31" s="97"/>
      <c r="HD31" s="97"/>
      <c r="HE31" s="97"/>
      <c r="HF31" s="97"/>
      <c r="HG31" s="97"/>
      <c r="HH31" s="97"/>
      <c r="HI31" s="97"/>
      <c r="HJ31" s="97"/>
      <c r="HK31" s="97"/>
      <c r="HL31" s="97"/>
      <c r="HM31" s="97"/>
      <c r="HN31" s="97"/>
      <c r="HO31" s="97"/>
      <c r="HP31" s="97"/>
      <c r="HQ31" s="97"/>
      <c r="HR31" s="97"/>
      <c r="HS31" s="97"/>
      <c r="HT31" s="97"/>
      <c r="HU31" s="97"/>
      <c r="HV31" s="97"/>
      <c r="HW31" s="97"/>
      <c r="HX31" s="97"/>
      <c r="HY31" s="97"/>
      <c r="HZ31" s="97"/>
      <c r="IA31" s="97"/>
      <c r="IB31" s="97"/>
      <c r="IC31" s="97"/>
      <c r="ID31" s="97"/>
      <c r="IE31" s="97"/>
      <c r="IF31" s="97"/>
      <c r="IG31" s="97"/>
      <c r="IH31" s="97"/>
      <c r="II31" s="97"/>
      <c r="IJ31" s="97"/>
      <c r="IK31" s="97"/>
      <c r="IL31" s="97"/>
      <c r="IM31" s="97"/>
      <c r="IN31" s="97"/>
      <c r="IO31" s="97"/>
      <c r="IP31" s="97"/>
      <c r="IQ31" s="97"/>
      <c r="IR31" s="97"/>
      <c r="IS31" s="97"/>
    </row>
    <row r="32" spans="1:253" ht="18" customHeight="1">
      <c r="A32" s="77"/>
      <c r="B32" s="234" t="s">
        <v>70</v>
      </c>
      <c r="C32" s="235">
        <f>'Pre Rinse Sprayers'!I17</f>
        <v>0</v>
      </c>
      <c r="D32" s="236">
        <f>'Pre Rinse Sprayers'!R17</f>
        <v>0</v>
      </c>
      <c r="E32" s="237">
        <f>'Pre Rinse Sprayers'!S17</f>
        <v>0</v>
      </c>
      <c r="F32" s="238">
        <f>'Pre Rinse Sprayers'!T17</f>
        <v>0</v>
      </c>
      <c r="G32" s="74"/>
      <c r="H32" s="97"/>
      <c r="I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c r="DM32" s="97"/>
      <c r="DN32" s="97"/>
      <c r="DO32" s="97"/>
      <c r="DP32" s="97"/>
      <c r="DQ32" s="97"/>
      <c r="DR32" s="97"/>
      <c r="DS32" s="97"/>
      <c r="DT32" s="97"/>
      <c r="DU32" s="97"/>
      <c r="DV32" s="97"/>
      <c r="DW32" s="97"/>
      <c r="DX32" s="97"/>
      <c r="DY32" s="97"/>
      <c r="DZ32" s="97"/>
      <c r="EA32" s="97"/>
      <c r="EB32" s="97"/>
      <c r="EC32" s="97"/>
      <c r="ED32" s="97"/>
      <c r="EE32" s="97"/>
      <c r="EF32" s="97"/>
      <c r="EG32" s="97"/>
      <c r="EH32" s="97"/>
      <c r="EI32" s="97"/>
      <c r="EJ32" s="97"/>
      <c r="EK32" s="97"/>
      <c r="EL32" s="97"/>
      <c r="EM32" s="97"/>
      <c r="EN32" s="97"/>
      <c r="EO32" s="97"/>
      <c r="EP32" s="97"/>
      <c r="EQ32" s="97"/>
      <c r="ER32" s="97"/>
      <c r="ES32" s="97"/>
      <c r="ET32" s="97"/>
      <c r="EU32" s="97"/>
      <c r="EV32" s="97"/>
      <c r="EW32" s="97"/>
      <c r="EX32" s="97"/>
      <c r="EY32" s="97"/>
      <c r="EZ32" s="97"/>
      <c r="FA32" s="97"/>
      <c r="FB32" s="97"/>
      <c r="FC32" s="97"/>
      <c r="FD32" s="97"/>
      <c r="FE32" s="97"/>
      <c r="FF32" s="97"/>
      <c r="FG32" s="97"/>
      <c r="FH32" s="97"/>
      <c r="FI32" s="97"/>
      <c r="FJ32" s="97"/>
      <c r="FK32" s="97"/>
      <c r="FL32" s="97"/>
      <c r="FM32" s="97"/>
      <c r="FN32" s="97"/>
      <c r="FO32" s="97"/>
      <c r="FP32" s="97"/>
      <c r="FQ32" s="97"/>
      <c r="FR32" s="97"/>
      <c r="FS32" s="97"/>
      <c r="FT32" s="97"/>
      <c r="FU32" s="97"/>
      <c r="FV32" s="97"/>
      <c r="FW32" s="97"/>
      <c r="FX32" s="97"/>
      <c r="FY32" s="97"/>
      <c r="FZ32" s="97"/>
      <c r="GA32" s="97"/>
      <c r="GB32" s="97"/>
      <c r="GC32" s="97"/>
      <c r="GD32" s="97"/>
      <c r="GE32" s="97"/>
      <c r="GF32" s="97"/>
      <c r="GG32" s="97"/>
      <c r="GH32" s="97"/>
      <c r="GI32" s="97"/>
      <c r="GJ32" s="97"/>
      <c r="GK32" s="97"/>
      <c r="GL32" s="97"/>
      <c r="GM32" s="97"/>
      <c r="GN32" s="97"/>
      <c r="GO32" s="97"/>
      <c r="GP32" s="97"/>
      <c r="GQ32" s="97"/>
      <c r="GR32" s="97"/>
      <c r="GS32" s="97"/>
      <c r="GT32" s="97"/>
      <c r="GU32" s="97"/>
      <c r="GV32" s="97"/>
      <c r="GW32" s="97"/>
      <c r="GX32" s="97"/>
      <c r="GY32" s="97"/>
      <c r="GZ32" s="97"/>
      <c r="HA32" s="97"/>
      <c r="HB32" s="97"/>
      <c r="HC32" s="97"/>
      <c r="HD32" s="97"/>
      <c r="HE32" s="97"/>
      <c r="HF32" s="97"/>
      <c r="HG32" s="97"/>
      <c r="HH32" s="97"/>
      <c r="HI32" s="97"/>
      <c r="HJ32" s="97"/>
      <c r="HK32" s="97"/>
      <c r="HL32" s="97"/>
      <c r="HM32" s="97"/>
      <c r="HN32" s="97"/>
      <c r="HO32" s="97"/>
      <c r="HP32" s="97"/>
      <c r="HQ32" s="97"/>
      <c r="HR32" s="97"/>
      <c r="HS32" s="97"/>
      <c r="HT32" s="97"/>
      <c r="HU32" s="97"/>
      <c r="HV32" s="97"/>
      <c r="HW32" s="97"/>
      <c r="HX32" s="97"/>
      <c r="HY32" s="97"/>
      <c r="HZ32" s="97"/>
      <c r="IA32" s="97"/>
      <c r="IB32" s="97"/>
      <c r="IC32" s="97"/>
      <c r="ID32" s="97"/>
      <c r="IE32" s="97"/>
      <c r="IF32" s="97"/>
      <c r="IG32" s="97"/>
      <c r="IH32" s="97"/>
      <c r="II32" s="97"/>
      <c r="IJ32" s="97"/>
      <c r="IK32" s="97"/>
      <c r="IL32" s="97"/>
      <c r="IM32" s="97"/>
      <c r="IN32" s="97"/>
      <c r="IO32" s="97"/>
      <c r="IP32" s="97"/>
      <c r="IQ32" s="97"/>
      <c r="IR32" s="97"/>
      <c r="IS32" s="97"/>
    </row>
    <row r="33" spans="1:253" ht="17.25" customHeight="1" thickBot="1">
      <c r="A33" s="77"/>
      <c r="B33" s="96" t="s">
        <v>71</v>
      </c>
      <c r="C33" s="69">
        <f>N176</f>
        <v>0</v>
      </c>
      <c r="D33" s="32">
        <f>L176</f>
        <v>0</v>
      </c>
      <c r="E33" s="33">
        <f>M176</f>
        <v>0</v>
      </c>
      <c r="F33" s="40">
        <f>O176</f>
        <v>0</v>
      </c>
      <c r="G33" s="74"/>
      <c r="H33" s="97"/>
      <c r="I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c r="DY33" s="97"/>
      <c r="DZ33" s="97"/>
      <c r="EA33" s="97"/>
      <c r="EB33" s="97"/>
      <c r="EC33" s="97"/>
      <c r="ED33" s="97"/>
      <c r="EE33" s="97"/>
      <c r="EF33" s="97"/>
      <c r="EG33" s="97"/>
      <c r="EH33" s="97"/>
      <c r="EI33" s="97"/>
      <c r="EJ33" s="97"/>
      <c r="EK33" s="97"/>
      <c r="EL33" s="97"/>
      <c r="EM33" s="97"/>
      <c r="EN33" s="97"/>
      <c r="EO33" s="97"/>
      <c r="EP33" s="97"/>
      <c r="EQ33" s="97"/>
      <c r="ER33" s="97"/>
      <c r="ES33" s="97"/>
      <c r="ET33" s="97"/>
      <c r="EU33" s="97"/>
      <c r="EV33" s="97"/>
      <c r="EW33" s="97"/>
      <c r="EX33" s="97"/>
      <c r="EY33" s="97"/>
      <c r="EZ33" s="97"/>
      <c r="FA33" s="97"/>
      <c r="FB33" s="97"/>
      <c r="FC33" s="97"/>
      <c r="FD33" s="97"/>
      <c r="FE33" s="97"/>
      <c r="FF33" s="97"/>
      <c r="FG33" s="97"/>
      <c r="FH33" s="97"/>
      <c r="FI33" s="97"/>
      <c r="FJ33" s="97"/>
      <c r="FK33" s="97"/>
      <c r="FL33" s="97"/>
      <c r="FM33" s="97"/>
      <c r="FN33" s="97"/>
      <c r="FO33" s="97"/>
      <c r="FP33" s="97"/>
      <c r="FQ33" s="97"/>
      <c r="FR33" s="97"/>
      <c r="FS33" s="97"/>
      <c r="FT33" s="97"/>
      <c r="FU33" s="97"/>
      <c r="FV33" s="97"/>
      <c r="FW33" s="97"/>
      <c r="FX33" s="97"/>
      <c r="FY33" s="97"/>
      <c r="FZ33" s="97"/>
      <c r="GA33" s="97"/>
      <c r="GB33" s="97"/>
      <c r="GC33" s="97"/>
      <c r="GD33" s="97"/>
      <c r="GE33" s="97"/>
      <c r="GF33" s="97"/>
      <c r="GG33" s="97"/>
      <c r="GH33" s="97"/>
      <c r="GI33" s="97"/>
      <c r="GJ33" s="97"/>
      <c r="GK33" s="97"/>
      <c r="GL33" s="97"/>
      <c r="GM33" s="97"/>
      <c r="GN33" s="97"/>
      <c r="GO33" s="97"/>
      <c r="GP33" s="97"/>
      <c r="GQ33" s="97"/>
      <c r="GR33" s="97"/>
      <c r="GS33" s="97"/>
      <c r="GT33" s="97"/>
      <c r="GU33" s="97"/>
      <c r="GV33" s="97"/>
      <c r="GW33" s="97"/>
      <c r="GX33" s="97"/>
      <c r="GY33" s="97"/>
      <c r="GZ33" s="97"/>
      <c r="HA33" s="97"/>
      <c r="HB33" s="97"/>
      <c r="HC33" s="97"/>
      <c r="HD33" s="97"/>
      <c r="HE33" s="97"/>
      <c r="HF33" s="97"/>
      <c r="HG33" s="97"/>
      <c r="HH33" s="97"/>
      <c r="HI33" s="97"/>
      <c r="HJ33" s="97"/>
      <c r="HK33" s="97"/>
      <c r="HL33" s="97"/>
      <c r="HM33" s="97"/>
      <c r="HN33" s="97"/>
      <c r="HO33" s="97"/>
      <c r="HP33" s="97"/>
      <c r="HQ33" s="97"/>
      <c r="HR33" s="97"/>
      <c r="HS33" s="97"/>
      <c r="HT33" s="97"/>
      <c r="HU33" s="97"/>
      <c r="HV33" s="97"/>
      <c r="HW33" s="97"/>
      <c r="HX33" s="97"/>
      <c r="HY33" s="97"/>
      <c r="HZ33" s="97"/>
      <c r="IA33" s="97"/>
      <c r="IB33" s="97"/>
      <c r="IC33" s="97"/>
      <c r="ID33" s="97"/>
      <c r="IE33" s="97"/>
      <c r="IF33" s="97"/>
      <c r="IG33" s="97"/>
      <c r="IH33" s="97"/>
      <c r="II33" s="97"/>
      <c r="IJ33" s="97"/>
      <c r="IK33" s="97"/>
      <c r="IL33" s="97"/>
      <c r="IM33" s="97"/>
      <c r="IN33" s="97"/>
      <c r="IO33" s="97"/>
      <c r="IP33" s="97"/>
      <c r="IQ33" s="97"/>
      <c r="IR33" s="97"/>
      <c r="IS33" s="97"/>
    </row>
    <row r="34" spans="1:253" ht="28.5" customHeight="1" thickBot="1">
      <c r="A34" s="77"/>
      <c r="B34" s="78"/>
      <c r="C34" s="78"/>
      <c r="D34" s="78"/>
      <c r="E34" s="78"/>
      <c r="F34" s="78"/>
      <c r="G34" s="74"/>
      <c r="H34" s="97"/>
      <c r="I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P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97"/>
      <c r="ID34" s="97"/>
      <c r="IE34" s="97"/>
      <c r="IF34" s="97"/>
      <c r="IG34" s="97"/>
      <c r="IH34" s="97"/>
      <c r="II34" s="97"/>
      <c r="IJ34" s="97"/>
      <c r="IK34" s="97"/>
      <c r="IL34" s="97"/>
      <c r="IM34" s="97"/>
      <c r="IN34" s="97"/>
      <c r="IO34" s="97"/>
      <c r="IP34" s="97"/>
      <c r="IQ34" s="97"/>
      <c r="IR34" s="97"/>
      <c r="IS34" s="97"/>
    </row>
    <row r="35" spans="1:253" ht="22.5" customHeight="1" thickBot="1">
      <c r="A35" s="79"/>
      <c r="B35" s="372" t="s">
        <v>72</v>
      </c>
      <c r="C35" s="373"/>
      <c r="D35" s="373"/>
      <c r="E35" s="373"/>
      <c r="F35" s="374"/>
      <c r="G35" s="81"/>
      <c r="H35" s="97"/>
      <c r="I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c r="DK35" s="97"/>
      <c r="DL35" s="97"/>
      <c r="DM35" s="97"/>
      <c r="DN35" s="97"/>
      <c r="DO35" s="97"/>
      <c r="DP35" s="97"/>
      <c r="DQ35" s="97"/>
      <c r="DR35" s="97"/>
      <c r="DS35" s="97"/>
      <c r="DT35" s="97"/>
      <c r="DU35" s="97"/>
      <c r="DV35" s="97"/>
      <c r="DW35" s="97"/>
      <c r="DX35" s="97"/>
      <c r="DY35" s="97"/>
      <c r="DZ35" s="97"/>
      <c r="EA35" s="97"/>
      <c r="EB35" s="97"/>
      <c r="EC35" s="97"/>
      <c r="ED35" s="97"/>
      <c r="EE35" s="97"/>
      <c r="EF35" s="97"/>
      <c r="EG35" s="97"/>
      <c r="EH35" s="97"/>
      <c r="EI35" s="97"/>
      <c r="EJ35" s="97"/>
      <c r="EK35" s="97"/>
      <c r="EL35" s="97"/>
      <c r="EM35" s="97"/>
      <c r="EN35" s="97"/>
      <c r="EO35" s="97"/>
      <c r="EP35" s="97"/>
      <c r="EQ35" s="97"/>
      <c r="ER35" s="97"/>
      <c r="ES35" s="97"/>
      <c r="ET35" s="97"/>
      <c r="EU35" s="97"/>
      <c r="EV35" s="97"/>
      <c r="EW35" s="97"/>
      <c r="EX35" s="97"/>
      <c r="EY35" s="97"/>
      <c r="EZ35" s="97"/>
      <c r="FA35" s="97"/>
      <c r="FB35" s="97"/>
      <c r="FC35" s="97"/>
      <c r="FD35" s="97"/>
      <c r="FE35" s="97"/>
      <c r="FF35" s="97"/>
      <c r="FG35" s="97"/>
      <c r="FH35" s="97"/>
      <c r="FI35" s="97"/>
      <c r="FJ35" s="97"/>
      <c r="FK35" s="97"/>
      <c r="FL35" s="97"/>
      <c r="FM35" s="97"/>
      <c r="FN35" s="97"/>
      <c r="FO35" s="97"/>
      <c r="FP35" s="97"/>
      <c r="FQ35" s="97"/>
      <c r="FR35" s="97"/>
      <c r="FS35" s="97"/>
      <c r="FT35" s="97"/>
      <c r="FU35" s="97"/>
      <c r="FV35" s="97"/>
      <c r="FW35" s="97"/>
      <c r="FX35" s="97"/>
      <c r="FY35" s="97"/>
      <c r="FZ35" s="97"/>
      <c r="GA35" s="97"/>
      <c r="GB35" s="97"/>
      <c r="GC35" s="97"/>
      <c r="GD35" s="97"/>
      <c r="GE35" s="97"/>
      <c r="GF35" s="97"/>
      <c r="GG35" s="97"/>
      <c r="GH35" s="97"/>
      <c r="GI35" s="97"/>
      <c r="GJ35" s="97"/>
      <c r="GK35" s="97"/>
      <c r="GL35" s="97"/>
      <c r="GM35" s="97"/>
      <c r="GN35" s="97"/>
      <c r="GO35" s="97"/>
      <c r="GP35" s="97"/>
      <c r="GQ35" s="97"/>
      <c r="GR35" s="97"/>
      <c r="GS35" s="97"/>
      <c r="GT35" s="97"/>
      <c r="GU35" s="97"/>
      <c r="GV35" s="97"/>
      <c r="GW35" s="97"/>
      <c r="GX35" s="97"/>
      <c r="GY35" s="97"/>
      <c r="GZ35" s="97"/>
      <c r="HA35" s="97"/>
      <c r="HB35" s="97"/>
      <c r="HC35" s="97"/>
      <c r="HD35" s="97"/>
      <c r="HE35" s="97"/>
      <c r="HF35" s="97"/>
      <c r="HG35" s="97"/>
      <c r="HH35" s="97"/>
      <c r="HI35" s="97"/>
      <c r="HJ35" s="97"/>
      <c r="HK35" s="97"/>
      <c r="HL35" s="97"/>
      <c r="HM35" s="97"/>
      <c r="HN35" s="97"/>
      <c r="HO35" s="97"/>
      <c r="HP35" s="97"/>
      <c r="HQ35" s="97"/>
      <c r="HR35" s="97"/>
      <c r="HS35" s="97"/>
      <c r="HT35" s="97"/>
      <c r="HU35" s="97"/>
      <c r="HV35" s="97"/>
      <c r="HW35" s="97"/>
      <c r="HX35" s="97"/>
      <c r="HY35" s="97"/>
      <c r="HZ35" s="97"/>
      <c r="IA35" s="97"/>
      <c r="IB35" s="97"/>
      <c r="IC35" s="97"/>
      <c r="ID35" s="97"/>
      <c r="IE35" s="97"/>
      <c r="IF35" s="97"/>
      <c r="IG35" s="97"/>
      <c r="IH35" s="97"/>
      <c r="II35" s="97"/>
      <c r="IJ35" s="97"/>
      <c r="IK35" s="97"/>
      <c r="IL35" s="97"/>
      <c r="IM35" s="97"/>
      <c r="IN35" s="97"/>
      <c r="IO35" s="97"/>
      <c r="IP35" s="97"/>
      <c r="IQ35" s="97"/>
      <c r="IR35" s="97"/>
      <c r="IS35" s="97"/>
    </row>
    <row r="36" spans="1:253" s="97" customFormat="1" ht="15.75" thickBot="1">
      <c r="B36" s="80"/>
      <c r="C36" s="80"/>
      <c r="D36" s="80"/>
      <c r="E36" s="80"/>
      <c r="F36" s="80"/>
      <c r="K36" s="147"/>
    </row>
    <row r="37" spans="1:253" hidden="1">
      <c r="A37" s="28"/>
      <c r="B37" s="97"/>
      <c r="C37" s="97"/>
      <c r="D37" s="97"/>
      <c r="E37" s="97"/>
      <c r="F37" s="97"/>
      <c r="J37" s="85" t="s">
        <v>73</v>
      </c>
      <c r="K37" s="82" t="s">
        <v>74</v>
      </c>
      <c r="L37" s="82" t="s">
        <v>54</v>
      </c>
      <c r="M37" s="82" t="s">
        <v>55</v>
      </c>
      <c r="N37" s="82" t="s">
        <v>53</v>
      </c>
      <c r="O37" s="82" t="s">
        <v>75</v>
      </c>
      <c r="P37" s="82" t="s">
        <v>76</v>
      </c>
      <c r="Q37" s="97"/>
      <c r="R37" s="146">
        <v>1</v>
      </c>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c r="DK37" s="97"/>
      <c r="DL37" s="97"/>
      <c r="DM37" s="97"/>
      <c r="DN37" s="97"/>
      <c r="DO37" s="97"/>
      <c r="DP37" s="97"/>
      <c r="DQ37" s="97"/>
      <c r="DR37" s="97"/>
      <c r="DS37" s="97"/>
      <c r="DT37" s="97"/>
      <c r="DU37" s="97"/>
      <c r="DV37" s="97"/>
      <c r="DW37" s="97"/>
      <c r="DX37" s="97"/>
      <c r="DY37" s="97"/>
      <c r="DZ37" s="97"/>
      <c r="EA37" s="97"/>
      <c r="EB37" s="97"/>
      <c r="EC37" s="97"/>
      <c r="ED37" s="97"/>
      <c r="EE37" s="97"/>
      <c r="EF37" s="97"/>
      <c r="EG37" s="97"/>
      <c r="EH37" s="97"/>
      <c r="EI37" s="97"/>
      <c r="EJ37" s="97"/>
      <c r="EK37" s="97"/>
      <c r="EL37" s="97"/>
      <c r="EM37" s="97"/>
      <c r="EN37" s="97"/>
      <c r="EO37" s="97"/>
      <c r="EP37" s="97"/>
      <c r="EQ37" s="97"/>
      <c r="ER37" s="97"/>
      <c r="ES37" s="97"/>
      <c r="ET37" s="97"/>
      <c r="EU37" s="97"/>
      <c r="EV37" s="97"/>
      <c r="EW37" s="97"/>
      <c r="EX37" s="97"/>
      <c r="EY37" s="97"/>
      <c r="EZ37" s="97"/>
      <c r="FA37" s="97"/>
      <c r="FB37" s="97"/>
      <c r="FC37" s="97"/>
      <c r="FD37" s="97"/>
      <c r="FE37" s="97"/>
      <c r="FF37" s="97"/>
      <c r="FG37" s="97"/>
      <c r="FH37" s="97"/>
      <c r="FI37" s="97"/>
      <c r="FJ37" s="97"/>
      <c r="FK37" s="97"/>
      <c r="FL37" s="97"/>
      <c r="FM37" s="97"/>
      <c r="FN37" s="97"/>
      <c r="FO37" s="97"/>
      <c r="FP37" s="97"/>
      <c r="FQ37" s="97"/>
      <c r="FR37" s="97"/>
      <c r="FS37" s="97"/>
      <c r="FT37" s="97"/>
      <c r="FU37" s="97"/>
      <c r="FV37" s="97"/>
      <c r="FW37" s="97"/>
      <c r="FX37" s="97"/>
      <c r="FY37" s="97"/>
      <c r="FZ37" s="97"/>
      <c r="GA37" s="97"/>
      <c r="GB37" s="97"/>
      <c r="GC37" s="97"/>
      <c r="GD37" s="97"/>
      <c r="GE37" s="97"/>
      <c r="GF37" s="97"/>
      <c r="GG37" s="97"/>
      <c r="GH37" s="97"/>
      <c r="GI37" s="97"/>
      <c r="GJ37" s="97"/>
      <c r="GK37" s="97"/>
      <c r="GL37" s="97"/>
      <c r="GM37" s="97"/>
      <c r="GN37" s="97"/>
      <c r="GO37" s="97"/>
      <c r="GP37" s="97"/>
      <c r="GQ37" s="97"/>
      <c r="GR37" s="97"/>
      <c r="GS37" s="97"/>
      <c r="GT37" s="97"/>
      <c r="GU37" s="97"/>
      <c r="GV37" s="97"/>
      <c r="GW37" s="97"/>
      <c r="GX37" s="97"/>
      <c r="GY37" s="97"/>
      <c r="GZ37" s="97"/>
      <c r="HA37" s="97"/>
      <c r="HB37" s="97"/>
      <c r="HC37" s="97"/>
      <c r="HD37" s="97"/>
      <c r="HE37" s="97"/>
      <c r="HF37" s="97"/>
      <c r="HG37" s="97"/>
      <c r="HH37" s="97"/>
      <c r="HI37" s="97"/>
      <c r="HJ37" s="97"/>
      <c r="HK37" s="97"/>
      <c r="HL37" s="97"/>
      <c r="HM37" s="97"/>
      <c r="HN37" s="97"/>
      <c r="HO37" s="97"/>
      <c r="HP37" s="97"/>
      <c r="HQ37" s="97"/>
      <c r="HR37" s="97"/>
      <c r="HS37" s="97"/>
      <c r="HT37" s="97"/>
      <c r="HU37" s="97"/>
      <c r="HV37" s="97"/>
      <c r="HW37" s="97"/>
      <c r="HX37" s="97"/>
      <c r="HY37" s="97"/>
      <c r="HZ37" s="97"/>
      <c r="IA37" s="97"/>
      <c r="IB37" s="97"/>
      <c r="IC37" s="97"/>
      <c r="ID37" s="97"/>
      <c r="IE37" s="97"/>
      <c r="IF37" s="97"/>
      <c r="IG37" s="97"/>
      <c r="IH37" s="97"/>
      <c r="II37" s="97"/>
      <c r="IJ37" s="97"/>
      <c r="IK37" s="97"/>
      <c r="IL37" s="97"/>
      <c r="IM37" s="97"/>
      <c r="IN37" s="97"/>
      <c r="IO37" s="97"/>
      <c r="IP37" s="97"/>
      <c r="IQ37" s="97"/>
      <c r="IR37" s="97"/>
      <c r="IS37" s="97"/>
    </row>
    <row r="38" spans="1:253" hidden="1">
      <c r="A38" s="28"/>
      <c r="J38" s="6">
        <v>1</v>
      </c>
      <c r="K38" s="19" t="str">
        <f>'Data Export'!B2</f>
        <v/>
      </c>
      <c r="L38" s="22" t="str">
        <f>IF(K38="", "", 'Commercial Refrigerators'!Q8)</f>
        <v/>
      </c>
      <c r="M38" s="22" t="str">
        <f>IF(K38="", "", 'Commercial Refrigerators'!R8)</f>
        <v/>
      </c>
      <c r="N38" s="6" t="str">
        <f>IF(K38="", "", 'Commercial Refrigerators'!K8)</f>
        <v/>
      </c>
      <c r="O38" s="83" t="str">
        <f>IF(K38="", "", 'Commercial Refrigerators'!S8)</f>
        <v/>
      </c>
      <c r="P38" s="6" t="str">
        <f>IF(K38="","",CONCATENATE($C$10,J38))</f>
        <v/>
      </c>
      <c r="Q38" s="97"/>
      <c r="R38" s="146">
        <v>2</v>
      </c>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c r="DK38" s="97"/>
      <c r="DL38" s="97"/>
      <c r="DM38" s="97"/>
      <c r="DN38" s="97"/>
      <c r="DO38" s="97"/>
      <c r="DP38" s="97"/>
      <c r="DQ38" s="97"/>
      <c r="DR38" s="97"/>
      <c r="DS38" s="97"/>
      <c r="DT38" s="97"/>
      <c r="DU38" s="97"/>
      <c r="DV38" s="97"/>
      <c r="DW38" s="97"/>
      <c r="DX38" s="97"/>
      <c r="DY38" s="97"/>
      <c r="DZ38" s="97"/>
      <c r="EA38" s="97"/>
      <c r="EB38" s="97"/>
      <c r="EC38" s="97"/>
      <c r="ED38" s="97"/>
      <c r="EE38" s="97"/>
      <c r="EF38" s="97"/>
      <c r="EG38" s="97"/>
      <c r="EH38" s="97"/>
      <c r="EI38" s="97"/>
      <c r="EJ38" s="97"/>
      <c r="EK38" s="97"/>
      <c r="EL38" s="97"/>
      <c r="EM38" s="97"/>
      <c r="EN38" s="97"/>
      <c r="EO38" s="97"/>
      <c r="EP38" s="97"/>
      <c r="EQ38" s="97"/>
      <c r="ER38" s="97"/>
      <c r="ES38" s="97"/>
      <c r="ET38" s="97"/>
      <c r="EU38" s="97"/>
      <c r="EV38" s="97"/>
      <c r="EW38" s="97"/>
      <c r="EX38" s="97"/>
      <c r="EY38" s="97"/>
      <c r="EZ38" s="97"/>
      <c r="FA38" s="97"/>
      <c r="FB38" s="97"/>
      <c r="FC38" s="97"/>
      <c r="FD38" s="97"/>
      <c r="FE38" s="97"/>
      <c r="FF38" s="97"/>
      <c r="FG38" s="97"/>
      <c r="FH38" s="97"/>
      <c r="FI38" s="97"/>
      <c r="FJ38" s="97"/>
      <c r="FK38" s="97"/>
      <c r="FL38" s="97"/>
      <c r="FM38" s="97"/>
      <c r="FN38" s="97"/>
      <c r="FO38" s="97"/>
      <c r="FP38" s="97"/>
      <c r="FQ38" s="97"/>
      <c r="FR38" s="97"/>
      <c r="FS38" s="97"/>
      <c r="FT38" s="97"/>
      <c r="FU38" s="97"/>
      <c r="FV38" s="97"/>
      <c r="FW38" s="97"/>
      <c r="FX38" s="97"/>
      <c r="FY38" s="97"/>
      <c r="FZ38" s="97"/>
      <c r="GA38" s="97"/>
      <c r="GB38" s="97"/>
      <c r="GC38" s="97"/>
      <c r="GD38" s="97"/>
      <c r="GE38" s="97"/>
      <c r="GF38" s="97"/>
      <c r="GG38" s="97"/>
      <c r="GH38" s="97"/>
      <c r="GI38" s="97"/>
      <c r="GJ38" s="97"/>
      <c r="GK38" s="97"/>
      <c r="GL38" s="97"/>
      <c r="GM38" s="97"/>
      <c r="GN38" s="97"/>
      <c r="GO38" s="97"/>
      <c r="GP38" s="97"/>
      <c r="GQ38" s="97"/>
      <c r="GR38" s="97"/>
      <c r="GS38" s="97"/>
      <c r="GT38" s="97"/>
      <c r="GU38" s="97"/>
      <c r="GV38" s="97"/>
      <c r="GW38" s="97"/>
      <c r="GX38" s="97"/>
      <c r="GY38" s="97"/>
      <c r="GZ38" s="97"/>
      <c r="HA38" s="97"/>
      <c r="HB38" s="97"/>
      <c r="HC38" s="97"/>
      <c r="HD38" s="97"/>
      <c r="HE38" s="97"/>
      <c r="HF38" s="97"/>
      <c r="HG38" s="97"/>
      <c r="HH38" s="97"/>
      <c r="HI38" s="97"/>
      <c r="HJ38" s="97"/>
      <c r="HK38" s="97"/>
      <c r="HL38" s="97"/>
      <c r="HM38" s="97"/>
      <c r="HN38" s="97"/>
      <c r="HO38" s="97"/>
      <c r="HP38" s="97"/>
      <c r="HQ38" s="97"/>
      <c r="HR38" s="97"/>
      <c r="HS38" s="97"/>
      <c r="HT38" s="97"/>
      <c r="HU38" s="97"/>
      <c r="HV38" s="97"/>
      <c r="HW38" s="97"/>
      <c r="HX38" s="97"/>
      <c r="HY38" s="97"/>
      <c r="HZ38" s="97"/>
      <c r="IA38" s="97"/>
      <c r="IB38" s="97"/>
      <c r="IC38" s="97"/>
      <c r="ID38" s="97"/>
      <c r="IE38" s="97"/>
      <c r="IF38" s="97"/>
      <c r="IG38" s="97"/>
      <c r="IH38" s="97"/>
      <c r="II38" s="97"/>
      <c r="IJ38" s="97"/>
      <c r="IK38" s="97"/>
      <c r="IL38" s="97"/>
      <c r="IM38" s="97"/>
      <c r="IN38" s="97"/>
      <c r="IO38" s="97"/>
      <c r="IP38" s="97"/>
      <c r="IQ38" s="97"/>
      <c r="IR38" s="97"/>
      <c r="IS38" s="97"/>
    </row>
    <row r="39" spans="1:253" hidden="1">
      <c r="A39" s="28"/>
      <c r="J39" s="6">
        <v>2</v>
      </c>
      <c r="K39" s="19" t="str">
        <f>'Data Export'!B3</f>
        <v/>
      </c>
      <c r="L39" s="22" t="str">
        <f>IF(K39="", "", 'Commercial Refrigerators'!Q9)</f>
        <v/>
      </c>
      <c r="M39" s="22" t="str">
        <f>IF(K39="", "", 'Commercial Refrigerators'!R9)</f>
        <v/>
      </c>
      <c r="N39" s="6" t="str">
        <f>IF(K39="", "", 'Commercial Refrigerators'!K9)</f>
        <v/>
      </c>
      <c r="O39" s="83" t="str">
        <f>IF(K39="", "", 'Commercial Refrigerators'!S9)</f>
        <v/>
      </c>
      <c r="P39" s="6" t="str">
        <f t="shared" ref="P39:P45" si="0">IF(K39="","",CONCATENATE($C$10,J39))</f>
        <v/>
      </c>
      <c r="Q39" s="97"/>
      <c r="R39" s="146">
        <v>3</v>
      </c>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7"/>
      <c r="DU39" s="97"/>
      <c r="DV39" s="97"/>
      <c r="DW39" s="97"/>
      <c r="DX39" s="97"/>
      <c r="DY39" s="97"/>
      <c r="DZ39" s="97"/>
      <c r="EA39" s="97"/>
      <c r="EB39" s="97"/>
      <c r="EC39" s="97"/>
      <c r="ED39" s="97"/>
      <c r="EE39" s="97"/>
      <c r="EF39" s="97"/>
      <c r="EG39" s="97"/>
      <c r="EH39" s="97"/>
      <c r="EI39" s="97"/>
      <c r="EJ39" s="97"/>
      <c r="EK39" s="97"/>
      <c r="EL39" s="97"/>
      <c r="EM39" s="97"/>
      <c r="EN39" s="97"/>
      <c r="EO39" s="97"/>
      <c r="EP39" s="97"/>
      <c r="EQ39" s="97"/>
      <c r="ER39" s="97"/>
      <c r="ES39" s="97"/>
      <c r="ET39" s="97"/>
      <c r="EU39" s="97"/>
      <c r="EV39" s="97"/>
      <c r="EW39" s="97"/>
      <c r="EX39" s="97"/>
      <c r="EY39" s="97"/>
      <c r="EZ39" s="97"/>
      <c r="FA39" s="97"/>
      <c r="FB39" s="97"/>
      <c r="FC39" s="97"/>
      <c r="FD39" s="97"/>
      <c r="FE39" s="97"/>
      <c r="FF39" s="97"/>
      <c r="FG39" s="97"/>
      <c r="FH39" s="97"/>
      <c r="FI39" s="97"/>
      <c r="FJ39" s="97"/>
      <c r="FK39" s="97"/>
      <c r="FL39" s="97"/>
      <c r="FM39" s="97"/>
      <c r="FN39" s="97"/>
      <c r="FO39" s="97"/>
      <c r="FP39" s="97"/>
      <c r="FQ39" s="97"/>
      <c r="FR39" s="97"/>
      <c r="FS39" s="97"/>
      <c r="FT39" s="97"/>
      <c r="FU39" s="97"/>
      <c r="FV39" s="97"/>
      <c r="FW39" s="97"/>
      <c r="FX39" s="97"/>
      <c r="FY39" s="97"/>
      <c r="FZ39" s="97"/>
      <c r="GA39" s="97"/>
      <c r="GB39" s="97"/>
      <c r="GC39" s="97"/>
      <c r="GD39" s="97"/>
      <c r="GE39" s="97"/>
      <c r="GF39" s="97"/>
      <c r="GG39" s="97"/>
      <c r="GH39" s="97"/>
      <c r="GI39" s="97"/>
      <c r="GJ39" s="97"/>
      <c r="GK39" s="97"/>
      <c r="GL39" s="97"/>
      <c r="GM39" s="97"/>
      <c r="GN39" s="97"/>
      <c r="GO39" s="97"/>
      <c r="GP39" s="97"/>
      <c r="GQ39" s="97"/>
      <c r="GR39" s="97"/>
      <c r="GS39" s="97"/>
      <c r="GT39" s="97"/>
      <c r="GU39" s="97"/>
      <c r="GV39" s="97"/>
      <c r="GW39" s="97"/>
      <c r="GX39" s="97"/>
      <c r="GY39" s="97"/>
      <c r="GZ39" s="97"/>
      <c r="HA39" s="97"/>
      <c r="HB39" s="97"/>
      <c r="HC39" s="97"/>
      <c r="HD39" s="97"/>
      <c r="HE39" s="97"/>
      <c r="HF39" s="97"/>
      <c r="HG39" s="97"/>
      <c r="HH39" s="97"/>
      <c r="HI39" s="97"/>
      <c r="HJ39" s="97"/>
      <c r="HK39" s="97"/>
      <c r="HL39" s="97"/>
      <c r="HM39" s="97"/>
      <c r="HN39" s="97"/>
      <c r="HO39" s="97"/>
      <c r="HP39" s="97"/>
      <c r="HQ39" s="97"/>
      <c r="HR39" s="97"/>
      <c r="HS39" s="97"/>
      <c r="HT39" s="97"/>
      <c r="HU39" s="97"/>
      <c r="HV39" s="97"/>
      <c r="HW39" s="97"/>
      <c r="HX39" s="97"/>
      <c r="HY39" s="97"/>
      <c r="HZ39" s="97"/>
      <c r="IA39" s="97"/>
      <c r="IB39" s="97"/>
      <c r="IC39" s="97"/>
      <c r="ID39" s="97"/>
      <c r="IE39" s="97"/>
      <c r="IF39" s="97"/>
      <c r="IG39" s="97"/>
      <c r="IH39" s="97"/>
      <c r="II39" s="97"/>
      <c r="IJ39" s="97"/>
      <c r="IK39" s="97"/>
      <c r="IL39" s="97"/>
      <c r="IM39" s="97"/>
      <c r="IN39" s="97"/>
      <c r="IO39" s="97"/>
      <c r="IP39" s="97"/>
      <c r="IQ39" s="97"/>
      <c r="IR39" s="97"/>
      <c r="IS39" s="97"/>
    </row>
    <row r="40" spans="1:253" hidden="1">
      <c r="A40" s="28"/>
      <c r="J40" s="6">
        <v>3</v>
      </c>
      <c r="K40" s="19" t="str">
        <f>'Data Export'!B4</f>
        <v/>
      </c>
      <c r="L40" s="22" t="str">
        <f>IF(K40="", "", 'Commercial Refrigerators'!Q10)</f>
        <v/>
      </c>
      <c r="M40" s="22" t="str">
        <f>IF(K40="", "", 'Commercial Refrigerators'!R10)</f>
        <v/>
      </c>
      <c r="N40" s="6" t="str">
        <f>IF(K40="", "", 'Commercial Refrigerators'!K10)</f>
        <v/>
      </c>
      <c r="O40" s="83" t="str">
        <f>IF(K40="", "", 'Commercial Refrigerators'!S10)</f>
        <v/>
      </c>
      <c r="P40" s="6" t="str">
        <f t="shared" si="0"/>
        <v/>
      </c>
      <c r="Q40" s="97"/>
      <c r="R40" s="146">
        <v>4</v>
      </c>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c r="DM40" s="97"/>
      <c r="DN40" s="97"/>
      <c r="DO40" s="97"/>
      <c r="DP40" s="97"/>
      <c r="DQ40" s="97"/>
      <c r="DR40" s="97"/>
      <c r="DS40" s="97"/>
      <c r="DT40" s="97"/>
      <c r="DU40" s="97"/>
      <c r="DV40" s="97"/>
      <c r="DW40" s="97"/>
      <c r="DX40" s="97"/>
      <c r="DY40" s="97"/>
      <c r="DZ40" s="97"/>
      <c r="EA40" s="97"/>
      <c r="EB40" s="97"/>
      <c r="EC40" s="97"/>
      <c r="ED40" s="97"/>
      <c r="EE40" s="97"/>
      <c r="EF40" s="97"/>
      <c r="EG40" s="97"/>
      <c r="EH40" s="97"/>
      <c r="EI40" s="97"/>
      <c r="EJ40" s="97"/>
      <c r="EK40" s="97"/>
      <c r="EL40" s="97"/>
      <c r="EM40" s="97"/>
      <c r="EN40" s="97"/>
      <c r="EO40" s="97"/>
      <c r="EP40" s="97"/>
      <c r="EQ40" s="97"/>
      <c r="ER40" s="97"/>
      <c r="ES40" s="97"/>
      <c r="ET40" s="97"/>
      <c r="EU40" s="97"/>
      <c r="EV40" s="97"/>
      <c r="EW40" s="97"/>
      <c r="EX40" s="97"/>
      <c r="EY40" s="97"/>
      <c r="EZ40" s="97"/>
      <c r="FA40" s="97"/>
      <c r="FB40" s="97"/>
      <c r="FC40" s="97"/>
      <c r="FD40" s="97"/>
      <c r="FE40" s="97"/>
      <c r="FF40" s="97"/>
      <c r="FG40" s="97"/>
      <c r="FH40" s="97"/>
      <c r="FI40" s="97"/>
      <c r="FJ40" s="97"/>
      <c r="FK40" s="97"/>
      <c r="FL40" s="97"/>
      <c r="FM40" s="97"/>
      <c r="FN40" s="97"/>
      <c r="FO40" s="97"/>
      <c r="FP40" s="97"/>
      <c r="FQ40" s="97"/>
      <c r="FR40" s="97"/>
      <c r="FS40" s="97"/>
      <c r="FT40" s="97"/>
      <c r="FU40" s="97"/>
      <c r="FV40" s="97"/>
      <c r="FW40" s="97"/>
      <c r="FX40" s="97"/>
      <c r="FY40" s="97"/>
      <c r="FZ40" s="97"/>
      <c r="GA40" s="97"/>
      <c r="GB40" s="97"/>
      <c r="GC40" s="97"/>
      <c r="GD40" s="97"/>
      <c r="GE40" s="97"/>
      <c r="GF40" s="97"/>
      <c r="GG40" s="97"/>
      <c r="GH40" s="97"/>
      <c r="GI40" s="97"/>
      <c r="GJ40" s="97"/>
      <c r="GK40" s="97"/>
      <c r="GL40" s="97"/>
      <c r="GM40" s="97"/>
      <c r="GN40" s="97"/>
      <c r="GO40" s="97"/>
      <c r="GP40" s="97"/>
      <c r="GQ40" s="97"/>
      <c r="GR40" s="97"/>
      <c r="GS40" s="97"/>
      <c r="GT40" s="97"/>
      <c r="GU40" s="97"/>
      <c r="GV40" s="97"/>
      <c r="GW40" s="97"/>
      <c r="GX40" s="97"/>
      <c r="GY40" s="97"/>
      <c r="GZ40" s="97"/>
      <c r="HA40" s="97"/>
      <c r="HB40" s="97"/>
      <c r="HC40" s="97"/>
      <c r="HD40" s="97"/>
      <c r="HE40" s="97"/>
      <c r="HF40" s="97"/>
      <c r="HG40" s="97"/>
      <c r="HH40" s="97"/>
      <c r="HI40" s="97"/>
      <c r="HJ40" s="97"/>
      <c r="HK40" s="97"/>
      <c r="HL40" s="97"/>
      <c r="HM40" s="97"/>
      <c r="HN40" s="97"/>
      <c r="HO40" s="97"/>
      <c r="HP40" s="97"/>
      <c r="HQ40" s="97"/>
      <c r="HR40" s="97"/>
      <c r="HS40" s="97"/>
      <c r="HT40" s="97"/>
      <c r="HU40" s="97"/>
      <c r="HV40" s="97"/>
      <c r="HW40" s="97"/>
      <c r="HX40" s="97"/>
      <c r="HY40" s="97"/>
      <c r="HZ40" s="97"/>
      <c r="IA40" s="97"/>
      <c r="IB40" s="97"/>
      <c r="IC40" s="97"/>
      <c r="ID40" s="97"/>
      <c r="IE40" s="97"/>
      <c r="IF40" s="97"/>
      <c r="IG40" s="97"/>
      <c r="IH40" s="97"/>
      <c r="II40" s="97"/>
      <c r="IJ40" s="97"/>
      <c r="IK40" s="97"/>
      <c r="IL40" s="97"/>
      <c r="IM40" s="97"/>
      <c r="IN40" s="97"/>
      <c r="IO40" s="97"/>
      <c r="IP40" s="97"/>
      <c r="IQ40" s="97"/>
      <c r="IR40" s="97"/>
      <c r="IS40" s="97"/>
    </row>
    <row r="41" spans="1:253" hidden="1">
      <c r="A41" s="28"/>
      <c r="J41" s="6">
        <v>4</v>
      </c>
      <c r="K41" s="19" t="str">
        <f>'Data Export'!B5</f>
        <v/>
      </c>
      <c r="L41" s="22" t="str">
        <f>IF(K41="", "", 'Commercial Refrigerators'!Q11)</f>
        <v/>
      </c>
      <c r="M41" s="22" t="str">
        <f>IF(K41="", "", 'Commercial Refrigerators'!R11)</f>
        <v/>
      </c>
      <c r="N41" s="6" t="str">
        <f>IF(K41="", "", 'Commercial Refrigerators'!K11)</f>
        <v/>
      </c>
      <c r="O41" s="83" t="str">
        <f>IF(K41="", "", 'Commercial Refrigerators'!S11)</f>
        <v/>
      </c>
      <c r="P41" s="6" t="str">
        <f t="shared" si="0"/>
        <v/>
      </c>
      <c r="Q41" s="97"/>
      <c r="R41" s="146">
        <v>5</v>
      </c>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c r="DK41" s="97"/>
      <c r="DL41" s="97"/>
      <c r="DM41" s="97"/>
      <c r="DN41" s="97"/>
      <c r="DO41" s="97"/>
      <c r="DP41" s="97"/>
      <c r="DQ41" s="97"/>
      <c r="DR41" s="97"/>
      <c r="DS41" s="97"/>
      <c r="DT41" s="97"/>
      <c r="DU41" s="97"/>
      <c r="DV41" s="97"/>
      <c r="DW41" s="97"/>
      <c r="DX41" s="97"/>
      <c r="DY41" s="97"/>
      <c r="DZ41" s="97"/>
      <c r="EA41" s="97"/>
      <c r="EB41" s="97"/>
      <c r="EC41" s="97"/>
      <c r="ED41" s="97"/>
      <c r="EE41" s="97"/>
      <c r="EF41" s="97"/>
      <c r="EG41" s="97"/>
      <c r="EH41" s="97"/>
      <c r="EI41" s="97"/>
      <c r="EJ41" s="97"/>
      <c r="EK41" s="97"/>
      <c r="EL41" s="97"/>
      <c r="EM41" s="97"/>
      <c r="EN41" s="97"/>
      <c r="EO41" s="97"/>
      <c r="EP41" s="97"/>
      <c r="EQ41" s="97"/>
      <c r="ER41" s="97"/>
      <c r="ES41" s="97"/>
      <c r="ET41" s="97"/>
      <c r="EU41" s="97"/>
      <c r="EV41" s="97"/>
      <c r="EW41" s="97"/>
      <c r="EX41" s="97"/>
      <c r="EY41" s="97"/>
      <c r="EZ41" s="97"/>
      <c r="FA41" s="97"/>
      <c r="FB41" s="97"/>
      <c r="FC41" s="97"/>
      <c r="FD41" s="97"/>
      <c r="FE41" s="97"/>
      <c r="FF41" s="97"/>
      <c r="FG41" s="97"/>
      <c r="FH41" s="97"/>
      <c r="FI41" s="97"/>
      <c r="FJ41" s="97"/>
      <c r="FK41" s="97"/>
      <c r="FL41" s="97"/>
      <c r="FM41" s="97"/>
      <c r="FN41" s="97"/>
      <c r="FO41" s="97"/>
      <c r="FP41" s="97"/>
      <c r="FQ41" s="97"/>
      <c r="FR41" s="97"/>
      <c r="FS41" s="97"/>
      <c r="FT41" s="97"/>
      <c r="FU41" s="97"/>
      <c r="FV41" s="97"/>
      <c r="FW41" s="97"/>
      <c r="FX41" s="97"/>
      <c r="FY41" s="97"/>
      <c r="FZ41" s="97"/>
      <c r="GA41" s="97"/>
      <c r="GB41" s="97"/>
      <c r="GC41" s="97"/>
      <c r="GD41" s="97"/>
      <c r="GE41" s="97"/>
      <c r="GF41" s="97"/>
      <c r="GG41" s="97"/>
      <c r="GH41" s="97"/>
      <c r="GI41" s="97"/>
      <c r="GJ41" s="97"/>
      <c r="GK41" s="97"/>
      <c r="GL41" s="97"/>
      <c r="GM41" s="97"/>
      <c r="GN41" s="97"/>
      <c r="GO41" s="97"/>
      <c r="GP41" s="97"/>
      <c r="GQ41" s="97"/>
      <c r="GR41" s="97"/>
      <c r="GS41" s="97"/>
      <c r="GT41" s="97"/>
      <c r="GU41" s="97"/>
      <c r="GV41" s="97"/>
      <c r="GW41" s="97"/>
      <c r="GX41" s="97"/>
      <c r="GY41" s="97"/>
      <c r="GZ41" s="97"/>
      <c r="HA41" s="97"/>
      <c r="HB41" s="97"/>
      <c r="HC41" s="97"/>
      <c r="HD41" s="97"/>
      <c r="HE41" s="97"/>
      <c r="HF41" s="97"/>
      <c r="HG41" s="97"/>
      <c r="HH41" s="97"/>
      <c r="HI41" s="97"/>
      <c r="HJ41" s="97"/>
      <c r="HK41" s="97"/>
      <c r="HL41" s="97"/>
      <c r="HM41" s="97"/>
      <c r="HN41" s="97"/>
      <c r="HO41" s="97"/>
      <c r="HP41" s="97"/>
      <c r="HQ41" s="97"/>
      <c r="HR41" s="97"/>
      <c r="HS41" s="97"/>
      <c r="HT41" s="97"/>
      <c r="HU41" s="97"/>
      <c r="HV41" s="97"/>
      <c r="HW41" s="97"/>
      <c r="HX41" s="97"/>
      <c r="HY41" s="97"/>
      <c r="HZ41" s="97"/>
      <c r="IA41" s="97"/>
      <c r="IB41" s="97"/>
      <c r="IC41" s="97"/>
      <c r="ID41" s="97"/>
      <c r="IE41" s="97"/>
      <c r="IF41" s="97"/>
      <c r="IG41" s="97"/>
      <c r="IH41" s="97"/>
      <c r="II41" s="97"/>
      <c r="IJ41" s="97"/>
      <c r="IK41" s="97"/>
      <c r="IL41" s="97"/>
      <c r="IM41" s="97"/>
      <c r="IN41" s="97"/>
      <c r="IO41" s="97"/>
      <c r="IP41" s="97"/>
      <c r="IQ41" s="97"/>
      <c r="IR41" s="97"/>
      <c r="IS41" s="97"/>
    </row>
    <row r="42" spans="1:253" hidden="1">
      <c r="A42" s="28"/>
      <c r="J42" s="6">
        <v>5</v>
      </c>
      <c r="K42" s="19" t="str">
        <f>'Data Export'!B6</f>
        <v/>
      </c>
      <c r="L42" s="22" t="str">
        <f>IF(K42="", "", 'Commercial Refrigerators'!Q12)</f>
        <v/>
      </c>
      <c r="M42" s="22" t="str">
        <f>IF(K42="", "", 'Commercial Refrigerators'!R12)</f>
        <v/>
      </c>
      <c r="N42" s="6" t="str">
        <f>IF(K42="", "", 'Commercial Refrigerators'!K12)</f>
        <v/>
      </c>
      <c r="O42" s="83" t="str">
        <f>IF(K42="", "", 'Commercial Refrigerators'!S12)</f>
        <v/>
      </c>
      <c r="P42" s="6" t="str">
        <f t="shared" si="0"/>
        <v/>
      </c>
      <c r="Q42" s="97"/>
      <c r="R42" s="146">
        <v>6</v>
      </c>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c r="DK42" s="97"/>
      <c r="DL42" s="97"/>
      <c r="DM42" s="97"/>
      <c r="DN42" s="97"/>
      <c r="DO42" s="97"/>
      <c r="DP42" s="97"/>
      <c r="DQ42" s="97"/>
      <c r="DR42" s="97"/>
      <c r="DS42" s="97"/>
      <c r="DT42" s="97"/>
      <c r="DU42" s="97"/>
      <c r="DV42" s="97"/>
      <c r="DW42" s="97"/>
      <c r="DX42" s="97"/>
      <c r="DY42" s="97"/>
      <c r="DZ42" s="97"/>
      <c r="EA42" s="97"/>
      <c r="EB42" s="97"/>
      <c r="EC42" s="97"/>
      <c r="ED42" s="97"/>
      <c r="EE42" s="97"/>
      <c r="EF42" s="97"/>
      <c r="EG42" s="97"/>
      <c r="EH42" s="97"/>
      <c r="EI42" s="97"/>
      <c r="EJ42" s="97"/>
      <c r="EK42" s="97"/>
      <c r="EL42" s="97"/>
      <c r="EM42" s="97"/>
      <c r="EN42" s="97"/>
      <c r="EO42" s="97"/>
      <c r="EP42" s="97"/>
      <c r="EQ42" s="97"/>
      <c r="ER42" s="97"/>
      <c r="ES42" s="97"/>
      <c r="ET42" s="97"/>
      <c r="EU42" s="97"/>
      <c r="EV42" s="97"/>
      <c r="EW42" s="97"/>
      <c r="EX42" s="97"/>
      <c r="EY42" s="97"/>
      <c r="EZ42" s="97"/>
      <c r="FA42" s="97"/>
      <c r="FB42" s="97"/>
      <c r="FC42" s="97"/>
      <c r="FD42" s="97"/>
      <c r="FE42" s="97"/>
      <c r="FF42" s="97"/>
      <c r="FG42" s="97"/>
      <c r="FH42" s="97"/>
      <c r="FI42" s="97"/>
      <c r="FJ42" s="97"/>
      <c r="FK42" s="97"/>
      <c r="FL42" s="97"/>
      <c r="FM42" s="97"/>
      <c r="FN42" s="97"/>
      <c r="FO42" s="97"/>
      <c r="FP42" s="97"/>
      <c r="FQ42" s="97"/>
      <c r="FR42" s="97"/>
      <c r="FS42" s="97"/>
      <c r="FT42" s="97"/>
      <c r="FU42" s="97"/>
      <c r="FV42" s="97"/>
      <c r="FW42" s="97"/>
      <c r="FX42" s="97"/>
      <c r="FY42" s="97"/>
      <c r="FZ42" s="97"/>
      <c r="GA42" s="97"/>
      <c r="GB42" s="97"/>
      <c r="GC42" s="97"/>
      <c r="GD42" s="97"/>
      <c r="GE42" s="97"/>
      <c r="GF42" s="97"/>
      <c r="GG42" s="97"/>
      <c r="GH42" s="97"/>
      <c r="GI42" s="97"/>
      <c r="GJ42" s="97"/>
      <c r="GK42" s="97"/>
      <c r="GL42" s="97"/>
      <c r="GM42" s="97"/>
      <c r="GN42" s="97"/>
      <c r="GO42" s="97"/>
      <c r="GP42" s="97"/>
      <c r="GQ42" s="97"/>
      <c r="GR42" s="97"/>
      <c r="GS42" s="97"/>
      <c r="GT42" s="97"/>
      <c r="GU42" s="97"/>
      <c r="GV42" s="97"/>
      <c r="GW42" s="97"/>
      <c r="GX42" s="97"/>
      <c r="GY42" s="97"/>
      <c r="GZ42" s="97"/>
      <c r="HA42" s="97"/>
      <c r="HB42" s="97"/>
      <c r="HC42" s="97"/>
      <c r="HD42" s="97"/>
      <c r="HE42" s="97"/>
      <c r="HF42" s="97"/>
      <c r="HG42" s="97"/>
      <c r="HH42" s="97"/>
      <c r="HI42" s="97"/>
      <c r="HJ42" s="97"/>
      <c r="HK42" s="97"/>
      <c r="HL42" s="97"/>
      <c r="HM42" s="97"/>
      <c r="HN42" s="97"/>
      <c r="HO42" s="97"/>
      <c r="HP42" s="97"/>
      <c r="HQ42" s="97"/>
      <c r="HR42" s="97"/>
      <c r="HS42" s="97"/>
      <c r="HT42" s="97"/>
      <c r="HU42" s="97"/>
      <c r="HV42" s="97"/>
      <c r="HW42" s="97"/>
      <c r="HX42" s="97"/>
      <c r="HY42" s="97"/>
      <c r="HZ42" s="97"/>
      <c r="IA42" s="97"/>
      <c r="IB42" s="97"/>
      <c r="IC42" s="97"/>
      <c r="ID42" s="97"/>
      <c r="IE42" s="97"/>
      <c r="IF42" s="97"/>
      <c r="IG42" s="97"/>
      <c r="IH42" s="97"/>
      <c r="II42" s="97"/>
      <c r="IJ42" s="97"/>
      <c r="IK42" s="97"/>
      <c r="IL42" s="97"/>
      <c r="IM42" s="97"/>
      <c r="IN42" s="97"/>
      <c r="IO42" s="97"/>
      <c r="IP42" s="97"/>
      <c r="IQ42" s="97"/>
      <c r="IR42" s="97"/>
      <c r="IS42" s="97"/>
    </row>
    <row r="43" spans="1:253" hidden="1">
      <c r="A43" s="28"/>
      <c r="J43" s="6">
        <v>6</v>
      </c>
      <c r="K43" s="19" t="str">
        <f>'Data Export'!B7</f>
        <v/>
      </c>
      <c r="L43" s="22" t="str">
        <f>IF(K43="", "", 'Commercial Refrigerators'!Q13)</f>
        <v/>
      </c>
      <c r="M43" s="22" t="str">
        <f>IF(K43="", "", 'Commercial Refrigerators'!R13)</f>
        <v/>
      </c>
      <c r="N43" s="6" t="str">
        <f>IF(K43="", "", 'Commercial Refrigerators'!K13)</f>
        <v/>
      </c>
      <c r="O43" s="83" t="str">
        <f>IF(K43="", "", 'Commercial Refrigerators'!S13)</f>
        <v/>
      </c>
      <c r="P43" s="6" t="str">
        <f t="shared" si="0"/>
        <v/>
      </c>
      <c r="Q43" s="97"/>
      <c r="R43" s="146">
        <v>7</v>
      </c>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row>
    <row r="44" spans="1:253" hidden="1">
      <c r="A44" s="28"/>
      <c r="J44" s="6">
        <v>7</v>
      </c>
      <c r="K44" s="19" t="str">
        <f>'Data Export'!B8</f>
        <v/>
      </c>
      <c r="L44" s="22" t="str">
        <f>IF(K44="", "", 'Commercial Refrigerators'!Q14)</f>
        <v/>
      </c>
      <c r="M44" s="22" t="str">
        <f>IF(K44="", "", 'Commercial Refrigerators'!R14)</f>
        <v/>
      </c>
      <c r="N44" s="6" t="str">
        <f>IF(K44="", "", 'Commercial Refrigerators'!K14)</f>
        <v/>
      </c>
      <c r="O44" s="83" t="str">
        <f>IF(K44="", "", 'Commercial Refrigerators'!S14)</f>
        <v/>
      </c>
      <c r="P44" s="6" t="str">
        <f t="shared" si="0"/>
        <v/>
      </c>
      <c r="Q44" s="97"/>
      <c r="R44" s="146">
        <v>8</v>
      </c>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c r="DK44" s="97"/>
      <c r="DL44" s="97"/>
      <c r="DM44" s="97"/>
      <c r="DN44" s="97"/>
      <c r="DO44" s="97"/>
      <c r="DP44" s="97"/>
      <c r="DQ44" s="97"/>
      <c r="DR44" s="97"/>
      <c r="DS44" s="97"/>
      <c r="DT44" s="97"/>
      <c r="DU44" s="97"/>
      <c r="DV44" s="97"/>
      <c r="DW44" s="97"/>
      <c r="DX44" s="97"/>
      <c r="DY44" s="97"/>
      <c r="DZ44" s="97"/>
      <c r="EA44" s="97"/>
      <c r="EB44" s="97"/>
      <c r="EC44" s="97"/>
      <c r="ED44" s="97"/>
      <c r="EE44" s="97"/>
      <c r="EF44" s="97"/>
      <c r="EG44" s="97"/>
      <c r="EH44" s="97"/>
      <c r="EI44" s="97"/>
      <c r="EJ44" s="97"/>
      <c r="EK44" s="97"/>
      <c r="EL44" s="97"/>
      <c r="EM44" s="97"/>
      <c r="EN44" s="97"/>
      <c r="EO44" s="97"/>
      <c r="EP44" s="97"/>
      <c r="EQ44" s="97"/>
      <c r="ER44" s="97"/>
      <c r="ES44" s="97"/>
      <c r="ET44" s="97"/>
      <c r="EU44" s="97"/>
      <c r="EV44" s="97"/>
      <c r="EW44" s="97"/>
      <c r="EX44" s="97"/>
      <c r="EY44" s="97"/>
      <c r="EZ44" s="97"/>
      <c r="FA44" s="97"/>
      <c r="FB44" s="97"/>
      <c r="FC44" s="97"/>
      <c r="FD44" s="97"/>
      <c r="FE44" s="97"/>
      <c r="FF44" s="97"/>
      <c r="FG44" s="97"/>
      <c r="FH44" s="97"/>
      <c r="FI44" s="97"/>
      <c r="FJ44" s="97"/>
      <c r="FK44" s="97"/>
      <c r="FL44" s="97"/>
      <c r="FM44" s="97"/>
      <c r="FN44" s="97"/>
      <c r="FO44" s="97"/>
      <c r="FP44" s="97"/>
      <c r="FQ44" s="97"/>
      <c r="FR44" s="97"/>
      <c r="FS44" s="97"/>
      <c r="FT44" s="97"/>
      <c r="FU44" s="97"/>
      <c r="FV44" s="97"/>
      <c r="FW44" s="97"/>
      <c r="FX44" s="97"/>
      <c r="FY44" s="97"/>
      <c r="FZ44" s="97"/>
      <c r="GA44" s="97"/>
      <c r="GB44" s="97"/>
      <c r="GC44" s="97"/>
      <c r="GD44" s="97"/>
      <c r="GE44" s="97"/>
      <c r="GF44" s="97"/>
      <c r="GG44" s="97"/>
      <c r="GH44" s="97"/>
      <c r="GI44" s="97"/>
      <c r="GJ44" s="97"/>
      <c r="GK44" s="97"/>
      <c r="GL44" s="97"/>
      <c r="GM44" s="97"/>
      <c r="GN44" s="97"/>
      <c r="GO44" s="97"/>
      <c r="GP44" s="97"/>
      <c r="GQ44" s="97"/>
      <c r="GR44" s="97"/>
      <c r="GS44" s="97"/>
      <c r="GT44" s="97"/>
      <c r="GU44" s="97"/>
      <c r="GV44" s="97"/>
      <c r="GW44" s="97"/>
      <c r="GX44" s="97"/>
      <c r="GY44" s="97"/>
      <c r="GZ44" s="97"/>
      <c r="HA44" s="97"/>
      <c r="HB44" s="97"/>
      <c r="HC44" s="97"/>
      <c r="HD44" s="97"/>
      <c r="HE44" s="97"/>
      <c r="HF44" s="97"/>
      <c r="HG44" s="97"/>
      <c r="HH44" s="97"/>
      <c r="HI44" s="97"/>
      <c r="HJ44" s="97"/>
      <c r="HK44" s="97"/>
      <c r="HL44" s="97"/>
      <c r="HM44" s="97"/>
      <c r="HN44" s="97"/>
      <c r="HO44" s="97"/>
      <c r="HP44" s="97"/>
      <c r="HQ44" s="97"/>
      <c r="HR44" s="97"/>
      <c r="HS44" s="97"/>
      <c r="HT44" s="97"/>
      <c r="HU44" s="97"/>
      <c r="HV44" s="97"/>
      <c r="HW44" s="97"/>
      <c r="HX44" s="97"/>
      <c r="HY44" s="97"/>
      <c r="HZ44" s="97"/>
      <c r="IA44" s="97"/>
      <c r="IB44" s="97"/>
      <c r="IC44" s="97"/>
      <c r="ID44" s="97"/>
      <c r="IE44" s="97"/>
      <c r="IF44" s="97"/>
      <c r="IG44" s="97"/>
      <c r="IH44" s="97"/>
      <c r="II44" s="97"/>
      <c r="IJ44" s="97"/>
      <c r="IK44" s="97"/>
      <c r="IL44" s="97"/>
      <c r="IM44" s="97"/>
      <c r="IN44" s="97"/>
      <c r="IO44" s="97"/>
      <c r="IP44" s="97"/>
      <c r="IQ44" s="97"/>
      <c r="IR44" s="97"/>
      <c r="IS44" s="97"/>
    </row>
    <row r="45" spans="1:253" hidden="1">
      <c r="A45" s="28"/>
      <c r="J45" s="6">
        <v>8</v>
      </c>
      <c r="K45" s="19" t="str">
        <f>'Data Export'!B9</f>
        <v/>
      </c>
      <c r="L45" s="22" t="str">
        <f>IF(K45="", "", 'Commercial Refrigerators'!Q15)</f>
        <v/>
      </c>
      <c r="M45" s="22" t="str">
        <f>IF(K45="", "", 'Commercial Refrigerators'!R15)</f>
        <v/>
      </c>
      <c r="N45" s="6" t="str">
        <f>IF(K45="", "", 'Commercial Refrigerators'!K15)</f>
        <v/>
      </c>
      <c r="O45" s="83" t="str">
        <f>IF(K45="", "", 'Commercial Refrigerators'!S15)</f>
        <v/>
      </c>
      <c r="P45" s="6" t="str">
        <f t="shared" si="0"/>
        <v/>
      </c>
      <c r="Q45" s="97"/>
      <c r="R45" s="146">
        <v>9</v>
      </c>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c r="DK45" s="97"/>
      <c r="DL45" s="97"/>
      <c r="DM45" s="97"/>
      <c r="DN45" s="97"/>
      <c r="DO45" s="97"/>
      <c r="DP45" s="97"/>
      <c r="DQ45" s="97"/>
      <c r="DR45" s="97"/>
      <c r="DS45" s="97"/>
      <c r="DT45" s="97"/>
      <c r="DU45" s="97"/>
      <c r="DV45" s="97"/>
      <c r="DW45" s="97"/>
      <c r="DX45" s="97"/>
      <c r="DY45" s="97"/>
      <c r="DZ45" s="97"/>
      <c r="EA45" s="97"/>
      <c r="EB45" s="97"/>
      <c r="EC45" s="97"/>
      <c r="ED45" s="97"/>
      <c r="EE45" s="97"/>
      <c r="EF45" s="97"/>
      <c r="EG45" s="97"/>
      <c r="EH45" s="97"/>
      <c r="EI45" s="97"/>
      <c r="EJ45" s="97"/>
      <c r="EK45" s="97"/>
      <c r="EL45" s="97"/>
      <c r="EM45" s="97"/>
      <c r="EN45" s="97"/>
      <c r="EO45" s="97"/>
      <c r="EP45" s="97"/>
      <c r="EQ45" s="97"/>
      <c r="ER45" s="97"/>
      <c r="ES45" s="97"/>
      <c r="ET45" s="97"/>
      <c r="EU45" s="97"/>
      <c r="EV45" s="97"/>
      <c r="EW45" s="97"/>
      <c r="EX45" s="97"/>
      <c r="EY45" s="97"/>
      <c r="EZ45" s="97"/>
      <c r="FA45" s="97"/>
      <c r="FB45" s="97"/>
      <c r="FC45" s="97"/>
      <c r="FD45" s="97"/>
      <c r="FE45" s="97"/>
      <c r="FF45" s="97"/>
      <c r="FG45" s="97"/>
      <c r="FH45" s="97"/>
      <c r="FI45" s="97"/>
      <c r="FJ45" s="97"/>
      <c r="FK45" s="97"/>
      <c r="FL45" s="97"/>
      <c r="FM45" s="97"/>
      <c r="FN45" s="97"/>
      <c r="FO45" s="97"/>
      <c r="FP45" s="97"/>
      <c r="FQ45" s="97"/>
      <c r="FR45" s="97"/>
      <c r="FS45" s="97"/>
      <c r="FT45" s="97"/>
      <c r="FU45" s="97"/>
      <c r="FV45" s="97"/>
      <c r="FW45" s="97"/>
      <c r="FX45" s="97"/>
      <c r="FY45" s="97"/>
      <c r="FZ45" s="97"/>
      <c r="GA45" s="97"/>
      <c r="GB45" s="97"/>
      <c r="GC45" s="97"/>
      <c r="GD45" s="97"/>
      <c r="GE45" s="97"/>
      <c r="GF45" s="97"/>
      <c r="GG45" s="97"/>
      <c r="GH45" s="97"/>
      <c r="GI45" s="97"/>
      <c r="GJ45" s="97"/>
      <c r="GK45" s="97"/>
      <c r="GL45" s="97"/>
      <c r="GM45" s="97"/>
      <c r="GN45" s="97"/>
      <c r="GO45" s="97"/>
      <c r="GP45" s="97"/>
      <c r="GQ45" s="97"/>
      <c r="GR45" s="97"/>
      <c r="GS45" s="97"/>
      <c r="GT45" s="97"/>
      <c r="GU45" s="97"/>
      <c r="GV45" s="97"/>
      <c r="GW45" s="97"/>
      <c r="GX45" s="97"/>
      <c r="GY45" s="97"/>
      <c r="GZ45" s="97"/>
      <c r="HA45" s="97"/>
      <c r="HB45" s="97"/>
      <c r="HC45" s="97"/>
      <c r="HD45" s="97"/>
      <c r="HE45" s="97"/>
      <c r="HF45" s="97"/>
      <c r="HG45" s="97"/>
      <c r="HH45" s="97"/>
      <c r="HI45" s="97"/>
      <c r="HJ45" s="97"/>
      <c r="HK45" s="97"/>
      <c r="HL45" s="97"/>
      <c r="HM45" s="97"/>
      <c r="HN45" s="97"/>
      <c r="HO45" s="97"/>
      <c r="HP45" s="97"/>
      <c r="HQ45" s="97"/>
      <c r="HR45" s="97"/>
      <c r="HS45" s="97"/>
      <c r="HT45" s="97"/>
      <c r="HU45" s="97"/>
      <c r="HV45" s="97"/>
      <c r="HW45" s="97"/>
      <c r="HX45" s="97"/>
      <c r="HY45" s="97"/>
      <c r="HZ45" s="97"/>
      <c r="IA45" s="97"/>
      <c r="IB45" s="97"/>
      <c r="IC45" s="97"/>
      <c r="ID45" s="97"/>
      <c r="IE45" s="97"/>
      <c r="IF45" s="97"/>
      <c r="IG45" s="97"/>
      <c r="IH45" s="97"/>
      <c r="II45" s="97"/>
      <c r="IJ45" s="97"/>
      <c r="IK45" s="97"/>
      <c r="IL45" s="97"/>
      <c r="IM45" s="97"/>
      <c r="IN45" s="97"/>
      <c r="IO45" s="97"/>
      <c r="IP45" s="97"/>
      <c r="IQ45" s="97"/>
      <c r="IR45" s="97"/>
      <c r="IS45" s="97"/>
    </row>
    <row r="46" spans="1:253" hidden="1">
      <c r="A46" s="28"/>
      <c r="K46" s="84" t="s">
        <v>77</v>
      </c>
      <c r="L46" s="22">
        <f>SUM(L38:L45)</f>
        <v>0</v>
      </c>
      <c r="M46" s="89">
        <f>SUM(M38:M45)</f>
        <v>0</v>
      </c>
      <c r="N46" s="6">
        <f>SUM(N38:N45)</f>
        <v>0</v>
      </c>
      <c r="O46" s="83">
        <f>SUM(O38:O45)</f>
        <v>0</v>
      </c>
      <c r="Q46" s="97"/>
      <c r="R46" s="146">
        <v>10</v>
      </c>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c r="DK46" s="97"/>
      <c r="DL46" s="97"/>
      <c r="DM46" s="97"/>
      <c r="DN46" s="97"/>
      <c r="DO46" s="97"/>
      <c r="DP46" s="97"/>
      <c r="DQ46" s="97"/>
      <c r="DR46" s="97"/>
      <c r="DS46" s="97"/>
      <c r="DT46" s="97"/>
      <c r="DU46" s="97"/>
      <c r="DV46" s="97"/>
      <c r="DW46" s="97"/>
      <c r="DX46" s="97"/>
      <c r="DY46" s="97"/>
      <c r="DZ46" s="97"/>
      <c r="EA46" s="97"/>
      <c r="EB46" s="97"/>
      <c r="EC46" s="97"/>
      <c r="ED46" s="97"/>
      <c r="EE46" s="97"/>
      <c r="EF46" s="97"/>
      <c r="EG46" s="97"/>
      <c r="EH46" s="97"/>
      <c r="EI46" s="97"/>
      <c r="EJ46" s="97"/>
      <c r="EK46" s="97"/>
      <c r="EL46" s="97"/>
      <c r="EM46" s="97"/>
      <c r="EN46" s="97"/>
      <c r="EO46" s="97"/>
      <c r="EP46" s="97"/>
      <c r="EQ46" s="97"/>
      <c r="ER46" s="97"/>
      <c r="ES46" s="97"/>
      <c r="ET46" s="97"/>
      <c r="EU46" s="97"/>
      <c r="EV46" s="97"/>
      <c r="EW46" s="97"/>
      <c r="EX46" s="97"/>
      <c r="EY46" s="97"/>
      <c r="EZ46" s="97"/>
      <c r="FA46" s="97"/>
      <c r="FB46" s="97"/>
      <c r="FC46" s="97"/>
      <c r="FD46" s="97"/>
      <c r="FE46" s="97"/>
      <c r="FF46" s="97"/>
      <c r="FG46" s="97"/>
      <c r="FH46" s="97"/>
      <c r="FI46" s="97"/>
      <c r="FJ46" s="97"/>
      <c r="FK46" s="97"/>
      <c r="FL46" s="97"/>
      <c r="FM46" s="97"/>
      <c r="FN46" s="97"/>
      <c r="FO46" s="97"/>
      <c r="FP46" s="97"/>
      <c r="FQ46" s="97"/>
      <c r="FR46" s="97"/>
      <c r="FS46" s="97"/>
      <c r="FT46" s="97"/>
      <c r="FU46" s="97"/>
      <c r="FV46" s="97"/>
      <c r="FW46" s="97"/>
      <c r="FX46" s="97"/>
      <c r="FY46" s="97"/>
      <c r="FZ46" s="97"/>
      <c r="GA46" s="97"/>
      <c r="GB46" s="97"/>
      <c r="GC46" s="97"/>
      <c r="GD46" s="97"/>
      <c r="GE46" s="97"/>
      <c r="GF46" s="97"/>
      <c r="GG46" s="97"/>
      <c r="GH46" s="97"/>
      <c r="GI46" s="97"/>
      <c r="GJ46" s="97"/>
      <c r="GK46" s="97"/>
      <c r="GL46" s="97"/>
      <c r="GM46" s="97"/>
      <c r="GN46" s="97"/>
      <c r="GO46" s="97"/>
      <c r="GP46" s="97"/>
      <c r="GQ46" s="97"/>
      <c r="GR46" s="97"/>
      <c r="GS46" s="97"/>
      <c r="GT46" s="97"/>
      <c r="GU46" s="97"/>
      <c r="GV46" s="97"/>
      <c r="GW46" s="97"/>
      <c r="GX46" s="97"/>
      <c r="GY46" s="97"/>
      <c r="GZ46" s="97"/>
      <c r="HA46" s="97"/>
      <c r="HB46" s="97"/>
      <c r="HC46" s="97"/>
      <c r="HD46" s="97"/>
      <c r="HE46" s="97"/>
      <c r="HF46" s="97"/>
      <c r="HG46" s="97"/>
      <c r="HH46" s="97"/>
      <c r="HI46" s="97"/>
      <c r="HJ46" s="97"/>
      <c r="HK46" s="97"/>
      <c r="HL46" s="97"/>
      <c r="HM46" s="97"/>
      <c r="HN46" s="97"/>
      <c r="HO46" s="97"/>
      <c r="HP46" s="97"/>
      <c r="HQ46" s="97"/>
      <c r="HR46" s="97"/>
      <c r="HS46" s="97"/>
      <c r="HT46" s="97"/>
      <c r="HU46" s="97"/>
      <c r="HV46" s="97"/>
      <c r="HW46" s="97"/>
      <c r="HX46" s="97"/>
      <c r="HY46" s="97"/>
      <c r="HZ46" s="97"/>
      <c r="IA46" s="97"/>
      <c r="IB46" s="97"/>
      <c r="IC46" s="97"/>
      <c r="ID46" s="97"/>
      <c r="IE46" s="97"/>
      <c r="IF46" s="97"/>
      <c r="IG46" s="97"/>
      <c r="IH46" s="97"/>
      <c r="II46" s="97"/>
      <c r="IJ46" s="97"/>
      <c r="IK46" s="97"/>
      <c r="IL46" s="97"/>
      <c r="IM46" s="97"/>
      <c r="IN46" s="97"/>
      <c r="IO46" s="97"/>
      <c r="IP46" s="97"/>
      <c r="IQ46" s="97"/>
      <c r="IR46" s="97"/>
      <c r="IS46" s="97"/>
    </row>
    <row r="47" spans="1:253" hidden="1">
      <c r="A47" s="28"/>
      <c r="J47" s="85" t="s">
        <v>73</v>
      </c>
      <c r="L47" s="37"/>
      <c r="M47" s="36"/>
      <c r="N47" s="34"/>
      <c r="O47" s="35"/>
      <c r="P47" s="82" t="s">
        <v>76</v>
      </c>
      <c r="Q47" s="97"/>
      <c r="R47" s="146">
        <v>11</v>
      </c>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c r="DK47" s="97"/>
      <c r="DL47" s="97"/>
      <c r="DM47" s="97"/>
      <c r="DN47" s="97"/>
      <c r="DO47" s="97"/>
      <c r="DP47" s="97"/>
      <c r="DQ47" s="97"/>
      <c r="DR47" s="97"/>
      <c r="DS47" s="97"/>
      <c r="DT47" s="97"/>
      <c r="DU47" s="97"/>
      <c r="DV47" s="97"/>
      <c r="DW47" s="97"/>
      <c r="DX47" s="97"/>
      <c r="DY47" s="97"/>
      <c r="DZ47" s="97"/>
      <c r="EA47" s="97"/>
      <c r="EB47" s="97"/>
      <c r="EC47" s="97"/>
      <c r="ED47" s="97"/>
      <c r="EE47" s="97"/>
      <c r="EF47" s="97"/>
      <c r="EG47" s="97"/>
      <c r="EH47" s="97"/>
      <c r="EI47" s="97"/>
      <c r="EJ47" s="97"/>
      <c r="EK47" s="97"/>
      <c r="EL47" s="97"/>
      <c r="EM47" s="97"/>
      <c r="EN47" s="97"/>
      <c r="EO47" s="97"/>
      <c r="EP47" s="97"/>
      <c r="EQ47" s="97"/>
      <c r="ER47" s="97"/>
      <c r="ES47" s="97"/>
      <c r="ET47" s="97"/>
      <c r="EU47" s="97"/>
      <c r="EV47" s="97"/>
      <c r="EW47" s="97"/>
      <c r="EX47" s="97"/>
      <c r="EY47" s="97"/>
      <c r="EZ47" s="97"/>
      <c r="FA47" s="97"/>
      <c r="FB47" s="97"/>
      <c r="FC47" s="97"/>
      <c r="FD47" s="97"/>
      <c r="FE47" s="97"/>
      <c r="FF47" s="97"/>
      <c r="FG47" s="97"/>
      <c r="FH47" s="97"/>
      <c r="FI47" s="97"/>
      <c r="FJ47" s="97"/>
      <c r="FK47" s="97"/>
      <c r="FL47" s="97"/>
      <c r="FM47" s="97"/>
      <c r="FN47" s="97"/>
      <c r="FO47" s="97"/>
      <c r="FP47" s="97"/>
      <c r="FQ47" s="97"/>
      <c r="FR47" s="97"/>
      <c r="FS47" s="97"/>
      <c r="FT47" s="97"/>
      <c r="FU47" s="97"/>
      <c r="FV47" s="97"/>
      <c r="FW47" s="97"/>
      <c r="FX47" s="97"/>
      <c r="FY47" s="97"/>
      <c r="FZ47" s="97"/>
      <c r="GA47" s="97"/>
      <c r="GB47" s="97"/>
      <c r="GC47" s="97"/>
      <c r="GD47" s="97"/>
      <c r="GE47" s="97"/>
      <c r="GF47" s="97"/>
      <c r="GG47" s="97"/>
      <c r="GH47" s="97"/>
      <c r="GI47" s="97"/>
      <c r="GJ47" s="97"/>
      <c r="GK47" s="97"/>
      <c r="GL47" s="97"/>
      <c r="GM47" s="97"/>
      <c r="GN47" s="97"/>
      <c r="GO47" s="97"/>
      <c r="GP47" s="97"/>
      <c r="GQ47" s="97"/>
      <c r="GR47" s="97"/>
      <c r="GS47" s="97"/>
      <c r="GT47" s="97"/>
      <c r="GU47" s="97"/>
      <c r="GV47" s="97"/>
      <c r="GW47" s="97"/>
      <c r="GX47" s="97"/>
      <c r="GY47" s="97"/>
      <c r="GZ47" s="97"/>
      <c r="HA47" s="97"/>
      <c r="HB47" s="97"/>
      <c r="HC47" s="97"/>
      <c r="HD47" s="97"/>
      <c r="HE47" s="97"/>
      <c r="HF47" s="97"/>
      <c r="HG47" s="97"/>
      <c r="HH47" s="97"/>
      <c r="HI47" s="97"/>
      <c r="HJ47" s="97"/>
      <c r="HK47" s="97"/>
      <c r="HL47" s="97"/>
      <c r="HM47" s="97"/>
      <c r="HN47" s="97"/>
      <c r="HO47" s="97"/>
      <c r="HP47" s="97"/>
      <c r="HQ47" s="97"/>
      <c r="HR47" s="97"/>
      <c r="HS47" s="97"/>
      <c r="HT47" s="97"/>
      <c r="HU47" s="97"/>
      <c r="HV47" s="97"/>
      <c r="HW47" s="97"/>
      <c r="HX47" s="97"/>
      <c r="HY47" s="97"/>
      <c r="HZ47" s="97"/>
      <c r="IA47" s="97"/>
      <c r="IB47" s="97"/>
      <c r="IC47" s="97"/>
      <c r="ID47" s="97"/>
      <c r="IE47" s="97"/>
      <c r="IF47" s="97"/>
      <c r="IG47" s="97"/>
      <c r="IH47" s="97"/>
      <c r="II47" s="97"/>
      <c r="IJ47" s="97"/>
      <c r="IK47" s="97"/>
      <c r="IL47" s="97"/>
      <c r="IM47" s="97"/>
      <c r="IN47" s="97"/>
      <c r="IO47" s="97"/>
      <c r="IP47" s="97"/>
      <c r="IQ47" s="97"/>
      <c r="IR47" s="97"/>
      <c r="IS47" s="97"/>
    </row>
    <row r="48" spans="1:253" hidden="1">
      <c r="A48" s="28"/>
      <c r="J48" s="6">
        <v>9</v>
      </c>
      <c r="K48" s="19" t="str">
        <f>'Data Export'!B10</f>
        <v/>
      </c>
      <c r="L48" s="22" t="str">
        <f>IF(K48="", "", 'Commercial Freezers'!Q8)</f>
        <v/>
      </c>
      <c r="M48" s="22" t="str">
        <f>IF(K48="", "", 'Commercial Freezers'!R8)</f>
        <v/>
      </c>
      <c r="N48" s="6" t="str">
        <f>IF(K48="", "", 'Commercial Freezers'!K8)</f>
        <v/>
      </c>
      <c r="O48" s="83" t="str">
        <f>IF(K48="", "", 'Commercial Freezers'!S8)</f>
        <v/>
      </c>
      <c r="P48" s="6" t="str">
        <f t="shared" ref="P48:P55" si="1">IF(K48="","",CONCATENATE($C$10,J48))</f>
        <v/>
      </c>
      <c r="Q48" s="97"/>
      <c r="R48" s="146">
        <v>12</v>
      </c>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c r="DK48" s="97"/>
      <c r="DL48" s="97"/>
      <c r="DM48" s="97"/>
      <c r="DN48" s="97"/>
      <c r="DO48" s="97"/>
      <c r="DP48" s="97"/>
      <c r="DQ48" s="97"/>
      <c r="DR48" s="97"/>
      <c r="DS48" s="97"/>
      <c r="DT48" s="97"/>
      <c r="DU48" s="97"/>
      <c r="DV48" s="97"/>
      <c r="DW48" s="97"/>
      <c r="DX48" s="97"/>
      <c r="DY48" s="97"/>
      <c r="DZ48" s="97"/>
      <c r="EA48" s="97"/>
      <c r="EB48" s="97"/>
      <c r="EC48" s="97"/>
      <c r="ED48" s="97"/>
      <c r="EE48" s="97"/>
      <c r="EF48" s="97"/>
      <c r="EG48" s="97"/>
      <c r="EH48" s="97"/>
      <c r="EI48" s="97"/>
      <c r="EJ48" s="97"/>
      <c r="EK48" s="97"/>
      <c r="EL48" s="97"/>
      <c r="EM48" s="97"/>
      <c r="EN48" s="97"/>
      <c r="EO48" s="97"/>
      <c r="EP48" s="97"/>
      <c r="EQ48" s="97"/>
      <c r="ER48" s="97"/>
      <c r="ES48" s="97"/>
      <c r="ET48" s="97"/>
      <c r="EU48" s="97"/>
      <c r="EV48" s="97"/>
      <c r="EW48" s="97"/>
      <c r="EX48" s="97"/>
      <c r="EY48" s="97"/>
      <c r="EZ48" s="97"/>
      <c r="FA48" s="97"/>
      <c r="FB48" s="97"/>
      <c r="FC48" s="97"/>
      <c r="FD48" s="97"/>
      <c r="FE48" s="97"/>
      <c r="FF48" s="97"/>
      <c r="FG48" s="97"/>
      <c r="FH48" s="97"/>
      <c r="FI48" s="97"/>
      <c r="FJ48" s="97"/>
      <c r="FK48" s="97"/>
      <c r="FL48" s="97"/>
      <c r="FM48" s="97"/>
      <c r="FN48" s="97"/>
      <c r="FO48" s="97"/>
      <c r="FP48" s="97"/>
      <c r="FQ48" s="97"/>
      <c r="FR48" s="97"/>
      <c r="FS48" s="97"/>
      <c r="FT48" s="97"/>
      <c r="FU48" s="97"/>
      <c r="FV48" s="97"/>
      <c r="FW48" s="97"/>
      <c r="FX48" s="97"/>
      <c r="FY48" s="97"/>
      <c r="FZ48" s="97"/>
      <c r="GA48" s="97"/>
      <c r="GB48" s="97"/>
      <c r="GC48" s="97"/>
      <c r="GD48" s="97"/>
      <c r="GE48" s="97"/>
      <c r="GF48" s="97"/>
      <c r="GG48" s="97"/>
      <c r="GH48" s="97"/>
      <c r="GI48" s="97"/>
      <c r="GJ48" s="97"/>
      <c r="GK48" s="97"/>
      <c r="GL48" s="97"/>
      <c r="GM48" s="97"/>
      <c r="GN48" s="97"/>
      <c r="GO48" s="97"/>
      <c r="GP48" s="97"/>
      <c r="GQ48" s="97"/>
      <c r="GR48" s="97"/>
      <c r="GS48" s="97"/>
      <c r="GT48" s="97"/>
      <c r="GU48" s="97"/>
      <c r="GV48" s="97"/>
      <c r="GW48" s="97"/>
      <c r="GX48" s="97"/>
      <c r="GY48" s="97"/>
      <c r="GZ48" s="97"/>
      <c r="HA48" s="97"/>
      <c r="HB48" s="97"/>
      <c r="HC48" s="97"/>
      <c r="HD48" s="97"/>
      <c r="HE48" s="97"/>
      <c r="HF48" s="97"/>
      <c r="HG48" s="97"/>
      <c r="HH48" s="97"/>
      <c r="HI48" s="97"/>
      <c r="HJ48" s="97"/>
      <c r="HK48" s="97"/>
      <c r="HL48" s="97"/>
      <c r="HM48" s="97"/>
      <c r="HN48" s="97"/>
      <c r="HO48" s="97"/>
      <c r="HP48" s="97"/>
      <c r="HQ48" s="97"/>
      <c r="HR48" s="97"/>
      <c r="HS48" s="97"/>
      <c r="HT48" s="97"/>
      <c r="HU48" s="97"/>
      <c r="HV48" s="97"/>
      <c r="HW48" s="97"/>
      <c r="HX48" s="97"/>
      <c r="HY48" s="97"/>
      <c r="HZ48" s="97"/>
      <c r="IA48" s="97"/>
      <c r="IB48" s="97"/>
      <c r="IC48" s="97"/>
      <c r="ID48" s="97"/>
      <c r="IE48" s="97"/>
      <c r="IF48" s="97"/>
      <c r="IG48" s="97"/>
      <c r="IH48" s="97"/>
      <c r="II48" s="97"/>
      <c r="IJ48" s="97"/>
      <c r="IK48" s="97"/>
      <c r="IL48" s="97"/>
      <c r="IM48" s="97"/>
      <c r="IN48" s="97"/>
      <c r="IO48" s="97"/>
      <c r="IP48" s="97"/>
      <c r="IQ48" s="97"/>
      <c r="IR48" s="97"/>
      <c r="IS48" s="97"/>
    </row>
    <row r="49" spans="1:253" hidden="1">
      <c r="A49" s="28"/>
      <c r="J49" s="6">
        <v>10</v>
      </c>
      <c r="K49" s="19" t="str">
        <f>'Data Export'!B11</f>
        <v/>
      </c>
      <c r="L49" s="22" t="str">
        <f>IF(K49="", "", 'Commercial Freezers'!Q9)</f>
        <v/>
      </c>
      <c r="M49" s="22" t="str">
        <f>IF(K49="", "", 'Commercial Freezers'!R9)</f>
        <v/>
      </c>
      <c r="N49" s="6" t="str">
        <f>IF(K49="", "", 'Commercial Freezers'!K9)</f>
        <v/>
      </c>
      <c r="O49" s="83" t="str">
        <f>IF(K49="", "", 'Commercial Freezers'!S9)</f>
        <v/>
      </c>
      <c r="P49" s="6" t="str">
        <f t="shared" si="1"/>
        <v/>
      </c>
      <c r="Q49" s="97"/>
      <c r="R49" s="146">
        <v>13</v>
      </c>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97"/>
      <c r="DL49" s="97"/>
      <c r="DM49" s="97"/>
      <c r="DN49" s="97"/>
      <c r="DO49" s="97"/>
      <c r="DP49" s="97"/>
      <c r="DQ49" s="97"/>
      <c r="DR49" s="97"/>
      <c r="DS49" s="97"/>
      <c r="DT49" s="97"/>
      <c r="DU49" s="97"/>
      <c r="DV49" s="97"/>
      <c r="DW49" s="97"/>
      <c r="DX49" s="97"/>
      <c r="DY49" s="97"/>
      <c r="DZ49" s="97"/>
      <c r="EA49" s="97"/>
      <c r="EB49" s="97"/>
      <c r="EC49" s="97"/>
      <c r="ED49" s="97"/>
      <c r="EE49" s="97"/>
      <c r="EF49" s="97"/>
      <c r="EG49" s="97"/>
      <c r="EH49" s="97"/>
      <c r="EI49" s="97"/>
      <c r="EJ49" s="97"/>
      <c r="EK49" s="97"/>
      <c r="EL49" s="97"/>
      <c r="EM49" s="97"/>
      <c r="EN49" s="97"/>
      <c r="EO49" s="97"/>
      <c r="EP49" s="97"/>
      <c r="EQ49" s="97"/>
      <c r="ER49" s="97"/>
      <c r="ES49" s="97"/>
      <c r="ET49" s="97"/>
      <c r="EU49" s="97"/>
      <c r="EV49" s="97"/>
      <c r="EW49" s="97"/>
      <c r="EX49" s="97"/>
      <c r="EY49" s="97"/>
      <c r="EZ49" s="97"/>
      <c r="FA49" s="97"/>
      <c r="FB49" s="97"/>
      <c r="FC49" s="97"/>
      <c r="FD49" s="97"/>
      <c r="FE49" s="97"/>
      <c r="FF49" s="97"/>
      <c r="FG49" s="97"/>
      <c r="FH49" s="97"/>
      <c r="FI49" s="97"/>
      <c r="FJ49" s="97"/>
      <c r="FK49" s="97"/>
      <c r="FL49" s="97"/>
      <c r="FM49" s="97"/>
      <c r="FN49" s="97"/>
      <c r="FO49" s="97"/>
      <c r="FP49" s="97"/>
      <c r="FQ49" s="97"/>
      <c r="FR49" s="97"/>
      <c r="FS49" s="97"/>
      <c r="FT49" s="97"/>
      <c r="FU49" s="97"/>
      <c r="FV49" s="97"/>
      <c r="FW49" s="97"/>
      <c r="FX49" s="97"/>
      <c r="FY49" s="97"/>
      <c r="FZ49" s="97"/>
      <c r="GA49" s="97"/>
      <c r="GB49" s="97"/>
      <c r="GC49" s="97"/>
      <c r="GD49" s="97"/>
      <c r="GE49" s="97"/>
      <c r="GF49" s="97"/>
      <c r="GG49" s="97"/>
      <c r="GH49" s="97"/>
      <c r="GI49" s="97"/>
      <c r="GJ49" s="97"/>
      <c r="GK49" s="97"/>
      <c r="GL49" s="97"/>
      <c r="GM49" s="97"/>
      <c r="GN49" s="97"/>
      <c r="GO49" s="97"/>
      <c r="GP49" s="97"/>
      <c r="GQ49" s="97"/>
      <c r="GR49" s="97"/>
      <c r="GS49" s="97"/>
      <c r="GT49" s="97"/>
      <c r="GU49" s="97"/>
      <c r="GV49" s="97"/>
      <c r="GW49" s="97"/>
      <c r="GX49" s="97"/>
      <c r="GY49" s="97"/>
      <c r="GZ49" s="97"/>
      <c r="HA49" s="97"/>
      <c r="HB49" s="97"/>
      <c r="HC49" s="97"/>
      <c r="HD49" s="97"/>
      <c r="HE49" s="97"/>
      <c r="HF49" s="97"/>
      <c r="HG49" s="97"/>
      <c r="HH49" s="97"/>
      <c r="HI49" s="97"/>
      <c r="HJ49" s="97"/>
      <c r="HK49" s="97"/>
      <c r="HL49" s="97"/>
      <c r="HM49" s="97"/>
      <c r="HN49" s="97"/>
      <c r="HO49" s="97"/>
      <c r="HP49" s="97"/>
      <c r="HQ49" s="97"/>
      <c r="HR49" s="97"/>
      <c r="HS49" s="97"/>
      <c r="HT49" s="97"/>
      <c r="HU49" s="97"/>
      <c r="HV49" s="97"/>
      <c r="HW49" s="97"/>
      <c r="HX49" s="97"/>
      <c r="HY49" s="97"/>
      <c r="HZ49" s="97"/>
      <c r="IA49" s="97"/>
      <c r="IB49" s="97"/>
      <c r="IC49" s="97"/>
      <c r="ID49" s="97"/>
      <c r="IE49" s="97"/>
      <c r="IF49" s="97"/>
      <c r="IG49" s="97"/>
      <c r="IH49" s="97"/>
      <c r="II49" s="97"/>
      <c r="IJ49" s="97"/>
      <c r="IK49" s="97"/>
      <c r="IL49" s="97"/>
      <c r="IM49" s="97"/>
      <c r="IN49" s="97"/>
      <c r="IO49" s="97"/>
      <c r="IP49" s="97"/>
      <c r="IQ49" s="97"/>
      <c r="IR49" s="97"/>
      <c r="IS49" s="97"/>
    </row>
    <row r="50" spans="1:253" hidden="1">
      <c r="A50" s="28"/>
      <c r="J50" s="6">
        <v>11</v>
      </c>
      <c r="K50" s="19" t="str">
        <f>'Data Export'!B12</f>
        <v/>
      </c>
      <c r="L50" s="22" t="str">
        <f>IF(K50="", "", 'Commercial Freezers'!Q10)</f>
        <v/>
      </c>
      <c r="M50" s="22" t="str">
        <f>IF(K50="", "", 'Commercial Freezers'!R10)</f>
        <v/>
      </c>
      <c r="N50" s="6" t="str">
        <f>IF(K50="", "", 'Commercial Freezers'!K10)</f>
        <v/>
      </c>
      <c r="O50" s="83" t="str">
        <f>IF(K50="", "", 'Commercial Freezers'!S10)</f>
        <v/>
      </c>
      <c r="P50" s="6" t="str">
        <f t="shared" si="1"/>
        <v/>
      </c>
      <c r="Q50" s="97"/>
      <c r="R50" s="146">
        <v>14</v>
      </c>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c r="DK50" s="97"/>
      <c r="DL50" s="97"/>
      <c r="DM50" s="97"/>
      <c r="DN50" s="97"/>
      <c r="DO50" s="97"/>
      <c r="DP50" s="97"/>
      <c r="DQ50" s="97"/>
      <c r="DR50" s="97"/>
      <c r="DS50" s="97"/>
      <c r="DT50" s="97"/>
      <c r="DU50" s="97"/>
      <c r="DV50" s="97"/>
      <c r="DW50" s="97"/>
      <c r="DX50" s="97"/>
      <c r="DY50" s="97"/>
      <c r="DZ50" s="97"/>
      <c r="EA50" s="97"/>
      <c r="EB50" s="97"/>
      <c r="EC50" s="97"/>
      <c r="ED50" s="97"/>
      <c r="EE50" s="97"/>
      <c r="EF50" s="97"/>
      <c r="EG50" s="97"/>
      <c r="EH50" s="97"/>
      <c r="EI50" s="97"/>
      <c r="EJ50" s="97"/>
      <c r="EK50" s="97"/>
      <c r="EL50" s="97"/>
      <c r="EM50" s="97"/>
      <c r="EN50" s="97"/>
      <c r="EO50" s="97"/>
      <c r="EP50" s="97"/>
      <c r="EQ50" s="97"/>
      <c r="ER50" s="97"/>
      <c r="ES50" s="97"/>
      <c r="ET50" s="97"/>
      <c r="EU50" s="97"/>
      <c r="EV50" s="97"/>
      <c r="EW50" s="97"/>
      <c r="EX50" s="97"/>
      <c r="EY50" s="97"/>
      <c r="EZ50" s="97"/>
      <c r="FA50" s="97"/>
      <c r="FB50" s="97"/>
      <c r="FC50" s="97"/>
      <c r="FD50" s="97"/>
      <c r="FE50" s="97"/>
      <c r="FF50" s="97"/>
      <c r="FG50" s="97"/>
      <c r="FH50" s="97"/>
      <c r="FI50" s="97"/>
      <c r="FJ50" s="97"/>
      <c r="FK50" s="97"/>
      <c r="FL50" s="97"/>
      <c r="FM50" s="97"/>
      <c r="FN50" s="97"/>
      <c r="FO50" s="97"/>
      <c r="FP50" s="97"/>
      <c r="FQ50" s="97"/>
      <c r="FR50" s="97"/>
      <c r="FS50" s="97"/>
      <c r="FT50" s="97"/>
      <c r="FU50" s="97"/>
      <c r="FV50" s="97"/>
      <c r="FW50" s="97"/>
      <c r="FX50" s="97"/>
      <c r="FY50" s="97"/>
      <c r="FZ50" s="97"/>
      <c r="GA50" s="97"/>
      <c r="GB50" s="97"/>
      <c r="GC50" s="97"/>
      <c r="GD50" s="97"/>
      <c r="GE50" s="97"/>
      <c r="GF50" s="97"/>
      <c r="GG50" s="97"/>
      <c r="GH50" s="97"/>
      <c r="GI50" s="97"/>
      <c r="GJ50" s="97"/>
      <c r="GK50" s="97"/>
      <c r="GL50" s="97"/>
      <c r="GM50" s="97"/>
      <c r="GN50" s="97"/>
      <c r="GO50" s="97"/>
      <c r="GP50" s="97"/>
      <c r="GQ50" s="97"/>
      <c r="GR50" s="97"/>
      <c r="GS50" s="97"/>
      <c r="GT50" s="97"/>
      <c r="GU50" s="97"/>
      <c r="GV50" s="97"/>
      <c r="GW50" s="97"/>
      <c r="GX50" s="97"/>
      <c r="GY50" s="97"/>
      <c r="GZ50" s="97"/>
      <c r="HA50" s="97"/>
      <c r="HB50" s="97"/>
      <c r="HC50" s="97"/>
      <c r="HD50" s="97"/>
      <c r="HE50" s="97"/>
      <c r="HF50" s="97"/>
      <c r="HG50" s="97"/>
      <c r="HH50" s="97"/>
      <c r="HI50" s="97"/>
      <c r="HJ50" s="97"/>
      <c r="HK50" s="97"/>
      <c r="HL50" s="97"/>
      <c r="HM50" s="97"/>
      <c r="HN50" s="97"/>
      <c r="HO50" s="97"/>
      <c r="HP50" s="97"/>
      <c r="HQ50" s="97"/>
      <c r="HR50" s="97"/>
      <c r="HS50" s="97"/>
      <c r="HT50" s="97"/>
      <c r="HU50" s="97"/>
      <c r="HV50" s="97"/>
      <c r="HW50" s="97"/>
      <c r="HX50" s="97"/>
      <c r="HY50" s="97"/>
      <c r="HZ50" s="97"/>
      <c r="IA50" s="97"/>
      <c r="IB50" s="97"/>
      <c r="IC50" s="97"/>
      <c r="ID50" s="97"/>
      <c r="IE50" s="97"/>
      <c r="IF50" s="97"/>
      <c r="IG50" s="97"/>
      <c r="IH50" s="97"/>
      <c r="II50" s="97"/>
      <c r="IJ50" s="97"/>
      <c r="IK50" s="97"/>
      <c r="IL50" s="97"/>
      <c r="IM50" s="97"/>
      <c r="IN50" s="97"/>
      <c r="IO50" s="97"/>
      <c r="IP50" s="97"/>
      <c r="IQ50" s="97"/>
      <c r="IR50" s="97"/>
      <c r="IS50" s="97"/>
    </row>
    <row r="51" spans="1:253" hidden="1">
      <c r="A51" s="28"/>
      <c r="J51" s="6">
        <v>12</v>
      </c>
      <c r="K51" s="19" t="str">
        <f>'Data Export'!B13</f>
        <v/>
      </c>
      <c r="L51" s="22" t="str">
        <f>IF(K51="", "", 'Commercial Freezers'!Q11)</f>
        <v/>
      </c>
      <c r="M51" s="22" t="str">
        <f>IF(K51="", "", 'Commercial Freezers'!R11)</f>
        <v/>
      </c>
      <c r="N51" s="6" t="str">
        <f>IF(K51="", "", 'Commercial Freezers'!K11)</f>
        <v/>
      </c>
      <c r="O51" s="83" t="str">
        <f>IF(K51="", "", 'Commercial Freezers'!S11)</f>
        <v/>
      </c>
      <c r="P51" s="6" t="str">
        <f t="shared" si="1"/>
        <v/>
      </c>
      <c r="Q51" s="97"/>
      <c r="R51" s="146">
        <v>15</v>
      </c>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c r="FK51" s="97"/>
      <c r="FL51" s="97"/>
      <c r="FM51" s="97"/>
      <c r="FN51" s="97"/>
      <c r="FO51" s="97"/>
      <c r="FP51" s="97"/>
      <c r="FQ51" s="97"/>
      <c r="FR51" s="97"/>
      <c r="FS51" s="97"/>
      <c r="FT51" s="97"/>
      <c r="FU51" s="97"/>
      <c r="FV51" s="97"/>
      <c r="FW51" s="97"/>
      <c r="FX51" s="97"/>
      <c r="FY51" s="97"/>
      <c r="FZ51" s="97"/>
      <c r="GA51" s="97"/>
      <c r="GB51" s="97"/>
      <c r="GC51" s="97"/>
      <c r="GD51" s="97"/>
      <c r="GE51" s="97"/>
      <c r="GF51" s="97"/>
      <c r="GG51" s="97"/>
      <c r="GH51" s="97"/>
      <c r="GI51" s="97"/>
      <c r="GJ51" s="97"/>
      <c r="GK51" s="97"/>
      <c r="GL51" s="97"/>
      <c r="GM51" s="97"/>
      <c r="GN51" s="97"/>
      <c r="GO51" s="97"/>
      <c r="GP51" s="97"/>
      <c r="GQ51" s="97"/>
      <c r="GR51" s="97"/>
      <c r="GS51" s="97"/>
      <c r="GT51" s="97"/>
      <c r="GU51" s="97"/>
      <c r="GV51" s="97"/>
      <c r="GW51" s="97"/>
      <c r="GX51" s="97"/>
      <c r="GY51" s="97"/>
      <c r="GZ51" s="97"/>
      <c r="HA51" s="97"/>
      <c r="HB51" s="97"/>
      <c r="HC51" s="97"/>
      <c r="HD51" s="97"/>
      <c r="HE51" s="97"/>
      <c r="HF51" s="97"/>
      <c r="HG51" s="97"/>
      <c r="HH51" s="97"/>
      <c r="HI51" s="97"/>
      <c r="HJ51" s="97"/>
      <c r="HK51" s="97"/>
      <c r="HL51" s="97"/>
      <c r="HM51" s="97"/>
      <c r="HN51" s="97"/>
      <c r="HO51" s="97"/>
      <c r="HP51" s="97"/>
      <c r="HQ51" s="97"/>
      <c r="HR51" s="97"/>
      <c r="HS51" s="97"/>
      <c r="HT51" s="97"/>
      <c r="HU51" s="97"/>
      <c r="HV51" s="97"/>
      <c r="HW51" s="97"/>
      <c r="HX51" s="97"/>
      <c r="HY51" s="97"/>
      <c r="HZ51" s="97"/>
      <c r="IA51" s="97"/>
      <c r="IB51" s="97"/>
      <c r="IC51" s="97"/>
      <c r="ID51" s="97"/>
      <c r="IE51" s="97"/>
      <c r="IF51" s="97"/>
      <c r="IG51" s="97"/>
      <c r="IH51" s="97"/>
      <c r="II51" s="97"/>
      <c r="IJ51" s="97"/>
      <c r="IK51" s="97"/>
      <c r="IL51" s="97"/>
      <c r="IM51" s="97"/>
      <c r="IN51" s="97"/>
      <c r="IO51" s="97"/>
      <c r="IP51" s="97"/>
      <c r="IQ51" s="97"/>
      <c r="IR51" s="97"/>
      <c r="IS51" s="97"/>
    </row>
    <row r="52" spans="1:253" hidden="1">
      <c r="A52" s="28"/>
      <c r="J52" s="6">
        <v>13</v>
      </c>
      <c r="K52" s="19" t="str">
        <f>'Data Export'!B14</f>
        <v/>
      </c>
      <c r="L52" s="22" t="str">
        <f>IF(K52="", "", 'Commercial Freezers'!Q12)</f>
        <v/>
      </c>
      <c r="M52" s="22" t="str">
        <f>IF(K52="", "", 'Commercial Freezers'!R12)</f>
        <v/>
      </c>
      <c r="N52" s="6" t="str">
        <f>IF(K52="", "", 'Commercial Freezers'!K12)</f>
        <v/>
      </c>
      <c r="O52" s="83" t="str">
        <f>IF(K52="", "", 'Commercial Freezers'!S12)</f>
        <v/>
      </c>
      <c r="P52" s="6" t="str">
        <f t="shared" si="1"/>
        <v/>
      </c>
      <c r="Q52" s="97"/>
      <c r="R52" s="146">
        <v>16</v>
      </c>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c r="DK52" s="97"/>
      <c r="DL52" s="97"/>
      <c r="DM52" s="97"/>
      <c r="DN52" s="97"/>
      <c r="DO52" s="97"/>
      <c r="DP52" s="97"/>
      <c r="DQ52" s="97"/>
      <c r="DR52" s="97"/>
      <c r="DS52" s="97"/>
      <c r="DT52" s="97"/>
      <c r="DU52" s="97"/>
      <c r="DV52" s="97"/>
      <c r="DW52" s="97"/>
      <c r="DX52" s="97"/>
      <c r="DY52" s="97"/>
      <c r="DZ52" s="97"/>
      <c r="EA52" s="97"/>
      <c r="EB52" s="97"/>
      <c r="EC52" s="97"/>
      <c r="ED52" s="97"/>
      <c r="EE52" s="97"/>
      <c r="EF52" s="97"/>
      <c r="EG52" s="97"/>
      <c r="EH52" s="97"/>
      <c r="EI52" s="97"/>
      <c r="EJ52" s="97"/>
      <c r="EK52" s="97"/>
      <c r="EL52" s="97"/>
      <c r="EM52" s="97"/>
      <c r="EN52" s="97"/>
      <c r="EO52" s="97"/>
      <c r="EP52" s="97"/>
      <c r="EQ52" s="97"/>
      <c r="ER52" s="97"/>
      <c r="ES52" s="97"/>
      <c r="ET52" s="97"/>
      <c r="EU52" s="97"/>
      <c r="EV52" s="97"/>
      <c r="EW52" s="97"/>
      <c r="EX52" s="97"/>
      <c r="EY52" s="97"/>
      <c r="EZ52" s="97"/>
      <c r="FA52" s="97"/>
      <c r="FB52" s="97"/>
      <c r="FC52" s="97"/>
      <c r="FD52" s="97"/>
      <c r="FE52" s="97"/>
      <c r="FF52" s="97"/>
      <c r="FG52" s="97"/>
      <c r="FH52" s="97"/>
      <c r="FI52" s="97"/>
      <c r="FJ52" s="97"/>
      <c r="FK52" s="97"/>
      <c r="FL52" s="97"/>
      <c r="FM52" s="97"/>
      <c r="FN52" s="97"/>
      <c r="FO52" s="97"/>
      <c r="FP52" s="97"/>
      <c r="FQ52" s="97"/>
      <c r="FR52" s="97"/>
      <c r="FS52" s="97"/>
      <c r="FT52" s="97"/>
      <c r="FU52" s="97"/>
      <c r="FV52" s="97"/>
      <c r="FW52" s="97"/>
      <c r="FX52" s="97"/>
      <c r="FY52" s="97"/>
      <c r="FZ52" s="97"/>
      <c r="GA52" s="97"/>
      <c r="GB52" s="97"/>
      <c r="GC52" s="97"/>
      <c r="GD52" s="97"/>
      <c r="GE52" s="97"/>
      <c r="GF52" s="97"/>
      <c r="GG52" s="97"/>
      <c r="GH52" s="97"/>
      <c r="GI52" s="97"/>
      <c r="GJ52" s="97"/>
      <c r="GK52" s="97"/>
      <c r="GL52" s="97"/>
      <c r="GM52" s="97"/>
      <c r="GN52" s="97"/>
      <c r="GO52" s="97"/>
      <c r="GP52" s="97"/>
      <c r="GQ52" s="97"/>
      <c r="GR52" s="97"/>
      <c r="GS52" s="97"/>
      <c r="GT52" s="97"/>
      <c r="GU52" s="97"/>
      <c r="GV52" s="97"/>
      <c r="GW52" s="97"/>
      <c r="GX52" s="97"/>
      <c r="GY52" s="97"/>
      <c r="GZ52" s="97"/>
      <c r="HA52" s="97"/>
      <c r="HB52" s="97"/>
      <c r="HC52" s="97"/>
      <c r="HD52" s="97"/>
      <c r="HE52" s="97"/>
      <c r="HF52" s="97"/>
      <c r="HG52" s="97"/>
      <c r="HH52" s="97"/>
      <c r="HI52" s="97"/>
      <c r="HJ52" s="97"/>
      <c r="HK52" s="97"/>
      <c r="HL52" s="97"/>
      <c r="HM52" s="97"/>
      <c r="HN52" s="97"/>
      <c r="HO52" s="97"/>
      <c r="HP52" s="97"/>
      <c r="HQ52" s="97"/>
      <c r="HR52" s="97"/>
      <c r="HS52" s="97"/>
      <c r="HT52" s="97"/>
      <c r="HU52" s="97"/>
      <c r="HV52" s="97"/>
      <c r="HW52" s="97"/>
      <c r="HX52" s="97"/>
      <c r="HY52" s="97"/>
      <c r="HZ52" s="97"/>
      <c r="IA52" s="97"/>
      <c r="IB52" s="97"/>
      <c r="IC52" s="97"/>
      <c r="ID52" s="97"/>
      <c r="IE52" s="97"/>
      <c r="IF52" s="97"/>
      <c r="IG52" s="97"/>
      <c r="IH52" s="97"/>
      <c r="II52" s="97"/>
      <c r="IJ52" s="97"/>
      <c r="IK52" s="97"/>
      <c r="IL52" s="97"/>
      <c r="IM52" s="97"/>
      <c r="IN52" s="97"/>
      <c r="IO52" s="97"/>
      <c r="IP52" s="97"/>
      <c r="IQ52" s="97"/>
      <c r="IR52" s="97"/>
      <c r="IS52" s="97"/>
    </row>
    <row r="53" spans="1:253" hidden="1">
      <c r="A53" s="28"/>
      <c r="J53" s="6">
        <v>14</v>
      </c>
      <c r="K53" s="19" t="str">
        <f>'Data Export'!B15</f>
        <v/>
      </c>
      <c r="L53" s="22" t="str">
        <f>IF(K53="", "", 'Commercial Freezers'!Q13)</f>
        <v/>
      </c>
      <c r="M53" s="22" t="str">
        <f>IF(K53="", "", 'Commercial Freezers'!R13)</f>
        <v/>
      </c>
      <c r="N53" s="6" t="str">
        <f>IF(K53="", "", 'Commercial Freezers'!K13)</f>
        <v/>
      </c>
      <c r="O53" s="83" t="str">
        <f>IF(K53="", "", 'Commercial Freezers'!S13)</f>
        <v/>
      </c>
      <c r="P53" s="6" t="str">
        <f t="shared" si="1"/>
        <v/>
      </c>
      <c r="Q53" s="97"/>
      <c r="R53" s="146">
        <v>17</v>
      </c>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97"/>
      <c r="DL53" s="97"/>
      <c r="DM53" s="97"/>
      <c r="DN53" s="97"/>
      <c r="DO53" s="97"/>
      <c r="DP53" s="97"/>
      <c r="DQ53" s="97"/>
      <c r="DR53" s="97"/>
      <c r="DS53" s="97"/>
      <c r="DT53" s="97"/>
      <c r="DU53" s="97"/>
      <c r="DV53" s="97"/>
      <c r="DW53" s="97"/>
      <c r="DX53" s="97"/>
      <c r="DY53" s="97"/>
      <c r="DZ53" s="97"/>
      <c r="EA53" s="97"/>
      <c r="EB53" s="97"/>
      <c r="EC53" s="97"/>
      <c r="ED53" s="97"/>
      <c r="EE53" s="97"/>
      <c r="EF53" s="97"/>
      <c r="EG53" s="97"/>
      <c r="EH53" s="97"/>
      <c r="EI53" s="97"/>
      <c r="EJ53" s="97"/>
      <c r="EK53" s="97"/>
      <c r="EL53" s="97"/>
      <c r="EM53" s="97"/>
      <c r="EN53" s="97"/>
      <c r="EO53" s="97"/>
      <c r="EP53" s="97"/>
      <c r="EQ53" s="97"/>
      <c r="ER53" s="97"/>
      <c r="ES53" s="97"/>
      <c r="ET53" s="97"/>
      <c r="EU53" s="97"/>
      <c r="EV53" s="97"/>
      <c r="EW53" s="97"/>
      <c r="EX53" s="97"/>
      <c r="EY53" s="97"/>
      <c r="EZ53" s="97"/>
      <c r="FA53" s="97"/>
      <c r="FB53" s="97"/>
      <c r="FC53" s="97"/>
      <c r="FD53" s="97"/>
      <c r="FE53" s="97"/>
      <c r="FF53" s="97"/>
      <c r="FG53" s="97"/>
      <c r="FH53" s="97"/>
      <c r="FI53" s="97"/>
      <c r="FJ53" s="97"/>
      <c r="FK53" s="97"/>
      <c r="FL53" s="97"/>
      <c r="FM53" s="97"/>
      <c r="FN53" s="97"/>
      <c r="FO53" s="97"/>
      <c r="FP53" s="97"/>
      <c r="FQ53" s="97"/>
      <c r="FR53" s="97"/>
      <c r="FS53" s="97"/>
      <c r="FT53" s="97"/>
      <c r="FU53" s="97"/>
      <c r="FV53" s="97"/>
      <c r="FW53" s="97"/>
      <c r="FX53" s="97"/>
      <c r="FY53" s="97"/>
      <c r="FZ53" s="97"/>
      <c r="GA53" s="97"/>
      <c r="GB53" s="97"/>
      <c r="GC53" s="97"/>
      <c r="GD53" s="97"/>
      <c r="GE53" s="97"/>
      <c r="GF53" s="97"/>
      <c r="GG53" s="97"/>
      <c r="GH53" s="97"/>
      <c r="GI53" s="97"/>
      <c r="GJ53" s="97"/>
      <c r="GK53" s="97"/>
      <c r="GL53" s="97"/>
      <c r="GM53" s="97"/>
      <c r="GN53" s="97"/>
      <c r="GO53" s="97"/>
      <c r="GP53" s="97"/>
      <c r="GQ53" s="97"/>
      <c r="GR53" s="97"/>
      <c r="GS53" s="97"/>
      <c r="GT53" s="97"/>
      <c r="GU53" s="97"/>
      <c r="GV53" s="97"/>
      <c r="GW53" s="97"/>
      <c r="GX53" s="97"/>
      <c r="GY53" s="97"/>
      <c r="GZ53" s="97"/>
      <c r="HA53" s="97"/>
      <c r="HB53" s="97"/>
      <c r="HC53" s="97"/>
      <c r="HD53" s="97"/>
      <c r="HE53" s="97"/>
      <c r="HF53" s="97"/>
      <c r="HG53" s="97"/>
      <c r="HH53" s="97"/>
      <c r="HI53" s="97"/>
      <c r="HJ53" s="97"/>
      <c r="HK53" s="97"/>
      <c r="HL53" s="97"/>
      <c r="HM53" s="97"/>
      <c r="HN53" s="97"/>
      <c r="HO53" s="97"/>
      <c r="HP53" s="97"/>
      <c r="HQ53" s="97"/>
      <c r="HR53" s="97"/>
      <c r="HS53" s="97"/>
      <c r="HT53" s="97"/>
      <c r="HU53" s="97"/>
      <c r="HV53" s="97"/>
      <c r="HW53" s="97"/>
      <c r="HX53" s="97"/>
      <c r="HY53" s="97"/>
      <c r="HZ53" s="97"/>
      <c r="IA53" s="97"/>
      <c r="IB53" s="97"/>
      <c r="IC53" s="97"/>
      <c r="ID53" s="97"/>
      <c r="IE53" s="97"/>
      <c r="IF53" s="97"/>
      <c r="IG53" s="97"/>
      <c r="IH53" s="97"/>
      <c r="II53" s="97"/>
      <c r="IJ53" s="97"/>
      <c r="IK53" s="97"/>
      <c r="IL53" s="97"/>
      <c r="IM53" s="97"/>
      <c r="IN53" s="97"/>
      <c r="IO53" s="97"/>
      <c r="IP53" s="97"/>
      <c r="IQ53" s="97"/>
      <c r="IR53" s="97"/>
      <c r="IS53" s="97"/>
    </row>
    <row r="54" spans="1:253" hidden="1">
      <c r="A54" s="28"/>
      <c r="J54" s="6">
        <v>15</v>
      </c>
      <c r="K54" s="19" t="str">
        <f>'Data Export'!B16</f>
        <v/>
      </c>
      <c r="L54" s="22" t="str">
        <f>IF(K54="", "", 'Commercial Freezers'!Q14)</f>
        <v/>
      </c>
      <c r="M54" s="22" t="str">
        <f>IF(K54="", "", 'Commercial Freezers'!R14)</f>
        <v/>
      </c>
      <c r="N54" s="6" t="str">
        <f>IF(K54="", "", 'Commercial Freezers'!K14)</f>
        <v/>
      </c>
      <c r="O54" s="83" t="str">
        <f>IF(K54="", "", 'Commercial Freezers'!S14)</f>
        <v/>
      </c>
      <c r="P54" s="6" t="str">
        <f t="shared" si="1"/>
        <v/>
      </c>
      <c r="Q54" s="97"/>
      <c r="R54" s="146">
        <v>18</v>
      </c>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c r="DK54" s="97"/>
      <c r="DL54" s="97"/>
      <c r="DM54" s="97"/>
      <c r="DN54" s="97"/>
      <c r="DO54" s="97"/>
      <c r="DP54" s="97"/>
      <c r="DQ54" s="97"/>
      <c r="DR54" s="97"/>
      <c r="DS54" s="97"/>
      <c r="DT54" s="97"/>
      <c r="DU54" s="97"/>
      <c r="DV54" s="97"/>
      <c r="DW54" s="97"/>
      <c r="DX54" s="97"/>
      <c r="DY54" s="97"/>
      <c r="DZ54" s="97"/>
      <c r="EA54" s="97"/>
      <c r="EB54" s="97"/>
      <c r="EC54" s="97"/>
      <c r="ED54" s="97"/>
      <c r="EE54" s="97"/>
      <c r="EF54" s="97"/>
      <c r="EG54" s="97"/>
      <c r="EH54" s="97"/>
      <c r="EI54" s="97"/>
      <c r="EJ54" s="97"/>
      <c r="EK54" s="97"/>
      <c r="EL54" s="97"/>
      <c r="EM54" s="97"/>
      <c r="EN54" s="97"/>
      <c r="EO54" s="97"/>
      <c r="EP54" s="97"/>
      <c r="EQ54" s="97"/>
      <c r="ER54" s="97"/>
      <c r="ES54" s="97"/>
      <c r="ET54" s="97"/>
      <c r="EU54" s="97"/>
      <c r="EV54" s="97"/>
      <c r="EW54" s="97"/>
      <c r="EX54" s="97"/>
      <c r="EY54" s="97"/>
      <c r="EZ54" s="97"/>
      <c r="FA54" s="97"/>
      <c r="FB54" s="97"/>
      <c r="FC54" s="97"/>
      <c r="FD54" s="97"/>
      <c r="FE54" s="97"/>
      <c r="FF54" s="97"/>
      <c r="FG54" s="97"/>
      <c r="FH54" s="97"/>
      <c r="FI54" s="97"/>
      <c r="FJ54" s="97"/>
      <c r="FK54" s="97"/>
      <c r="FL54" s="97"/>
      <c r="FM54" s="97"/>
      <c r="FN54" s="97"/>
      <c r="FO54" s="97"/>
      <c r="FP54" s="97"/>
      <c r="FQ54" s="97"/>
      <c r="FR54" s="97"/>
      <c r="FS54" s="97"/>
      <c r="FT54" s="97"/>
      <c r="FU54" s="97"/>
      <c r="FV54" s="97"/>
      <c r="FW54" s="97"/>
      <c r="FX54" s="97"/>
      <c r="FY54" s="97"/>
      <c r="FZ54" s="97"/>
      <c r="GA54" s="97"/>
      <c r="GB54" s="97"/>
      <c r="GC54" s="97"/>
      <c r="GD54" s="97"/>
      <c r="GE54" s="97"/>
      <c r="GF54" s="97"/>
      <c r="GG54" s="97"/>
      <c r="GH54" s="97"/>
      <c r="GI54" s="97"/>
      <c r="GJ54" s="97"/>
      <c r="GK54" s="97"/>
      <c r="GL54" s="97"/>
      <c r="GM54" s="97"/>
      <c r="GN54" s="97"/>
      <c r="GO54" s="97"/>
      <c r="GP54" s="97"/>
      <c r="GQ54" s="97"/>
      <c r="GR54" s="97"/>
      <c r="GS54" s="97"/>
      <c r="GT54" s="97"/>
      <c r="GU54" s="97"/>
      <c r="GV54" s="97"/>
      <c r="GW54" s="97"/>
      <c r="GX54" s="97"/>
      <c r="GY54" s="97"/>
      <c r="GZ54" s="97"/>
      <c r="HA54" s="97"/>
      <c r="HB54" s="97"/>
      <c r="HC54" s="97"/>
      <c r="HD54" s="97"/>
      <c r="HE54" s="97"/>
      <c r="HF54" s="97"/>
      <c r="HG54" s="97"/>
      <c r="HH54" s="97"/>
      <c r="HI54" s="97"/>
      <c r="HJ54" s="97"/>
      <c r="HK54" s="97"/>
      <c r="HL54" s="97"/>
      <c r="HM54" s="97"/>
      <c r="HN54" s="97"/>
      <c r="HO54" s="97"/>
      <c r="HP54" s="97"/>
      <c r="HQ54" s="97"/>
      <c r="HR54" s="97"/>
      <c r="HS54" s="97"/>
      <c r="HT54" s="97"/>
      <c r="HU54" s="97"/>
      <c r="HV54" s="97"/>
      <c r="HW54" s="97"/>
      <c r="HX54" s="97"/>
      <c r="HY54" s="97"/>
      <c r="HZ54" s="97"/>
      <c r="IA54" s="97"/>
      <c r="IB54" s="97"/>
      <c r="IC54" s="97"/>
      <c r="ID54" s="97"/>
      <c r="IE54" s="97"/>
      <c r="IF54" s="97"/>
      <c r="IG54" s="97"/>
      <c r="IH54" s="97"/>
      <c r="II54" s="97"/>
      <c r="IJ54" s="97"/>
      <c r="IK54" s="97"/>
      <c r="IL54" s="97"/>
      <c r="IM54" s="97"/>
      <c r="IN54" s="97"/>
      <c r="IO54" s="97"/>
      <c r="IP54" s="97"/>
      <c r="IQ54" s="97"/>
      <c r="IR54" s="97"/>
      <c r="IS54" s="97"/>
    </row>
    <row r="55" spans="1:253" hidden="1">
      <c r="A55" s="28"/>
      <c r="J55" s="6">
        <v>16</v>
      </c>
      <c r="K55" s="19" t="str">
        <f>'Data Export'!B17</f>
        <v/>
      </c>
      <c r="L55" s="22" t="str">
        <f>IF(K55="", "", 'Commercial Freezers'!Q15)</f>
        <v/>
      </c>
      <c r="M55" s="22" t="str">
        <f>IF(K55="", "", 'Commercial Freezers'!R15)</f>
        <v/>
      </c>
      <c r="N55" s="6" t="str">
        <f>IF(K55="", "", 'Commercial Freezers'!K15)</f>
        <v/>
      </c>
      <c r="O55" s="83" t="str">
        <f>IF(K55="", "", 'Commercial Freezers'!S15)</f>
        <v/>
      </c>
      <c r="P55" s="6" t="str">
        <f t="shared" si="1"/>
        <v/>
      </c>
      <c r="Q55" s="97"/>
      <c r="R55" s="146">
        <v>19</v>
      </c>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97"/>
      <c r="DL55" s="97"/>
      <c r="DM55" s="97"/>
      <c r="DN55" s="97"/>
      <c r="DO55" s="97"/>
      <c r="DP55" s="97"/>
      <c r="DQ55" s="97"/>
      <c r="DR55" s="97"/>
      <c r="DS55" s="97"/>
      <c r="DT55" s="97"/>
      <c r="DU55" s="97"/>
      <c r="DV55" s="97"/>
      <c r="DW55" s="97"/>
      <c r="DX55" s="97"/>
      <c r="DY55" s="97"/>
      <c r="DZ55" s="97"/>
      <c r="EA55" s="97"/>
      <c r="EB55" s="97"/>
      <c r="EC55" s="97"/>
      <c r="ED55" s="97"/>
      <c r="EE55" s="97"/>
      <c r="EF55" s="97"/>
      <c r="EG55" s="97"/>
      <c r="EH55" s="97"/>
      <c r="EI55" s="97"/>
      <c r="EJ55" s="97"/>
      <c r="EK55" s="97"/>
      <c r="EL55" s="97"/>
      <c r="EM55" s="97"/>
      <c r="EN55" s="97"/>
      <c r="EO55" s="97"/>
      <c r="EP55" s="97"/>
      <c r="EQ55" s="97"/>
      <c r="ER55" s="97"/>
      <c r="ES55" s="97"/>
      <c r="ET55" s="97"/>
      <c r="EU55" s="97"/>
      <c r="EV55" s="97"/>
      <c r="EW55" s="97"/>
      <c r="EX55" s="97"/>
      <c r="EY55" s="97"/>
      <c r="EZ55" s="97"/>
      <c r="FA55" s="97"/>
      <c r="FB55" s="97"/>
      <c r="FC55" s="97"/>
      <c r="FD55" s="97"/>
      <c r="FE55" s="97"/>
      <c r="FF55" s="97"/>
      <c r="FG55" s="97"/>
      <c r="FH55" s="97"/>
      <c r="FI55" s="97"/>
      <c r="FJ55" s="97"/>
      <c r="FK55" s="97"/>
      <c r="FL55" s="97"/>
      <c r="FM55" s="97"/>
      <c r="FN55" s="97"/>
      <c r="FO55" s="97"/>
      <c r="FP55" s="97"/>
      <c r="FQ55" s="97"/>
      <c r="FR55" s="97"/>
      <c r="FS55" s="97"/>
      <c r="FT55" s="97"/>
      <c r="FU55" s="97"/>
      <c r="FV55" s="97"/>
      <c r="FW55" s="97"/>
      <c r="FX55" s="97"/>
      <c r="FY55" s="97"/>
      <c r="FZ55" s="97"/>
      <c r="GA55" s="97"/>
      <c r="GB55" s="97"/>
      <c r="GC55" s="97"/>
      <c r="GD55" s="97"/>
      <c r="GE55" s="97"/>
      <c r="GF55" s="97"/>
      <c r="GG55" s="97"/>
      <c r="GH55" s="97"/>
      <c r="GI55" s="97"/>
      <c r="GJ55" s="97"/>
      <c r="GK55" s="97"/>
      <c r="GL55" s="97"/>
      <c r="GM55" s="97"/>
      <c r="GN55" s="97"/>
      <c r="GO55" s="97"/>
      <c r="GP55" s="97"/>
      <c r="GQ55" s="97"/>
      <c r="GR55" s="97"/>
      <c r="GS55" s="97"/>
      <c r="GT55" s="97"/>
      <c r="GU55" s="97"/>
      <c r="GV55" s="97"/>
      <c r="GW55" s="97"/>
      <c r="GX55" s="97"/>
      <c r="GY55" s="97"/>
      <c r="GZ55" s="97"/>
      <c r="HA55" s="97"/>
      <c r="HB55" s="97"/>
      <c r="HC55" s="97"/>
      <c r="HD55" s="97"/>
      <c r="HE55" s="97"/>
      <c r="HF55" s="97"/>
      <c r="HG55" s="97"/>
      <c r="HH55" s="97"/>
      <c r="HI55" s="97"/>
      <c r="HJ55" s="97"/>
      <c r="HK55" s="97"/>
      <c r="HL55" s="97"/>
      <c r="HM55" s="97"/>
      <c r="HN55" s="97"/>
      <c r="HO55" s="97"/>
      <c r="HP55" s="97"/>
      <c r="HQ55" s="97"/>
      <c r="HR55" s="97"/>
      <c r="HS55" s="97"/>
      <c r="HT55" s="97"/>
      <c r="HU55" s="97"/>
      <c r="HV55" s="97"/>
      <c r="HW55" s="97"/>
      <c r="HX55" s="97"/>
      <c r="HY55" s="97"/>
      <c r="HZ55" s="97"/>
      <c r="IA55" s="97"/>
      <c r="IB55" s="97"/>
      <c r="IC55" s="97"/>
      <c r="ID55" s="97"/>
      <c r="IE55" s="97"/>
      <c r="IF55" s="97"/>
      <c r="IG55" s="97"/>
      <c r="IH55" s="97"/>
      <c r="II55" s="97"/>
      <c r="IJ55" s="97"/>
      <c r="IK55" s="97"/>
      <c r="IL55" s="97"/>
      <c r="IM55" s="97"/>
      <c r="IN55" s="97"/>
      <c r="IO55" s="97"/>
      <c r="IP55" s="97"/>
      <c r="IQ55" s="97"/>
      <c r="IR55" s="97"/>
      <c r="IS55" s="97"/>
    </row>
    <row r="56" spans="1:253" hidden="1">
      <c r="A56" s="28"/>
      <c r="K56" s="84" t="s">
        <v>77</v>
      </c>
      <c r="L56" s="22">
        <f>SUM(L48:L55)</f>
        <v>0</v>
      </c>
      <c r="M56" s="90">
        <f>SUM(M48:M55)</f>
        <v>0</v>
      </c>
      <c r="N56" s="6">
        <f>SUM(N48:N55)</f>
        <v>0</v>
      </c>
      <c r="O56" s="83">
        <f>SUM(O48:O55)</f>
        <v>0</v>
      </c>
      <c r="Q56" s="97"/>
      <c r="R56" s="146">
        <v>20</v>
      </c>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c r="ED56" s="97"/>
      <c r="EE56" s="97"/>
      <c r="EF56" s="97"/>
      <c r="EG56" s="97"/>
      <c r="EH56" s="97"/>
      <c r="EI56" s="97"/>
      <c r="EJ56" s="97"/>
      <c r="EK56" s="97"/>
      <c r="EL56" s="97"/>
      <c r="EM56" s="97"/>
      <c r="EN56" s="97"/>
      <c r="EO56" s="97"/>
      <c r="EP56" s="97"/>
      <c r="EQ56" s="97"/>
      <c r="ER56" s="97"/>
      <c r="ES56" s="97"/>
      <c r="ET56" s="97"/>
      <c r="EU56" s="97"/>
      <c r="EV56" s="97"/>
      <c r="EW56" s="97"/>
      <c r="EX56" s="97"/>
      <c r="EY56" s="97"/>
      <c r="EZ56" s="97"/>
      <c r="FA56" s="97"/>
      <c r="FB56" s="97"/>
      <c r="FC56" s="97"/>
      <c r="FD56" s="97"/>
      <c r="FE56" s="97"/>
      <c r="FF56" s="97"/>
      <c r="FG56" s="97"/>
      <c r="FH56" s="97"/>
      <c r="FI56" s="97"/>
      <c r="FJ56" s="97"/>
      <c r="FK56" s="97"/>
      <c r="FL56" s="97"/>
      <c r="FM56" s="97"/>
      <c r="FN56" s="97"/>
      <c r="FO56" s="97"/>
      <c r="FP56" s="97"/>
      <c r="FQ56" s="97"/>
      <c r="FR56" s="97"/>
      <c r="FS56" s="97"/>
      <c r="FT56" s="97"/>
      <c r="FU56" s="97"/>
      <c r="FV56" s="97"/>
      <c r="FW56" s="97"/>
      <c r="FX56" s="97"/>
      <c r="FY56" s="97"/>
      <c r="FZ56" s="97"/>
      <c r="GA56" s="97"/>
      <c r="GB56" s="97"/>
      <c r="GC56" s="97"/>
      <c r="GD56" s="97"/>
      <c r="GE56" s="97"/>
      <c r="GF56" s="97"/>
      <c r="GG56" s="97"/>
      <c r="GH56" s="97"/>
      <c r="GI56" s="97"/>
      <c r="GJ56" s="97"/>
      <c r="GK56" s="97"/>
      <c r="GL56" s="97"/>
      <c r="GM56" s="97"/>
      <c r="GN56" s="97"/>
      <c r="GO56" s="97"/>
      <c r="GP56" s="97"/>
      <c r="GQ56" s="97"/>
      <c r="GR56" s="97"/>
      <c r="GS56" s="97"/>
      <c r="GT56" s="97"/>
      <c r="GU56" s="97"/>
      <c r="GV56" s="97"/>
      <c r="GW56" s="97"/>
      <c r="GX56" s="97"/>
      <c r="GY56" s="97"/>
      <c r="GZ56" s="97"/>
      <c r="HA56" s="97"/>
      <c r="HB56" s="97"/>
      <c r="HC56" s="97"/>
      <c r="HD56" s="97"/>
      <c r="HE56" s="97"/>
      <c r="HF56" s="97"/>
      <c r="HG56" s="97"/>
      <c r="HH56" s="97"/>
      <c r="HI56" s="97"/>
      <c r="HJ56" s="97"/>
      <c r="HK56" s="97"/>
      <c r="HL56" s="97"/>
      <c r="HM56" s="97"/>
      <c r="HN56" s="97"/>
      <c r="HO56" s="97"/>
      <c r="HP56" s="97"/>
      <c r="HQ56" s="97"/>
      <c r="HR56" s="97"/>
      <c r="HS56" s="97"/>
      <c r="HT56" s="97"/>
      <c r="HU56" s="97"/>
      <c r="HV56" s="97"/>
      <c r="HW56" s="97"/>
      <c r="HX56" s="97"/>
      <c r="HY56" s="97"/>
      <c r="HZ56" s="97"/>
      <c r="IA56" s="97"/>
      <c r="IB56" s="97"/>
      <c r="IC56" s="97"/>
      <c r="ID56" s="97"/>
      <c r="IE56" s="97"/>
      <c r="IF56" s="97"/>
      <c r="IG56" s="97"/>
      <c r="IH56" s="97"/>
      <c r="II56" s="97"/>
      <c r="IJ56" s="97"/>
      <c r="IK56" s="97"/>
      <c r="IL56" s="97"/>
      <c r="IM56" s="97"/>
      <c r="IN56" s="97"/>
      <c r="IO56" s="97"/>
      <c r="IP56" s="97"/>
      <c r="IQ56" s="97"/>
      <c r="IR56" s="97"/>
      <c r="IS56" s="97"/>
    </row>
    <row r="57" spans="1:253" hidden="1">
      <c r="A57" s="28"/>
      <c r="J57" s="85" t="s">
        <v>73</v>
      </c>
      <c r="L57" s="37"/>
      <c r="M57" s="36"/>
      <c r="N57" s="34"/>
      <c r="O57" s="35"/>
      <c r="P57" s="82" t="s">
        <v>76</v>
      </c>
      <c r="Q57" s="97"/>
      <c r="R57" s="146">
        <v>21</v>
      </c>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c r="IH57" s="97"/>
      <c r="II57" s="97"/>
      <c r="IJ57" s="97"/>
      <c r="IK57" s="97"/>
      <c r="IL57" s="97"/>
      <c r="IM57" s="97"/>
      <c r="IN57" s="97"/>
      <c r="IO57" s="97"/>
      <c r="IP57" s="97"/>
      <c r="IQ57" s="97"/>
      <c r="IR57" s="97"/>
      <c r="IS57" s="97"/>
    </row>
    <row r="58" spans="1:253" hidden="1">
      <c r="A58" s="28"/>
      <c r="J58" s="6">
        <v>17</v>
      </c>
      <c r="K58" s="19" t="str">
        <f>'Data Export'!B18</f>
        <v/>
      </c>
      <c r="L58" s="22" t="str">
        <f>IF(K58="", "", 'Ice Machines'!AM8)</f>
        <v/>
      </c>
      <c r="M58" s="22" t="str">
        <f>IF(K58="", "", 'Ice Machines'!AN8)</f>
        <v/>
      </c>
      <c r="N58" s="6" t="str">
        <f>IF(K58="", "", 'Ice Machines'!M8)</f>
        <v/>
      </c>
      <c r="O58" s="83" t="str">
        <f>IF(K58="", "", 'Ice Machines'!AO8)</f>
        <v/>
      </c>
      <c r="P58" s="6" t="str">
        <f t="shared" ref="P58:P65" si="2">IF(K58="","",CONCATENATE($C$10,J58))</f>
        <v/>
      </c>
      <c r="Q58" s="97"/>
      <c r="R58" s="146">
        <v>22</v>
      </c>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7"/>
      <c r="CY58" s="97"/>
      <c r="CZ58" s="97"/>
      <c r="DA58" s="97"/>
      <c r="DB58" s="97"/>
      <c r="DC58" s="97"/>
      <c r="DD58" s="97"/>
      <c r="DE58" s="97"/>
      <c r="DF58" s="97"/>
      <c r="DG58" s="97"/>
      <c r="DH58" s="97"/>
      <c r="DI58" s="97"/>
      <c r="DJ58" s="97"/>
      <c r="DK58" s="97"/>
      <c r="DL58" s="97"/>
      <c r="DM58" s="97"/>
      <c r="DN58" s="97"/>
      <c r="DO58" s="97"/>
      <c r="DP58" s="97"/>
      <c r="DQ58" s="97"/>
      <c r="DR58" s="97"/>
      <c r="DS58" s="97"/>
      <c r="DT58" s="97"/>
      <c r="DU58" s="97"/>
      <c r="DV58" s="97"/>
      <c r="DW58" s="97"/>
      <c r="DX58" s="97"/>
      <c r="DY58" s="97"/>
      <c r="DZ58" s="97"/>
      <c r="EA58" s="97"/>
      <c r="EB58" s="97"/>
      <c r="EC58" s="97"/>
      <c r="ED58" s="97"/>
      <c r="EE58" s="97"/>
      <c r="EF58" s="97"/>
      <c r="EG58" s="97"/>
      <c r="EH58" s="97"/>
      <c r="EI58" s="97"/>
      <c r="EJ58" s="97"/>
      <c r="EK58" s="97"/>
      <c r="EL58" s="97"/>
      <c r="EM58" s="97"/>
      <c r="EN58" s="97"/>
      <c r="EO58" s="97"/>
      <c r="EP58" s="97"/>
      <c r="EQ58" s="97"/>
      <c r="ER58" s="97"/>
      <c r="ES58" s="97"/>
      <c r="ET58" s="97"/>
      <c r="EU58" s="97"/>
      <c r="EV58" s="97"/>
      <c r="EW58" s="97"/>
      <c r="EX58" s="97"/>
      <c r="EY58" s="97"/>
      <c r="EZ58" s="97"/>
      <c r="FA58" s="97"/>
      <c r="FB58" s="97"/>
      <c r="FC58" s="97"/>
      <c r="FD58" s="97"/>
      <c r="FE58" s="97"/>
      <c r="FF58" s="97"/>
      <c r="FG58" s="97"/>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c r="GH58" s="97"/>
      <c r="GI58" s="97"/>
      <c r="GJ58" s="97"/>
      <c r="GK58" s="97"/>
      <c r="GL58" s="97"/>
      <c r="GM58" s="97"/>
      <c r="GN58" s="97"/>
      <c r="GO58" s="97"/>
      <c r="GP58" s="97"/>
      <c r="GQ58" s="97"/>
      <c r="GR58" s="97"/>
      <c r="GS58" s="97"/>
      <c r="GT58" s="97"/>
      <c r="GU58" s="97"/>
      <c r="GV58" s="97"/>
      <c r="GW58" s="97"/>
      <c r="GX58" s="97"/>
      <c r="GY58" s="97"/>
      <c r="GZ58" s="97"/>
      <c r="HA58" s="97"/>
      <c r="HB58" s="97"/>
      <c r="HC58" s="97"/>
      <c r="HD58" s="97"/>
      <c r="HE58" s="97"/>
      <c r="HF58" s="97"/>
      <c r="HG58" s="97"/>
      <c r="HH58" s="97"/>
      <c r="HI58" s="97"/>
      <c r="HJ58" s="97"/>
      <c r="HK58" s="97"/>
      <c r="HL58" s="97"/>
      <c r="HM58" s="97"/>
      <c r="HN58" s="97"/>
      <c r="HO58" s="97"/>
      <c r="HP58" s="97"/>
      <c r="HQ58" s="97"/>
      <c r="HR58" s="97"/>
      <c r="HS58" s="97"/>
      <c r="HT58" s="97"/>
      <c r="HU58" s="97"/>
      <c r="HV58" s="97"/>
      <c r="HW58" s="97"/>
      <c r="HX58" s="97"/>
      <c r="HY58" s="97"/>
      <c r="HZ58" s="97"/>
      <c r="IA58" s="97"/>
      <c r="IB58" s="97"/>
      <c r="IC58" s="97"/>
      <c r="ID58" s="97"/>
      <c r="IE58" s="97"/>
      <c r="IF58" s="97"/>
      <c r="IG58" s="97"/>
      <c r="IH58" s="97"/>
      <c r="II58" s="97"/>
      <c r="IJ58" s="97"/>
      <c r="IK58" s="97"/>
      <c r="IL58" s="97"/>
      <c r="IM58" s="97"/>
      <c r="IN58" s="97"/>
      <c r="IO58" s="97"/>
      <c r="IP58" s="97"/>
      <c r="IQ58" s="97"/>
      <c r="IR58" s="97"/>
      <c r="IS58" s="97"/>
    </row>
    <row r="59" spans="1:253" hidden="1">
      <c r="A59" s="28"/>
      <c r="J59" s="6">
        <v>18</v>
      </c>
      <c r="K59" s="19" t="str">
        <f>'Data Export'!B19</f>
        <v/>
      </c>
      <c r="L59" s="22" t="str">
        <f>IF(K59="", "", 'Ice Machines'!AM9)</f>
        <v/>
      </c>
      <c r="M59" s="22" t="str">
        <f>IF(K59="", "", 'Ice Machines'!AN9)</f>
        <v/>
      </c>
      <c r="N59" s="6" t="str">
        <f>IF(K59="", "", 'Ice Machines'!M9)</f>
        <v/>
      </c>
      <c r="O59" s="83" t="str">
        <f>IF(K59="", "", 'Ice Machines'!AO9)</f>
        <v/>
      </c>
      <c r="P59" s="6" t="str">
        <f t="shared" si="2"/>
        <v/>
      </c>
      <c r="Q59" s="97"/>
      <c r="R59" s="146">
        <v>23</v>
      </c>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7"/>
      <c r="BR59" s="97"/>
      <c r="BS59" s="97"/>
      <c r="BT59" s="97"/>
      <c r="BU59" s="97"/>
      <c r="BV59" s="97"/>
      <c r="BW59" s="97"/>
      <c r="BX59" s="97"/>
      <c r="BY59" s="97"/>
      <c r="BZ59" s="97"/>
      <c r="CA59" s="97"/>
      <c r="CB59" s="97"/>
      <c r="CC59" s="97"/>
      <c r="CD59" s="97"/>
      <c r="CE59" s="97"/>
      <c r="CF59" s="97"/>
      <c r="CG59" s="97"/>
      <c r="CH59" s="97"/>
      <c r="CI59" s="97"/>
      <c r="CJ59" s="97"/>
      <c r="CK59" s="97"/>
      <c r="CL59" s="97"/>
      <c r="CM59" s="97"/>
      <c r="CN59" s="97"/>
      <c r="CO59" s="97"/>
      <c r="CP59" s="97"/>
      <c r="CQ59" s="97"/>
      <c r="CR59" s="97"/>
      <c r="CS59" s="97"/>
      <c r="CT59" s="97"/>
      <c r="CU59" s="97"/>
      <c r="CV59" s="97"/>
      <c r="CW59" s="97"/>
      <c r="CX59" s="97"/>
      <c r="CY59" s="97"/>
      <c r="CZ59" s="97"/>
      <c r="DA59" s="97"/>
      <c r="DB59" s="97"/>
      <c r="DC59" s="97"/>
      <c r="DD59" s="97"/>
      <c r="DE59" s="97"/>
      <c r="DF59" s="97"/>
      <c r="DG59" s="97"/>
      <c r="DH59" s="97"/>
      <c r="DI59" s="97"/>
      <c r="DJ59" s="97"/>
      <c r="DK59" s="97"/>
      <c r="DL59" s="97"/>
      <c r="DM59" s="97"/>
      <c r="DN59" s="97"/>
      <c r="DO59" s="97"/>
      <c r="DP59" s="97"/>
      <c r="DQ59" s="97"/>
      <c r="DR59" s="97"/>
      <c r="DS59" s="97"/>
      <c r="DT59" s="97"/>
      <c r="DU59" s="97"/>
      <c r="DV59" s="97"/>
      <c r="DW59" s="97"/>
      <c r="DX59" s="97"/>
      <c r="DY59" s="97"/>
      <c r="DZ59" s="97"/>
      <c r="EA59" s="97"/>
      <c r="EB59" s="97"/>
      <c r="EC59" s="97"/>
      <c r="ED59" s="97"/>
      <c r="EE59" s="97"/>
      <c r="EF59" s="97"/>
      <c r="EG59" s="97"/>
      <c r="EH59" s="97"/>
      <c r="EI59" s="97"/>
      <c r="EJ59" s="97"/>
      <c r="EK59" s="97"/>
      <c r="EL59" s="97"/>
      <c r="EM59" s="97"/>
      <c r="EN59" s="97"/>
      <c r="EO59" s="97"/>
      <c r="EP59" s="97"/>
      <c r="EQ59" s="9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c r="GL59" s="97"/>
      <c r="GM59" s="97"/>
      <c r="GN59" s="97"/>
      <c r="GO59" s="97"/>
      <c r="GP59" s="97"/>
      <c r="GQ59" s="97"/>
      <c r="GR59" s="97"/>
      <c r="GS59" s="97"/>
      <c r="GT59" s="97"/>
      <c r="GU59" s="97"/>
      <c r="GV59" s="97"/>
      <c r="GW59" s="97"/>
      <c r="GX59" s="97"/>
      <c r="GY59" s="97"/>
      <c r="GZ59" s="97"/>
      <c r="HA59" s="97"/>
      <c r="HB59" s="97"/>
      <c r="HC59" s="97"/>
      <c r="HD59" s="97"/>
      <c r="HE59" s="97"/>
      <c r="HF59" s="97"/>
      <c r="HG59" s="97"/>
      <c r="HH59" s="97"/>
      <c r="HI59" s="97"/>
      <c r="HJ59" s="97"/>
      <c r="HK59" s="97"/>
      <c r="HL59" s="97"/>
      <c r="HM59" s="97"/>
      <c r="HN59" s="97"/>
      <c r="HO59" s="97"/>
      <c r="HP59" s="97"/>
      <c r="HQ59" s="97"/>
      <c r="HR59" s="97"/>
      <c r="HS59" s="97"/>
      <c r="HT59" s="97"/>
      <c r="HU59" s="97"/>
      <c r="HV59" s="97"/>
      <c r="HW59" s="97"/>
      <c r="HX59" s="97"/>
      <c r="HY59" s="97"/>
      <c r="HZ59" s="97"/>
      <c r="IA59" s="97"/>
      <c r="IB59" s="97"/>
      <c r="IC59" s="97"/>
      <c r="ID59" s="97"/>
      <c r="IE59" s="97"/>
      <c r="IF59" s="97"/>
      <c r="IG59" s="97"/>
      <c r="IH59" s="97"/>
      <c r="II59" s="97"/>
      <c r="IJ59" s="97"/>
      <c r="IK59" s="97"/>
      <c r="IL59" s="97"/>
      <c r="IM59" s="97"/>
      <c r="IN59" s="97"/>
      <c r="IO59" s="97"/>
      <c r="IP59" s="97"/>
      <c r="IQ59" s="97"/>
      <c r="IR59" s="97"/>
      <c r="IS59" s="97"/>
    </row>
    <row r="60" spans="1:253" hidden="1">
      <c r="A60" s="28"/>
      <c r="J60" s="6">
        <v>19</v>
      </c>
      <c r="K60" s="19" t="str">
        <f>'Data Export'!B20</f>
        <v/>
      </c>
      <c r="L60" s="22" t="str">
        <f>IF(K60="", "", 'Ice Machines'!AM10)</f>
        <v/>
      </c>
      <c r="M60" s="22" t="str">
        <f>IF(K60="", "", 'Ice Machines'!AN10)</f>
        <v/>
      </c>
      <c r="N60" s="6" t="str">
        <f>IF(K60="", "", 'Ice Machines'!M10)</f>
        <v/>
      </c>
      <c r="O60" s="83" t="str">
        <f>IF(K60="", "", 'Ice Machines'!AO10)</f>
        <v/>
      </c>
      <c r="P60" s="6" t="str">
        <f t="shared" si="2"/>
        <v/>
      </c>
      <c r="Q60" s="97"/>
      <c r="R60" s="146">
        <v>24</v>
      </c>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7"/>
      <c r="CF60" s="97"/>
      <c r="CG60" s="97"/>
      <c r="CH60" s="97"/>
      <c r="CI60" s="97"/>
      <c r="CJ60" s="97"/>
      <c r="CK60" s="97"/>
      <c r="CL60" s="97"/>
      <c r="CM60" s="97"/>
      <c r="CN60" s="97"/>
      <c r="CO60" s="97"/>
      <c r="CP60" s="97"/>
      <c r="CQ60" s="97"/>
      <c r="CR60" s="97"/>
      <c r="CS60" s="97"/>
      <c r="CT60" s="97"/>
      <c r="CU60" s="97"/>
      <c r="CV60" s="97"/>
      <c r="CW60" s="97"/>
      <c r="CX60" s="97"/>
      <c r="CY60" s="97"/>
      <c r="CZ60" s="97"/>
      <c r="DA60" s="97"/>
      <c r="DB60" s="97"/>
      <c r="DC60" s="97"/>
      <c r="DD60" s="97"/>
      <c r="DE60" s="97"/>
      <c r="DF60" s="97"/>
      <c r="DG60" s="97"/>
      <c r="DH60" s="97"/>
      <c r="DI60" s="97"/>
      <c r="DJ60" s="97"/>
      <c r="DK60" s="97"/>
      <c r="DL60" s="97"/>
      <c r="DM60" s="97"/>
      <c r="DN60" s="97"/>
      <c r="DO60" s="97"/>
      <c r="DP60" s="97"/>
      <c r="DQ60" s="97"/>
      <c r="DR60" s="97"/>
      <c r="DS60" s="97"/>
      <c r="DT60" s="97"/>
      <c r="DU60" s="97"/>
      <c r="DV60" s="97"/>
      <c r="DW60" s="97"/>
      <c r="DX60" s="97"/>
      <c r="DY60" s="97"/>
      <c r="DZ60" s="97"/>
      <c r="EA60" s="97"/>
      <c r="EB60" s="97"/>
      <c r="EC60" s="97"/>
      <c r="ED60" s="97"/>
      <c r="EE60" s="97"/>
      <c r="EF60" s="97"/>
      <c r="EG60" s="97"/>
      <c r="EH60" s="97"/>
      <c r="EI60" s="97"/>
      <c r="EJ60" s="97"/>
      <c r="EK60" s="97"/>
      <c r="EL60" s="97"/>
      <c r="EM60" s="97"/>
      <c r="EN60" s="97"/>
      <c r="EO60" s="97"/>
      <c r="EP60" s="97"/>
      <c r="EQ60" s="9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c r="GL60" s="97"/>
      <c r="GM60" s="97"/>
      <c r="GN60" s="97"/>
      <c r="GO60" s="97"/>
      <c r="GP60" s="97"/>
      <c r="GQ60" s="97"/>
      <c r="GR60" s="97"/>
      <c r="GS60" s="97"/>
      <c r="GT60" s="97"/>
      <c r="GU60" s="97"/>
      <c r="GV60" s="97"/>
      <c r="GW60" s="97"/>
      <c r="GX60" s="97"/>
      <c r="GY60" s="97"/>
      <c r="GZ60" s="97"/>
      <c r="HA60" s="97"/>
      <c r="HB60" s="97"/>
      <c r="HC60" s="97"/>
      <c r="HD60" s="97"/>
      <c r="HE60" s="97"/>
      <c r="HF60" s="97"/>
      <c r="HG60" s="97"/>
      <c r="HH60" s="97"/>
      <c r="HI60" s="97"/>
      <c r="HJ60" s="97"/>
      <c r="HK60" s="97"/>
      <c r="HL60" s="97"/>
      <c r="HM60" s="97"/>
      <c r="HN60" s="97"/>
      <c r="HO60" s="97"/>
      <c r="HP60" s="97"/>
      <c r="HQ60" s="97"/>
      <c r="HR60" s="97"/>
      <c r="HS60" s="97"/>
      <c r="HT60" s="97"/>
      <c r="HU60" s="97"/>
      <c r="HV60" s="97"/>
      <c r="HW60" s="97"/>
      <c r="HX60" s="97"/>
      <c r="HY60" s="97"/>
      <c r="HZ60" s="97"/>
      <c r="IA60" s="97"/>
      <c r="IB60" s="97"/>
      <c r="IC60" s="97"/>
      <c r="ID60" s="97"/>
      <c r="IE60" s="97"/>
      <c r="IF60" s="97"/>
      <c r="IG60" s="97"/>
      <c r="IH60" s="97"/>
      <c r="II60" s="97"/>
      <c r="IJ60" s="97"/>
      <c r="IK60" s="97"/>
      <c r="IL60" s="97"/>
      <c r="IM60" s="97"/>
      <c r="IN60" s="97"/>
      <c r="IO60" s="97"/>
      <c r="IP60" s="97"/>
      <c r="IQ60" s="97"/>
      <c r="IR60" s="97"/>
      <c r="IS60" s="97"/>
    </row>
    <row r="61" spans="1:253" hidden="1">
      <c r="A61" s="28"/>
      <c r="J61" s="6">
        <v>20</v>
      </c>
      <c r="K61" s="19" t="str">
        <f>'Data Export'!B21</f>
        <v/>
      </c>
      <c r="L61" s="22" t="str">
        <f>IF(K61="", "", 'Ice Machines'!AM11)</f>
        <v/>
      </c>
      <c r="M61" s="22" t="str">
        <f>IF(K61="", "", 'Ice Machines'!AN11)</f>
        <v/>
      </c>
      <c r="N61" s="6" t="str">
        <f>IF(K61="", "", 'Ice Machines'!M11)</f>
        <v/>
      </c>
      <c r="O61" s="83" t="str">
        <f>IF(K61="", "", 'Ice Machines'!AO11)</f>
        <v/>
      </c>
      <c r="P61" s="6" t="str">
        <f t="shared" si="2"/>
        <v/>
      </c>
      <c r="Q61" s="97"/>
      <c r="R61" s="146">
        <v>25</v>
      </c>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row>
    <row r="62" spans="1:253" hidden="1">
      <c r="A62" s="28"/>
      <c r="J62" s="6">
        <v>21</v>
      </c>
      <c r="K62" s="19" t="str">
        <f>'Data Export'!B22</f>
        <v/>
      </c>
      <c r="L62" s="22" t="str">
        <f>IF(K62="", "", 'Ice Machines'!AM12)</f>
        <v/>
      </c>
      <c r="M62" s="22" t="str">
        <f>IF(K62="", "", 'Ice Machines'!AN12)</f>
        <v/>
      </c>
      <c r="N62" s="6" t="str">
        <f>IF(K62="", "", 'Ice Machines'!M12)</f>
        <v/>
      </c>
      <c r="O62" s="83" t="str">
        <f>IF(K62="", "", 'Ice Machines'!AO12)</f>
        <v/>
      </c>
      <c r="P62" s="6" t="str">
        <f t="shared" si="2"/>
        <v/>
      </c>
      <c r="Q62" s="97"/>
      <c r="R62" s="146">
        <v>26</v>
      </c>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c r="DK62" s="97"/>
      <c r="DL62" s="97"/>
      <c r="DM62" s="97"/>
      <c r="DN62" s="97"/>
      <c r="DO62" s="97"/>
      <c r="DP62" s="97"/>
      <c r="DQ62" s="97"/>
      <c r="DR62" s="97"/>
      <c r="DS62" s="97"/>
      <c r="DT62" s="97"/>
      <c r="DU62" s="97"/>
      <c r="DV62" s="97"/>
      <c r="DW62" s="97"/>
      <c r="DX62" s="97"/>
      <c r="DY62" s="97"/>
      <c r="DZ62" s="97"/>
      <c r="EA62" s="97"/>
      <c r="EB62" s="97"/>
      <c r="EC62" s="97"/>
      <c r="ED62" s="97"/>
      <c r="EE62" s="97"/>
      <c r="EF62" s="97"/>
      <c r="EG62" s="97"/>
      <c r="EH62" s="97"/>
      <c r="EI62" s="97"/>
      <c r="EJ62" s="97"/>
      <c r="EK62" s="97"/>
      <c r="EL62" s="97"/>
      <c r="EM62" s="97"/>
      <c r="EN62" s="97"/>
      <c r="EO62" s="97"/>
      <c r="EP62" s="97"/>
      <c r="EQ62" s="97"/>
      <c r="ER62" s="97"/>
      <c r="ES62" s="97"/>
      <c r="ET62" s="97"/>
      <c r="EU62" s="97"/>
      <c r="EV62" s="97"/>
      <c r="EW62" s="97"/>
      <c r="EX62" s="97"/>
      <c r="EY62" s="97"/>
      <c r="EZ62" s="97"/>
      <c r="FA62" s="97"/>
      <c r="FB62" s="97"/>
      <c r="FC62" s="97"/>
      <c r="FD62" s="97"/>
      <c r="FE62" s="97"/>
      <c r="FF62" s="97"/>
      <c r="FG62" s="97"/>
      <c r="FH62" s="97"/>
      <c r="FI62" s="97"/>
      <c r="FJ62" s="97"/>
      <c r="FK62" s="97"/>
      <c r="FL62" s="97"/>
      <c r="FM62" s="97"/>
      <c r="FN62" s="97"/>
      <c r="FO62" s="97"/>
      <c r="FP62" s="97"/>
      <c r="FQ62" s="97"/>
      <c r="FR62" s="97"/>
      <c r="FS62" s="97"/>
      <c r="FT62" s="97"/>
      <c r="FU62" s="97"/>
      <c r="FV62" s="97"/>
      <c r="FW62" s="97"/>
      <c r="FX62" s="97"/>
      <c r="FY62" s="97"/>
      <c r="FZ62" s="97"/>
      <c r="GA62" s="97"/>
      <c r="GB62" s="97"/>
      <c r="GC62" s="97"/>
      <c r="GD62" s="97"/>
      <c r="GE62" s="97"/>
      <c r="GF62" s="97"/>
      <c r="GG62" s="97"/>
      <c r="GH62" s="97"/>
      <c r="GI62" s="97"/>
      <c r="GJ62" s="97"/>
      <c r="GK62" s="97"/>
      <c r="GL62" s="97"/>
      <c r="GM62" s="97"/>
      <c r="GN62" s="97"/>
      <c r="GO62" s="97"/>
      <c r="GP62" s="97"/>
      <c r="GQ62" s="97"/>
      <c r="GR62" s="97"/>
      <c r="GS62" s="97"/>
      <c r="GT62" s="97"/>
      <c r="GU62" s="97"/>
      <c r="GV62" s="97"/>
      <c r="GW62" s="97"/>
      <c r="GX62" s="97"/>
      <c r="GY62" s="97"/>
      <c r="GZ62" s="97"/>
      <c r="HA62" s="97"/>
      <c r="HB62" s="97"/>
      <c r="HC62" s="97"/>
      <c r="HD62" s="97"/>
      <c r="HE62" s="97"/>
      <c r="HF62" s="97"/>
      <c r="HG62" s="97"/>
      <c r="HH62" s="97"/>
      <c r="HI62" s="97"/>
      <c r="HJ62" s="97"/>
      <c r="HK62" s="97"/>
      <c r="HL62" s="97"/>
      <c r="HM62" s="97"/>
      <c r="HN62" s="97"/>
      <c r="HO62" s="97"/>
      <c r="HP62" s="97"/>
      <c r="HQ62" s="97"/>
      <c r="HR62" s="97"/>
      <c r="HS62" s="97"/>
      <c r="HT62" s="97"/>
      <c r="HU62" s="97"/>
      <c r="HV62" s="97"/>
      <c r="HW62" s="97"/>
      <c r="HX62" s="97"/>
      <c r="HY62" s="97"/>
      <c r="HZ62" s="97"/>
      <c r="IA62" s="97"/>
      <c r="IB62" s="97"/>
      <c r="IC62" s="97"/>
      <c r="ID62" s="97"/>
      <c r="IE62" s="97"/>
      <c r="IF62" s="97"/>
      <c r="IG62" s="97"/>
      <c r="IH62" s="97"/>
      <c r="II62" s="97"/>
      <c r="IJ62" s="97"/>
      <c r="IK62" s="97"/>
      <c r="IL62" s="97"/>
      <c r="IM62" s="97"/>
      <c r="IN62" s="97"/>
      <c r="IO62" s="97"/>
      <c r="IP62" s="97"/>
      <c r="IQ62" s="97"/>
      <c r="IR62" s="97"/>
      <c r="IS62" s="97"/>
    </row>
    <row r="63" spans="1:253" hidden="1">
      <c r="A63" s="28"/>
      <c r="J63" s="6">
        <v>22</v>
      </c>
      <c r="K63" s="19" t="str">
        <f>'Data Export'!B23</f>
        <v/>
      </c>
      <c r="L63" s="22" t="str">
        <f>IF(K63="", "", 'Ice Machines'!AM13)</f>
        <v/>
      </c>
      <c r="M63" s="22" t="str">
        <f>IF(K63="", "", 'Ice Machines'!AN13)</f>
        <v/>
      </c>
      <c r="N63" s="6" t="str">
        <f>IF(K63="", "", 'Ice Machines'!M13)</f>
        <v/>
      </c>
      <c r="O63" s="83" t="str">
        <f>IF(K63="", "", 'Ice Machines'!AO13)</f>
        <v/>
      </c>
      <c r="P63" s="6" t="str">
        <f t="shared" si="2"/>
        <v/>
      </c>
      <c r="Q63" s="97"/>
      <c r="R63" s="146">
        <v>27</v>
      </c>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c r="FK63" s="97"/>
      <c r="FL63" s="97"/>
      <c r="FM63" s="97"/>
      <c r="FN63" s="97"/>
      <c r="FO63" s="97"/>
      <c r="FP63" s="97"/>
      <c r="FQ63" s="97"/>
      <c r="FR63" s="97"/>
      <c r="FS63" s="97"/>
      <c r="FT63" s="97"/>
      <c r="FU63" s="97"/>
      <c r="FV63" s="97"/>
      <c r="FW63" s="97"/>
      <c r="FX63" s="97"/>
      <c r="FY63" s="97"/>
      <c r="FZ63" s="97"/>
      <c r="GA63" s="97"/>
      <c r="GB63" s="97"/>
      <c r="GC63" s="97"/>
      <c r="GD63" s="97"/>
      <c r="GE63" s="97"/>
      <c r="GF63" s="97"/>
      <c r="GG63" s="97"/>
      <c r="GH63" s="97"/>
      <c r="GI63" s="97"/>
      <c r="GJ63" s="97"/>
      <c r="GK63" s="97"/>
      <c r="GL63" s="97"/>
      <c r="GM63" s="97"/>
      <c r="GN63" s="97"/>
      <c r="GO63" s="97"/>
      <c r="GP63" s="97"/>
      <c r="GQ63" s="97"/>
      <c r="GR63" s="97"/>
      <c r="GS63" s="97"/>
      <c r="GT63" s="97"/>
      <c r="GU63" s="97"/>
      <c r="GV63" s="97"/>
      <c r="GW63" s="97"/>
      <c r="GX63" s="97"/>
      <c r="GY63" s="97"/>
      <c r="GZ63" s="97"/>
      <c r="HA63" s="97"/>
      <c r="HB63" s="97"/>
      <c r="HC63" s="97"/>
      <c r="HD63" s="97"/>
      <c r="HE63" s="97"/>
      <c r="HF63" s="97"/>
      <c r="HG63" s="97"/>
      <c r="HH63" s="97"/>
      <c r="HI63" s="97"/>
      <c r="HJ63" s="97"/>
      <c r="HK63" s="97"/>
      <c r="HL63" s="97"/>
      <c r="HM63" s="97"/>
      <c r="HN63" s="97"/>
      <c r="HO63" s="97"/>
      <c r="HP63" s="97"/>
      <c r="HQ63" s="97"/>
      <c r="HR63" s="97"/>
      <c r="HS63" s="97"/>
      <c r="HT63" s="97"/>
      <c r="HU63" s="97"/>
      <c r="HV63" s="97"/>
      <c r="HW63" s="97"/>
      <c r="HX63" s="97"/>
      <c r="HY63" s="97"/>
      <c r="HZ63" s="97"/>
      <c r="IA63" s="97"/>
      <c r="IB63" s="97"/>
      <c r="IC63" s="97"/>
      <c r="ID63" s="97"/>
      <c r="IE63" s="97"/>
      <c r="IF63" s="97"/>
      <c r="IG63" s="97"/>
      <c r="IH63" s="97"/>
      <c r="II63" s="97"/>
      <c r="IJ63" s="97"/>
      <c r="IK63" s="97"/>
      <c r="IL63" s="97"/>
      <c r="IM63" s="97"/>
      <c r="IN63" s="97"/>
      <c r="IO63" s="97"/>
      <c r="IP63" s="97"/>
      <c r="IQ63" s="97"/>
      <c r="IR63" s="97"/>
      <c r="IS63" s="97"/>
    </row>
    <row r="64" spans="1:253" hidden="1">
      <c r="A64" s="28"/>
      <c r="J64" s="6">
        <v>23</v>
      </c>
      <c r="K64" s="19" t="str">
        <f>'Data Export'!B24</f>
        <v/>
      </c>
      <c r="L64" s="22" t="str">
        <f>IF(K64="", "", 'Ice Machines'!AM14)</f>
        <v/>
      </c>
      <c r="M64" s="22" t="str">
        <f>IF(K64="", "", 'Ice Machines'!AN14)</f>
        <v/>
      </c>
      <c r="N64" s="6" t="str">
        <f>IF(K64="", "", 'Ice Machines'!M14)</f>
        <v/>
      </c>
      <c r="O64" s="83" t="str">
        <f>IF(K64="", "", 'Ice Machines'!AO14)</f>
        <v/>
      </c>
      <c r="P64" s="6" t="str">
        <f t="shared" si="2"/>
        <v/>
      </c>
      <c r="Q64" s="97"/>
      <c r="R64" s="146">
        <v>28</v>
      </c>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c r="DM64" s="97"/>
      <c r="DN64" s="97"/>
      <c r="DO64" s="97"/>
      <c r="DP64" s="97"/>
      <c r="DQ64" s="97"/>
      <c r="DR64" s="97"/>
      <c r="DS64" s="97"/>
      <c r="DT64" s="97"/>
      <c r="DU64" s="97"/>
      <c r="DV64" s="97"/>
      <c r="DW64" s="97"/>
      <c r="DX64" s="97"/>
      <c r="DY64" s="97"/>
      <c r="DZ64" s="97"/>
      <c r="EA64" s="97"/>
      <c r="EB64" s="97"/>
      <c r="EC64" s="97"/>
      <c r="ED64" s="97"/>
      <c r="EE64" s="97"/>
      <c r="EF64" s="97"/>
      <c r="EG64" s="97"/>
      <c r="EH64" s="97"/>
      <c r="EI64" s="97"/>
      <c r="EJ64" s="97"/>
      <c r="EK64" s="97"/>
      <c r="EL64" s="97"/>
      <c r="EM64" s="97"/>
      <c r="EN64" s="97"/>
      <c r="EO64" s="97"/>
      <c r="EP64" s="97"/>
      <c r="EQ64" s="97"/>
      <c r="ER64" s="97"/>
      <c r="ES64" s="97"/>
      <c r="ET64" s="97"/>
      <c r="EU64" s="97"/>
      <c r="EV64" s="97"/>
      <c r="EW64" s="97"/>
      <c r="EX64" s="97"/>
      <c r="EY64" s="97"/>
      <c r="EZ64" s="97"/>
      <c r="FA64" s="97"/>
      <c r="FB64" s="97"/>
      <c r="FC64" s="97"/>
      <c r="FD64" s="97"/>
      <c r="FE64" s="97"/>
      <c r="FF64" s="97"/>
      <c r="FG64" s="97"/>
      <c r="FH64" s="97"/>
      <c r="FI64" s="97"/>
      <c r="FJ64" s="97"/>
      <c r="FK64" s="97"/>
      <c r="FL64" s="97"/>
      <c r="FM64" s="97"/>
      <c r="FN64" s="97"/>
      <c r="FO64" s="97"/>
      <c r="FP64" s="97"/>
      <c r="FQ64" s="97"/>
      <c r="FR64" s="97"/>
      <c r="FS64" s="97"/>
      <c r="FT64" s="97"/>
      <c r="FU64" s="97"/>
      <c r="FV64" s="97"/>
      <c r="FW64" s="97"/>
      <c r="FX64" s="97"/>
      <c r="FY64" s="97"/>
      <c r="FZ64" s="97"/>
      <c r="GA64" s="97"/>
      <c r="GB64" s="97"/>
      <c r="GC64" s="97"/>
      <c r="GD64" s="97"/>
      <c r="GE64" s="97"/>
      <c r="GF64" s="97"/>
      <c r="GG64" s="97"/>
      <c r="GH64" s="97"/>
      <c r="GI64" s="97"/>
      <c r="GJ64" s="97"/>
      <c r="GK64" s="97"/>
      <c r="GL64" s="97"/>
      <c r="GM64" s="97"/>
      <c r="GN64" s="97"/>
      <c r="GO64" s="97"/>
      <c r="GP64" s="97"/>
      <c r="GQ64" s="97"/>
      <c r="GR64" s="97"/>
      <c r="GS64" s="97"/>
      <c r="GT64" s="97"/>
      <c r="GU64" s="97"/>
      <c r="GV64" s="97"/>
      <c r="GW64" s="97"/>
      <c r="GX64" s="97"/>
      <c r="GY64" s="97"/>
      <c r="GZ64" s="97"/>
      <c r="HA64" s="97"/>
      <c r="HB64" s="97"/>
      <c r="HC64" s="97"/>
      <c r="HD64" s="97"/>
      <c r="HE64" s="97"/>
      <c r="HF64" s="97"/>
      <c r="HG64" s="97"/>
      <c r="HH64" s="97"/>
      <c r="HI64" s="97"/>
      <c r="HJ64" s="97"/>
      <c r="HK64" s="97"/>
      <c r="HL64" s="97"/>
      <c r="HM64" s="97"/>
      <c r="HN64" s="97"/>
      <c r="HO64" s="97"/>
      <c r="HP64" s="97"/>
      <c r="HQ64" s="97"/>
      <c r="HR64" s="97"/>
      <c r="HS64" s="97"/>
      <c r="HT64" s="97"/>
      <c r="HU64" s="97"/>
      <c r="HV64" s="97"/>
      <c r="HW64" s="97"/>
      <c r="HX64" s="97"/>
      <c r="HY64" s="97"/>
      <c r="HZ64" s="97"/>
      <c r="IA64" s="97"/>
      <c r="IB64" s="97"/>
      <c r="IC64" s="97"/>
      <c r="ID64" s="97"/>
      <c r="IE64" s="97"/>
      <c r="IF64" s="97"/>
      <c r="IG64" s="97"/>
      <c r="IH64" s="97"/>
      <c r="II64" s="97"/>
      <c r="IJ64" s="97"/>
      <c r="IK64" s="97"/>
      <c r="IL64" s="97"/>
      <c r="IM64" s="97"/>
      <c r="IN64" s="97"/>
      <c r="IO64" s="97"/>
      <c r="IP64" s="97"/>
      <c r="IQ64" s="97"/>
      <c r="IR64" s="97"/>
      <c r="IS64" s="97"/>
    </row>
    <row r="65" spans="1:253" hidden="1">
      <c r="A65" s="28"/>
      <c r="J65" s="6">
        <v>24</v>
      </c>
      <c r="K65" s="19" t="str">
        <f>'Data Export'!B25</f>
        <v/>
      </c>
      <c r="L65" s="22" t="str">
        <f>IF(K65="", "", 'Ice Machines'!AM15)</f>
        <v/>
      </c>
      <c r="M65" s="22" t="str">
        <f>IF(K65="", "", 'Ice Machines'!AN15)</f>
        <v/>
      </c>
      <c r="N65" s="6" t="str">
        <f>IF(K65="", "", 'Ice Machines'!M15)</f>
        <v/>
      </c>
      <c r="O65" s="83" t="str">
        <f>IF(K65="", "", 'Ice Machines'!AO15)</f>
        <v/>
      </c>
      <c r="P65" s="6" t="str">
        <f t="shared" si="2"/>
        <v/>
      </c>
      <c r="Q65" s="97"/>
      <c r="R65" s="146">
        <v>29</v>
      </c>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c r="FK65" s="97"/>
      <c r="FL65" s="97"/>
      <c r="FM65" s="97"/>
      <c r="FN65" s="97"/>
      <c r="FO65" s="97"/>
      <c r="FP65" s="97"/>
      <c r="FQ65" s="97"/>
      <c r="FR65" s="97"/>
      <c r="FS65" s="97"/>
      <c r="FT65" s="97"/>
      <c r="FU65" s="97"/>
      <c r="FV65" s="97"/>
      <c r="FW65" s="97"/>
      <c r="FX65" s="97"/>
      <c r="FY65" s="97"/>
      <c r="FZ65" s="97"/>
      <c r="GA65" s="97"/>
      <c r="GB65" s="97"/>
      <c r="GC65" s="97"/>
      <c r="GD65" s="97"/>
      <c r="GE65" s="97"/>
      <c r="GF65" s="97"/>
      <c r="GG65" s="97"/>
      <c r="GH65" s="97"/>
      <c r="GI65" s="97"/>
      <c r="GJ65" s="97"/>
      <c r="GK65" s="97"/>
      <c r="GL65" s="97"/>
      <c r="GM65" s="97"/>
      <c r="GN65" s="97"/>
      <c r="GO65" s="97"/>
      <c r="GP65" s="97"/>
      <c r="GQ65" s="97"/>
      <c r="GR65" s="97"/>
      <c r="GS65" s="97"/>
      <c r="GT65" s="97"/>
      <c r="GU65" s="97"/>
      <c r="GV65" s="97"/>
      <c r="GW65" s="97"/>
      <c r="GX65" s="97"/>
      <c r="GY65" s="97"/>
      <c r="GZ65" s="97"/>
      <c r="HA65" s="97"/>
      <c r="HB65" s="97"/>
      <c r="HC65" s="97"/>
      <c r="HD65" s="97"/>
      <c r="HE65" s="97"/>
      <c r="HF65" s="97"/>
      <c r="HG65" s="97"/>
      <c r="HH65" s="97"/>
      <c r="HI65" s="97"/>
      <c r="HJ65" s="97"/>
      <c r="HK65" s="97"/>
      <c r="HL65" s="97"/>
      <c r="HM65" s="97"/>
      <c r="HN65" s="97"/>
      <c r="HO65" s="97"/>
      <c r="HP65" s="97"/>
      <c r="HQ65" s="97"/>
      <c r="HR65" s="97"/>
      <c r="HS65" s="97"/>
      <c r="HT65" s="97"/>
      <c r="HU65" s="97"/>
      <c r="HV65" s="97"/>
      <c r="HW65" s="97"/>
      <c r="HX65" s="97"/>
      <c r="HY65" s="97"/>
      <c r="HZ65" s="97"/>
      <c r="IA65" s="97"/>
      <c r="IB65" s="97"/>
      <c r="IC65" s="97"/>
      <c r="ID65" s="97"/>
      <c r="IE65" s="97"/>
      <c r="IF65" s="97"/>
      <c r="IG65" s="97"/>
      <c r="IH65" s="97"/>
      <c r="II65" s="97"/>
      <c r="IJ65" s="97"/>
      <c r="IK65" s="97"/>
      <c r="IL65" s="97"/>
      <c r="IM65" s="97"/>
      <c r="IN65" s="97"/>
      <c r="IO65" s="97"/>
      <c r="IP65" s="97"/>
      <c r="IQ65" s="97"/>
      <c r="IR65" s="97"/>
      <c r="IS65" s="97"/>
    </row>
    <row r="66" spans="1:253" hidden="1">
      <c r="A66" s="28"/>
      <c r="K66" s="84" t="s">
        <v>77</v>
      </c>
      <c r="L66" s="22">
        <f>SUM(L58:L65)</f>
        <v>0</v>
      </c>
      <c r="M66" s="90">
        <f>SUM(M58:M65)</f>
        <v>0</v>
      </c>
      <c r="N66" s="6">
        <f>SUM(N58:N65)</f>
        <v>0</v>
      </c>
      <c r="O66" s="83">
        <f>SUM(O58:O65)</f>
        <v>0</v>
      </c>
      <c r="Q66" s="97"/>
      <c r="R66" s="146">
        <v>30</v>
      </c>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c r="DM66" s="97"/>
      <c r="DN66" s="97"/>
      <c r="DO66" s="97"/>
      <c r="DP66" s="97"/>
      <c r="DQ66" s="97"/>
      <c r="DR66" s="97"/>
      <c r="DS66" s="97"/>
      <c r="DT66" s="97"/>
      <c r="DU66" s="97"/>
      <c r="DV66" s="97"/>
      <c r="DW66" s="97"/>
      <c r="DX66" s="97"/>
      <c r="DY66" s="97"/>
      <c r="DZ66" s="97"/>
      <c r="EA66" s="97"/>
      <c r="EB66" s="97"/>
      <c r="EC66" s="97"/>
      <c r="ED66" s="97"/>
      <c r="EE66" s="97"/>
      <c r="EF66" s="97"/>
      <c r="EG66" s="97"/>
      <c r="EH66" s="97"/>
      <c r="EI66" s="97"/>
      <c r="EJ66" s="97"/>
      <c r="EK66" s="97"/>
      <c r="EL66" s="97"/>
      <c r="EM66" s="97"/>
      <c r="EN66" s="97"/>
      <c r="EO66" s="97"/>
      <c r="EP66" s="97"/>
      <c r="EQ66" s="97"/>
      <c r="ER66" s="97"/>
      <c r="ES66" s="97"/>
      <c r="ET66" s="97"/>
      <c r="EU66" s="97"/>
      <c r="EV66" s="97"/>
      <c r="EW66" s="97"/>
      <c r="EX66" s="97"/>
      <c r="EY66" s="97"/>
      <c r="EZ66" s="97"/>
      <c r="FA66" s="97"/>
      <c r="FB66" s="97"/>
      <c r="FC66" s="97"/>
      <c r="FD66" s="97"/>
      <c r="FE66" s="97"/>
      <c r="FF66" s="97"/>
      <c r="FG66" s="97"/>
      <c r="FH66" s="97"/>
      <c r="FI66" s="97"/>
      <c r="FJ66" s="97"/>
      <c r="FK66" s="97"/>
      <c r="FL66" s="97"/>
      <c r="FM66" s="97"/>
      <c r="FN66" s="97"/>
      <c r="FO66" s="97"/>
      <c r="FP66" s="97"/>
      <c r="FQ66" s="97"/>
      <c r="FR66" s="97"/>
      <c r="FS66" s="97"/>
      <c r="FT66" s="97"/>
      <c r="FU66" s="97"/>
      <c r="FV66" s="97"/>
      <c r="FW66" s="97"/>
      <c r="FX66" s="97"/>
      <c r="FY66" s="97"/>
      <c r="FZ66" s="97"/>
      <c r="GA66" s="97"/>
      <c r="GB66" s="97"/>
      <c r="GC66" s="97"/>
      <c r="GD66" s="97"/>
      <c r="GE66" s="97"/>
      <c r="GF66" s="97"/>
      <c r="GG66" s="97"/>
      <c r="GH66" s="97"/>
      <c r="GI66" s="97"/>
      <c r="GJ66" s="97"/>
      <c r="GK66" s="97"/>
      <c r="GL66" s="97"/>
      <c r="GM66" s="97"/>
      <c r="GN66" s="97"/>
      <c r="GO66" s="97"/>
      <c r="GP66" s="97"/>
      <c r="GQ66" s="97"/>
      <c r="GR66" s="97"/>
      <c r="GS66" s="97"/>
      <c r="GT66" s="97"/>
      <c r="GU66" s="97"/>
      <c r="GV66" s="97"/>
      <c r="GW66" s="97"/>
      <c r="GX66" s="97"/>
      <c r="GY66" s="97"/>
      <c r="GZ66" s="97"/>
      <c r="HA66" s="97"/>
      <c r="HB66" s="97"/>
      <c r="HC66" s="97"/>
      <c r="HD66" s="97"/>
      <c r="HE66" s="97"/>
      <c r="HF66" s="97"/>
      <c r="HG66" s="97"/>
      <c r="HH66" s="97"/>
      <c r="HI66" s="97"/>
      <c r="HJ66" s="97"/>
      <c r="HK66" s="97"/>
      <c r="HL66" s="97"/>
      <c r="HM66" s="97"/>
      <c r="HN66" s="97"/>
      <c r="HO66" s="97"/>
      <c r="HP66" s="97"/>
      <c r="HQ66" s="97"/>
      <c r="HR66" s="97"/>
      <c r="HS66" s="97"/>
      <c r="HT66" s="97"/>
      <c r="HU66" s="97"/>
      <c r="HV66" s="97"/>
      <c r="HW66" s="97"/>
      <c r="HX66" s="97"/>
      <c r="HY66" s="97"/>
      <c r="HZ66" s="97"/>
      <c r="IA66" s="97"/>
      <c r="IB66" s="97"/>
      <c r="IC66" s="97"/>
      <c r="ID66" s="97"/>
      <c r="IE66" s="97"/>
      <c r="IF66" s="97"/>
      <c r="IG66" s="97"/>
      <c r="IH66" s="97"/>
      <c r="II66" s="97"/>
      <c r="IJ66" s="97"/>
      <c r="IK66" s="97"/>
      <c r="IL66" s="97"/>
      <c r="IM66" s="97"/>
      <c r="IN66" s="97"/>
      <c r="IO66" s="97"/>
      <c r="IP66" s="97"/>
      <c r="IQ66" s="97"/>
      <c r="IR66" s="97"/>
      <c r="IS66" s="97"/>
    </row>
    <row r="67" spans="1:253" hidden="1">
      <c r="A67" s="28"/>
      <c r="J67" s="86" t="s">
        <v>73</v>
      </c>
      <c r="L67" s="37"/>
      <c r="M67" s="36"/>
      <c r="N67" s="34"/>
      <c r="O67" s="35"/>
      <c r="P67" s="82" t="s">
        <v>76</v>
      </c>
      <c r="Q67" s="97"/>
      <c r="R67" s="146">
        <v>31</v>
      </c>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c r="FK67" s="97"/>
      <c r="FL67" s="97"/>
      <c r="FM67" s="97"/>
      <c r="FN67" s="97"/>
      <c r="FO67" s="97"/>
      <c r="FP67" s="97"/>
      <c r="FQ67" s="97"/>
      <c r="FR67" s="97"/>
      <c r="FS67" s="97"/>
      <c r="FT67" s="97"/>
      <c r="FU67" s="97"/>
      <c r="FV67" s="97"/>
      <c r="FW67" s="97"/>
      <c r="FX67" s="97"/>
      <c r="FY67" s="97"/>
      <c r="FZ67" s="97"/>
      <c r="GA67" s="97"/>
      <c r="GB67" s="97"/>
      <c r="GC67" s="97"/>
      <c r="GD67" s="97"/>
      <c r="GE67" s="97"/>
      <c r="GF67" s="97"/>
      <c r="GG67" s="97"/>
      <c r="GH67" s="97"/>
      <c r="GI67" s="97"/>
      <c r="GJ67" s="97"/>
      <c r="GK67" s="97"/>
      <c r="GL67" s="97"/>
      <c r="GM67" s="97"/>
      <c r="GN67" s="97"/>
      <c r="GO67" s="97"/>
      <c r="GP67" s="97"/>
      <c r="GQ67" s="97"/>
      <c r="GR67" s="97"/>
      <c r="GS67" s="97"/>
      <c r="GT67" s="97"/>
      <c r="GU67" s="97"/>
      <c r="GV67" s="97"/>
      <c r="GW67" s="97"/>
      <c r="GX67" s="97"/>
      <c r="GY67" s="97"/>
      <c r="GZ67" s="97"/>
      <c r="HA67" s="97"/>
      <c r="HB67" s="97"/>
      <c r="HC67" s="97"/>
      <c r="HD67" s="97"/>
      <c r="HE67" s="97"/>
      <c r="HF67" s="97"/>
      <c r="HG67" s="97"/>
      <c r="HH67" s="97"/>
      <c r="HI67" s="97"/>
      <c r="HJ67" s="97"/>
      <c r="HK67" s="97"/>
      <c r="HL67" s="97"/>
      <c r="HM67" s="97"/>
      <c r="HN67" s="97"/>
      <c r="HO67" s="97"/>
      <c r="HP67" s="97"/>
      <c r="HQ67" s="97"/>
      <c r="HR67" s="97"/>
      <c r="HS67" s="97"/>
      <c r="HT67" s="97"/>
      <c r="HU67" s="97"/>
      <c r="HV67" s="97"/>
      <c r="HW67" s="97"/>
      <c r="HX67" s="97"/>
      <c r="HY67" s="97"/>
      <c r="HZ67" s="97"/>
      <c r="IA67" s="97"/>
      <c r="IB67" s="97"/>
      <c r="IC67" s="97"/>
      <c r="ID67" s="97"/>
      <c r="IE67" s="97"/>
      <c r="IF67" s="97"/>
      <c r="IG67" s="97"/>
      <c r="IH67" s="97"/>
      <c r="II67" s="97"/>
      <c r="IJ67" s="97"/>
      <c r="IK67" s="97"/>
      <c r="IL67" s="97"/>
      <c r="IM67" s="97"/>
      <c r="IN67" s="97"/>
      <c r="IO67" s="97"/>
      <c r="IP67" s="97"/>
      <c r="IQ67" s="97"/>
      <c r="IR67" s="97"/>
      <c r="IS67" s="97"/>
    </row>
    <row r="68" spans="1:253" hidden="1">
      <c r="A68" s="28"/>
      <c r="J68" s="6">
        <v>25</v>
      </c>
      <c r="K68" s="19" t="str">
        <f>'Data Export'!B26</f>
        <v/>
      </c>
      <c r="L68" s="22" t="str">
        <f>IF(K68="", "", 'Night Covers'!M8)</f>
        <v/>
      </c>
      <c r="M68" s="22" t="str">
        <f>IF(K68="", "", 'Night Covers'!N8)</f>
        <v/>
      </c>
      <c r="N68" s="6" t="str">
        <f>IF(K68="", "", IF('Night Covers'!I8="", "", 1))</f>
        <v/>
      </c>
      <c r="O68" s="83" t="str">
        <f>IF(K68="", "", 'Night Covers'!O8)</f>
        <v/>
      </c>
      <c r="P68" s="6" t="str">
        <f>IF(K68="","",CONCATENATE($C$10,J68))</f>
        <v/>
      </c>
      <c r="Q68" s="97"/>
      <c r="R68" s="146">
        <v>32</v>
      </c>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c r="FK68" s="97"/>
      <c r="FL68" s="97"/>
      <c r="FM68" s="97"/>
      <c r="FN68" s="97"/>
      <c r="FO68" s="97"/>
      <c r="FP68" s="97"/>
      <c r="FQ68" s="97"/>
      <c r="FR68" s="97"/>
      <c r="FS68" s="97"/>
      <c r="FT68" s="97"/>
      <c r="FU68" s="97"/>
      <c r="FV68" s="97"/>
      <c r="FW68" s="97"/>
      <c r="FX68" s="97"/>
      <c r="FY68" s="97"/>
      <c r="FZ68" s="97"/>
      <c r="GA68" s="97"/>
      <c r="GB68" s="97"/>
      <c r="GC68" s="97"/>
      <c r="GD68" s="97"/>
      <c r="GE68" s="97"/>
      <c r="GF68" s="97"/>
      <c r="GG68" s="97"/>
      <c r="GH68" s="97"/>
      <c r="GI68" s="97"/>
      <c r="GJ68" s="97"/>
      <c r="GK68" s="97"/>
      <c r="GL68" s="97"/>
      <c r="GM68" s="97"/>
      <c r="GN68" s="97"/>
      <c r="GO68" s="97"/>
      <c r="GP68" s="97"/>
      <c r="GQ68" s="97"/>
      <c r="GR68" s="97"/>
      <c r="GS68" s="97"/>
      <c r="GT68" s="97"/>
      <c r="GU68" s="97"/>
      <c r="GV68" s="97"/>
      <c r="GW68" s="97"/>
      <c r="GX68" s="97"/>
      <c r="GY68" s="97"/>
      <c r="GZ68" s="97"/>
      <c r="HA68" s="97"/>
      <c r="HB68" s="97"/>
      <c r="HC68" s="97"/>
      <c r="HD68" s="97"/>
      <c r="HE68" s="97"/>
      <c r="HF68" s="97"/>
      <c r="HG68" s="97"/>
      <c r="HH68" s="97"/>
      <c r="HI68" s="97"/>
      <c r="HJ68" s="97"/>
      <c r="HK68" s="97"/>
      <c r="HL68" s="97"/>
      <c r="HM68" s="97"/>
      <c r="HN68" s="97"/>
      <c r="HO68" s="97"/>
      <c r="HP68" s="97"/>
      <c r="HQ68" s="97"/>
      <c r="HR68" s="97"/>
      <c r="HS68" s="97"/>
      <c r="HT68" s="97"/>
      <c r="HU68" s="97"/>
      <c r="HV68" s="97"/>
      <c r="HW68" s="97"/>
      <c r="HX68" s="97"/>
      <c r="HY68" s="97"/>
      <c r="HZ68" s="97"/>
      <c r="IA68" s="97"/>
      <c r="IB68" s="97"/>
      <c r="IC68" s="97"/>
      <c r="ID68" s="97"/>
      <c r="IE68" s="97"/>
      <c r="IF68" s="97"/>
      <c r="IG68" s="97"/>
      <c r="IH68" s="97"/>
      <c r="II68" s="97"/>
      <c r="IJ68" s="97"/>
      <c r="IK68" s="97"/>
      <c r="IL68" s="97"/>
      <c r="IM68" s="97"/>
      <c r="IN68" s="97"/>
      <c r="IO68" s="97"/>
      <c r="IP68" s="97"/>
      <c r="IQ68" s="97"/>
      <c r="IR68" s="97"/>
      <c r="IS68" s="97"/>
    </row>
    <row r="69" spans="1:253" hidden="1">
      <c r="A69" s="28"/>
      <c r="J69" s="6">
        <v>26</v>
      </c>
      <c r="K69" s="19" t="str">
        <f>'Data Export'!B27</f>
        <v/>
      </c>
      <c r="L69" s="22" t="str">
        <f>IF(K69="", "", 'Night Covers'!M9)</f>
        <v/>
      </c>
      <c r="M69" s="22" t="str">
        <f>IF(K69="", "", 'Night Covers'!N9)</f>
        <v/>
      </c>
      <c r="N69" s="6" t="str">
        <f>IF(K69="", "", IF('Night Covers'!I9="", "", 1))</f>
        <v/>
      </c>
      <c r="O69" s="83" t="str">
        <f>IF(K69="", "", 'Night Covers'!O9)</f>
        <v/>
      </c>
      <c r="P69" s="6" t="str">
        <f t="shared" ref="P69:P75" si="3">IF(K69="","",CONCATENATE($C$10,J69))</f>
        <v/>
      </c>
      <c r="Q69" s="97"/>
      <c r="R69" s="146">
        <v>33</v>
      </c>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c r="FK69" s="97"/>
      <c r="FL69" s="97"/>
      <c r="FM69" s="97"/>
      <c r="FN69" s="97"/>
      <c r="FO69" s="97"/>
      <c r="FP69" s="97"/>
      <c r="FQ69" s="97"/>
      <c r="FR69" s="97"/>
      <c r="FS69" s="97"/>
      <c r="FT69" s="97"/>
      <c r="FU69" s="97"/>
      <c r="FV69" s="97"/>
      <c r="FW69" s="97"/>
      <c r="FX69" s="97"/>
      <c r="FY69" s="97"/>
      <c r="FZ69" s="97"/>
      <c r="GA69" s="97"/>
      <c r="GB69" s="97"/>
      <c r="GC69" s="97"/>
      <c r="GD69" s="97"/>
      <c r="GE69" s="97"/>
      <c r="GF69" s="97"/>
      <c r="GG69" s="97"/>
      <c r="GH69" s="97"/>
      <c r="GI69" s="97"/>
      <c r="GJ69" s="97"/>
      <c r="GK69" s="97"/>
      <c r="GL69" s="97"/>
      <c r="GM69" s="97"/>
      <c r="GN69" s="97"/>
      <c r="GO69" s="97"/>
      <c r="GP69" s="97"/>
      <c r="GQ69" s="97"/>
      <c r="GR69" s="97"/>
      <c r="GS69" s="97"/>
      <c r="GT69" s="97"/>
      <c r="GU69" s="97"/>
      <c r="GV69" s="97"/>
      <c r="GW69" s="97"/>
      <c r="GX69" s="97"/>
      <c r="GY69" s="97"/>
      <c r="GZ69" s="97"/>
      <c r="HA69" s="97"/>
      <c r="HB69" s="97"/>
      <c r="HC69" s="97"/>
      <c r="HD69" s="97"/>
      <c r="HE69" s="97"/>
      <c r="HF69" s="97"/>
      <c r="HG69" s="97"/>
      <c r="HH69" s="97"/>
      <c r="HI69" s="97"/>
      <c r="HJ69" s="97"/>
      <c r="HK69" s="97"/>
      <c r="HL69" s="97"/>
      <c r="HM69" s="97"/>
      <c r="HN69" s="97"/>
      <c r="HO69" s="97"/>
      <c r="HP69" s="97"/>
      <c r="HQ69" s="97"/>
      <c r="HR69" s="97"/>
      <c r="HS69" s="97"/>
      <c r="HT69" s="97"/>
      <c r="HU69" s="97"/>
      <c r="HV69" s="97"/>
      <c r="HW69" s="97"/>
      <c r="HX69" s="97"/>
      <c r="HY69" s="97"/>
      <c r="HZ69" s="97"/>
      <c r="IA69" s="97"/>
      <c r="IB69" s="97"/>
      <c r="IC69" s="97"/>
      <c r="ID69" s="97"/>
      <c r="IE69" s="97"/>
      <c r="IF69" s="97"/>
      <c r="IG69" s="97"/>
      <c r="IH69" s="97"/>
      <c r="II69" s="97"/>
      <c r="IJ69" s="97"/>
      <c r="IK69" s="97"/>
      <c r="IL69" s="97"/>
      <c r="IM69" s="97"/>
      <c r="IN69" s="97"/>
      <c r="IO69" s="97"/>
      <c r="IP69" s="97"/>
      <c r="IQ69" s="97"/>
      <c r="IR69" s="97"/>
      <c r="IS69" s="97"/>
    </row>
    <row r="70" spans="1:253" hidden="1">
      <c r="A70" s="28"/>
      <c r="J70" s="6">
        <v>27</v>
      </c>
      <c r="K70" s="19" t="str">
        <f>'Data Export'!B28</f>
        <v/>
      </c>
      <c r="L70" s="22" t="str">
        <f>IF(K70="", "", 'Night Covers'!M10)</f>
        <v/>
      </c>
      <c r="M70" s="22" t="str">
        <f>IF(K70="", "", 'Night Covers'!N10)</f>
        <v/>
      </c>
      <c r="N70" s="6" t="str">
        <f>IF(K70="", "", IF('Night Covers'!I10="", "", 1))</f>
        <v/>
      </c>
      <c r="O70" s="83" t="str">
        <f>IF(K70="", "", 'Night Covers'!O10)</f>
        <v/>
      </c>
      <c r="P70" s="6" t="str">
        <f t="shared" si="3"/>
        <v/>
      </c>
      <c r="Q70" s="97"/>
      <c r="R70" s="146">
        <v>34</v>
      </c>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c r="FK70" s="97"/>
      <c r="FL70" s="97"/>
      <c r="FM70" s="97"/>
      <c r="FN70" s="97"/>
      <c r="FO70" s="97"/>
      <c r="FP70" s="97"/>
      <c r="FQ70" s="97"/>
      <c r="FR70" s="97"/>
      <c r="FS70" s="97"/>
      <c r="FT70" s="97"/>
      <c r="FU70" s="97"/>
      <c r="FV70" s="97"/>
      <c r="FW70" s="97"/>
      <c r="FX70" s="97"/>
      <c r="FY70" s="97"/>
      <c r="FZ70" s="97"/>
      <c r="GA70" s="97"/>
      <c r="GB70" s="97"/>
      <c r="GC70" s="97"/>
      <c r="GD70" s="97"/>
      <c r="GE70" s="97"/>
      <c r="GF70" s="97"/>
      <c r="GG70" s="97"/>
      <c r="GH70" s="97"/>
      <c r="GI70" s="97"/>
      <c r="GJ70" s="97"/>
      <c r="GK70" s="97"/>
      <c r="GL70" s="97"/>
      <c r="GM70" s="97"/>
      <c r="GN70" s="97"/>
      <c r="GO70" s="97"/>
      <c r="GP70" s="97"/>
      <c r="GQ70" s="97"/>
      <c r="GR70" s="97"/>
      <c r="GS70" s="97"/>
      <c r="GT70" s="97"/>
      <c r="GU70" s="97"/>
      <c r="GV70" s="97"/>
      <c r="GW70" s="97"/>
      <c r="GX70" s="97"/>
      <c r="GY70" s="97"/>
      <c r="GZ70" s="97"/>
      <c r="HA70" s="97"/>
      <c r="HB70" s="97"/>
      <c r="HC70" s="97"/>
      <c r="HD70" s="97"/>
      <c r="HE70" s="97"/>
      <c r="HF70" s="97"/>
      <c r="HG70" s="97"/>
      <c r="HH70" s="97"/>
      <c r="HI70" s="97"/>
      <c r="HJ70" s="97"/>
      <c r="HK70" s="97"/>
      <c r="HL70" s="97"/>
      <c r="HM70" s="97"/>
      <c r="HN70" s="97"/>
      <c r="HO70" s="97"/>
      <c r="HP70" s="97"/>
      <c r="HQ70" s="97"/>
      <c r="HR70" s="97"/>
      <c r="HS70" s="97"/>
      <c r="HT70" s="97"/>
      <c r="HU70" s="97"/>
      <c r="HV70" s="97"/>
      <c r="HW70" s="97"/>
      <c r="HX70" s="97"/>
      <c r="HY70" s="97"/>
      <c r="HZ70" s="97"/>
      <c r="IA70" s="97"/>
      <c r="IB70" s="97"/>
      <c r="IC70" s="97"/>
      <c r="ID70" s="97"/>
      <c r="IE70" s="97"/>
      <c r="IF70" s="97"/>
      <c r="IG70" s="97"/>
      <c r="IH70" s="97"/>
      <c r="II70" s="97"/>
      <c r="IJ70" s="97"/>
      <c r="IK70" s="97"/>
      <c r="IL70" s="97"/>
      <c r="IM70" s="97"/>
      <c r="IN70" s="97"/>
      <c r="IO70" s="97"/>
      <c r="IP70" s="97"/>
      <c r="IQ70" s="97"/>
      <c r="IR70" s="97"/>
      <c r="IS70" s="97"/>
    </row>
    <row r="71" spans="1:253" hidden="1">
      <c r="A71" s="28"/>
      <c r="J71" s="6">
        <v>28</v>
      </c>
      <c r="K71" s="19" t="str">
        <f>'Data Export'!B29</f>
        <v/>
      </c>
      <c r="L71" s="22" t="str">
        <f>IF(K71="", "", 'Night Covers'!M11)</f>
        <v/>
      </c>
      <c r="M71" s="22" t="str">
        <f>IF(K71="", "", 'Night Covers'!N11)</f>
        <v/>
      </c>
      <c r="N71" s="6" t="str">
        <f>IF(K71="", "", IF('Night Covers'!I11="", "", 1))</f>
        <v/>
      </c>
      <c r="O71" s="83" t="str">
        <f>IF(K71="", "", 'Night Covers'!O11)</f>
        <v/>
      </c>
      <c r="P71" s="6" t="str">
        <f t="shared" si="3"/>
        <v/>
      </c>
      <c r="Q71" s="97"/>
      <c r="R71" s="146">
        <v>35</v>
      </c>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c r="DM71" s="97"/>
      <c r="DN71" s="97"/>
      <c r="DO71" s="97"/>
      <c r="DP71" s="97"/>
      <c r="DQ71" s="97"/>
      <c r="DR71" s="97"/>
      <c r="DS71" s="97"/>
      <c r="DT71" s="97"/>
      <c r="DU71" s="97"/>
      <c r="DV71" s="97"/>
      <c r="DW71" s="97"/>
      <c r="DX71" s="97"/>
      <c r="DY71" s="97"/>
      <c r="DZ71" s="97"/>
      <c r="EA71" s="97"/>
      <c r="EB71" s="97"/>
      <c r="EC71" s="97"/>
      <c r="ED71" s="97"/>
      <c r="EE71" s="97"/>
      <c r="EF71" s="97"/>
      <c r="EG71" s="97"/>
      <c r="EH71" s="97"/>
      <c r="EI71" s="97"/>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c r="FK71" s="97"/>
      <c r="FL71" s="97"/>
      <c r="FM71" s="97"/>
      <c r="FN71" s="97"/>
      <c r="FO71" s="97"/>
      <c r="FP71" s="97"/>
      <c r="FQ71" s="97"/>
      <c r="FR71" s="97"/>
      <c r="FS71" s="97"/>
      <c r="FT71" s="97"/>
      <c r="FU71" s="97"/>
      <c r="FV71" s="97"/>
      <c r="FW71" s="97"/>
      <c r="FX71" s="97"/>
      <c r="FY71" s="97"/>
      <c r="FZ71" s="97"/>
      <c r="GA71" s="97"/>
      <c r="GB71" s="97"/>
      <c r="GC71" s="97"/>
      <c r="GD71" s="97"/>
      <c r="GE71" s="97"/>
      <c r="GF71" s="97"/>
      <c r="GG71" s="97"/>
      <c r="GH71" s="97"/>
      <c r="GI71" s="97"/>
      <c r="GJ71" s="97"/>
      <c r="GK71" s="97"/>
      <c r="GL71" s="97"/>
      <c r="GM71" s="97"/>
      <c r="GN71" s="97"/>
      <c r="GO71" s="97"/>
      <c r="GP71" s="97"/>
      <c r="GQ71" s="97"/>
      <c r="GR71" s="97"/>
      <c r="GS71" s="97"/>
      <c r="GT71" s="97"/>
      <c r="GU71" s="97"/>
      <c r="GV71" s="97"/>
      <c r="GW71" s="97"/>
      <c r="GX71" s="97"/>
      <c r="GY71" s="97"/>
      <c r="GZ71" s="97"/>
      <c r="HA71" s="97"/>
      <c r="HB71" s="97"/>
      <c r="HC71" s="97"/>
      <c r="HD71" s="97"/>
      <c r="HE71" s="97"/>
      <c r="HF71" s="97"/>
      <c r="HG71" s="97"/>
      <c r="HH71" s="97"/>
      <c r="HI71" s="97"/>
      <c r="HJ71" s="97"/>
      <c r="HK71" s="97"/>
      <c r="HL71" s="97"/>
      <c r="HM71" s="97"/>
      <c r="HN71" s="97"/>
      <c r="HO71" s="97"/>
      <c r="HP71" s="97"/>
      <c r="HQ71" s="97"/>
      <c r="HR71" s="97"/>
      <c r="HS71" s="97"/>
      <c r="HT71" s="97"/>
      <c r="HU71" s="97"/>
      <c r="HV71" s="97"/>
      <c r="HW71" s="97"/>
      <c r="HX71" s="97"/>
      <c r="HY71" s="97"/>
      <c r="HZ71" s="97"/>
      <c r="IA71" s="97"/>
      <c r="IB71" s="97"/>
      <c r="IC71" s="97"/>
      <c r="ID71" s="97"/>
      <c r="IE71" s="97"/>
      <c r="IF71" s="97"/>
      <c r="IG71" s="97"/>
      <c r="IH71" s="97"/>
      <c r="II71" s="97"/>
      <c r="IJ71" s="97"/>
      <c r="IK71" s="97"/>
      <c r="IL71" s="97"/>
      <c r="IM71" s="97"/>
      <c r="IN71" s="97"/>
      <c r="IO71" s="97"/>
      <c r="IP71" s="97"/>
      <c r="IQ71" s="97"/>
      <c r="IR71" s="97"/>
      <c r="IS71" s="97"/>
    </row>
    <row r="72" spans="1:253" hidden="1">
      <c r="A72" s="28"/>
      <c r="J72" s="6">
        <v>29</v>
      </c>
      <c r="K72" s="19" t="str">
        <f>'Data Export'!B30</f>
        <v/>
      </c>
      <c r="L72" s="22" t="str">
        <f>IF(K72="", "", 'Night Covers'!M12)</f>
        <v/>
      </c>
      <c r="M72" s="22" t="str">
        <f>IF(K72="", "", 'Night Covers'!N12)</f>
        <v/>
      </c>
      <c r="N72" s="6" t="str">
        <f>IF(K72="", "", IF('Night Covers'!I12="", "", 1))</f>
        <v/>
      </c>
      <c r="O72" s="83" t="str">
        <f>IF(K72="", "", 'Night Covers'!O12)</f>
        <v/>
      </c>
      <c r="P72" s="6" t="str">
        <f t="shared" si="3"/>
        <v/>
      </c>
      <c r="Q72" s="97"/>
      <c r="R72" s="146">
        <v>36</v>
      </c>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c r="DM72" s="97"/>
      <c r="DN72" s="97"/>
      <c r="DO72" s="97"/>
      <c r="DP72" s="97"/>
      <c r="DQ72" s="97"/>
      <c r="DR72" s="97"/>
      <c r="DS72" s="97"/>
      <c r="DT72" s="97"/>
      <c r="DU72" s="97"/>
      <c r="DV72" s="97"/>
      <c r="DW72" s="97"/>
      <c r="DX72" s="97"/>
      <c r="DY72" s="97"/>
      <c r="DZ72" s="97"/>
      <c r="EA72" s="97"/>
      <c r="EB72" s="97"/>
      <c r="EC72" s="97"/>
      <c r="ED72" s="97"/>
      <c r="EE72" s="97"/>
      <c r="EF72" s="97"/>
      <c r="EG72" s="97"/>
      <c r="EH72" s="97"/>
      <c r="EI72" s="97"/>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c r="FK72" s="97"/>
      <c r="FL72" s="97"/>
      <c r="FM72" s="97"/>
      <c r="FN72" s="97"/>
      <c r="FO72" s="97"/>
      <c r="FP72" s="97"/>
      <c r="FQ72" s="97"/>
      <c r="FR72" s="97"/>
      <c r="FS72" s="97"/>
      <c r="FT72" s="97"/>
      <c r="FU72" s="97"/>
      <c r="FV72" s="97"/>
      <c r="FW72" s="97"/>
      <c r="FX72" s="97"/>
      <c r="FY72" s="97"/>
      <c r="FZ72" s="97"/>
      <c r="GA72" s="97"/>
      <c r="GB72" s="97"/>
      <c r="GC72" s="97"/>
      <c r="GD72" s="97"/>
      <c r="GE72" s="97"/>
      <c r="GF72" s="97"/>
      <c r="GG72" s="97"/>
      <c r="GH72" s="97"/>
      <c r="GI72" s="97"/>
      <c r="GJ72" s="97"/>
      <c r="GK72" s="97"/>
      <c r="GL72" s="97"/>
      <c r="GM72" s="97"/>
      <c r="GN72" s="97"/>
      <c r="GO72" s="97"/>
      <c r="GP72" s="97"/>
      <c r="GQ72" s="97"/>
      <c r="GR72" s="97"/>
      <c r="GS72" s="97"/>
      <c r="GT72" s="97"/>
      <c r="GU72" s="97"/>
      <c r="GV72" s="97"/>
      <c r="GW72" s="97"/>
      <c r="GX72" s="97"/>
      <c r="GY72" s="97"/>
      <c r="GZ72" s="97"/>
      <c r="HA72" s="97"/>
      <c r="HB72" s="97"/>
      <c r="HC72" s="97"/>
      <c r="HD72" s="97"/>
      <c r="HE72" s="97"/>
      <c r="HF72" s="97"/>
      <c r="HG72" s="97"/>
      <c r="HH72" s="97"/>
      <c r="HI72" s="97"/>
      <c r="HJ72" s="97"/>
      <c r="HK72" s="97"/>
      <c r="HL72" s="97"/>
      <c r="HM72" s="97"/>
      <c r="HN72" s="97"/>
      <c r="HO72" s="97"/>
      <c r="HP72" s="97"/>
      <c r="HQ72" s="97"/>
      <c r="HR72" s="97"/>
      <c r="HS72" s="97"/>
      <c r="HT72" s="97"/>
      <c r="HU72" s="97"/>
      <c r="HV72" s="97"/>
      <c r="HW72" s="97"/>
      <c r="HX72" s="97"/>
      <c r="HY72" s="97"/>
      <c r="HZ72" s="97"/>
      <c r="IA72" s="97"/>
      <c r="IB72" s="97"/>
      <c r="IC72" s="97"/>
      <c r="ID72" s="97"/>
      <c r="IE72" s="97"/>
      <c r="IF72" s="97"/>
      <c r="IG72" s="97"/>
      <c r="IH72" s="97"/>
      <c r="II72" s="97"/>
      <c r="IJ72" s="97"/>
      <c r="IK72" s="97"/>
      <c r="IL72" s="97"/>
      <c r="IM72" s="97"/>
      <c r="IN72" s="97"/>
      <c r="IO72" s="97"/>
      <c r="IP72" s="97"/>
      <c r="IQ72" s="97"/>
      <c r="IR72" s="97"/>
      <c r="IS72" s="97"/>
    </row>
    <row r="73" spans="1:253" hidden="1">
      <c r="A73" s="28"/>
      <c r="J73" s="6">
        <v>30</v>
      </c>
      <c r="K73" s="19" t="str">
        <f>'Data Export'!B31</f>
        <v/>
      </c>
      <c r="L73" s="22" t="str">
        <f>IF(K73="", "", 'Night Covers'!M13)</f>
        <v/>
      </c>
      <c r="M73" s="22" t="str">
        <f>IF(K73="", "", 'Night Covers'!N13)</f>
        <v/>
      </c>
      <c r="N73" s="6" t="str">
        <f>IF(K73="", "", IF('Night Covers'!I13="", "", 1))</f>
        <v/>
      </c>
      <c r="O73" s="83" t="str">
        <f>IF(K73="", "", 'Night Covers'!O13)</f>
        <v/>
      </c>
      <c r="P73" s="6" t="str">
        <f t="shared" si="3"/>
        <v/>
      </c>
      <c r="Q73" s="97"/>
      <c r="R73" s="146">
        <v>37</v>
      </c>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c r="DM73" s="97"/>
      <c r="DN73" s="97"/>
      <c r="DO73" s="97"/>
      <c r="DP73" s="97"/>
      <c r="DQ73" s="97"/>
      <c r="DR73" s="97"/>
      <c r="DS73" s="97"/>
      <c r="DT73" s="97"/>
      <c r="DU73" s="97"/>
      <c r="DV73" s="97"/>
      <c r="DW73" s="97"/>
      <c r="DX73" s="97"/>
      <c r="DY73" s="97"/>
      <c r="DZ73" s="97"/>
      <c r="EA73" s="97"/>
      <c r="EB73" s="97"/>
      <c r="EC73" s="97"/>
      <c r="ED73" s="97"/>
      <c r="EE73" s="97"/>
      <c r="EF73" s="97"/>
      <c r="EG73" s="97"/>
      <c r="EH73" s="97"/>
      <c r="EI73" s="97"/>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c r="FK73" s="97"/>
      <c r="FL73" s="97"/>
      <c r="FM73" s="97"/>
      <c r="FN73" s="97"/>
      <c r="FO73" s="97"/>
      <c r="FP73" s="97"/>
      <c r="FQ73" s="97"/>
      <c r="FR73" s="97"/>
      <c r="FS73" s="97"/>
      <c r="FT73" s="97"/>
      <c r="FU73" s="97"/>
      <c r="FV73" s="97"/>
      <c r="FW73" s="97"/>
      <c r="FX73" s="97"/>
      <c r="FY73" s="97"/>
      <c r="FZ73" s="97"/>
      <c r="GA73" s="97"/>
      <c r="GB73" s="97"/>
      <c r="GC73" s="97"/>
      <c r="GD73" s="97"/>
      <c r="GE73" s="97"/>
      <c r="GF73" s="97"/>
      <c r="GG73" s="97"/>
      <c r="GH73" s="97"/>
      <c r="GI73" s="97"/>
      <c r="GJ73" s="97"/>
      <c r="GK73" s="97"/>
      <c r="GL73" s="97"/>
      <c r="GM73" s="97"/>
      <c r="GN73" s="97"/>
      <c r="GO73" s="97"/>
      <c r="GP73" s="97"/>
      <c r="GQ73" s="97"/>
      <c r="GR73" s="97"/>
      <c r="GS73" s="97"/>
      <c r="GT73" s="97"/>
      <c r="GU73" s="97"/>
      <c r="GV73" s="97"/>
      <c r="GW73" s="97"/>
      <c r="GX73" s="97"/>
      <c r="GY73" s="97"/>
      <c r="GZ73" s="97"/>
      <c r="HA73" s="97"/>
      <c r="HB73" s="97"/>
      <c r="HC73" s="97"/>
      <c r="HD73" s="97"/>
      <c r="HE73" s="97"/>
      <c r="HF73" s="97"/>
      <c r="HG73" s="97"/>
      <c r="HH73" s="97"/>
      <c r="HI73" s="97"/>
      <c r="HJ73" s="97"/>
      <c r="HK73" s="97"/>
      <c r="HL73" s="97"/>
      <c r="HM73" s="97"/>
      <c r="HN73" s="97"/>
      <c r="HO73" s="97"/>
      <c r="HP73" s="97"/>
      <c r="HQ73" s="97"/>
      <c r="HR73" s="97"/>
      <c r="HS73" s="97"/>
      <c r="HT73" s="97"/>
      <c r="HU73" s="97"/>
      <c r="HV73" s="97"/>
      <c r="HW73" s="97"/>
      <c r="HX73" s="97"/>
      <c r="HY73" s="97"/>
      <c r="HZ73" s="97"/>
      <c r="IA73" s="97"/>
      <c r="IB73" s="97"/>
      <c r="IC73" s="97"/>
      <c r="ID73" s="97"/>
      <c r="IE73" s="97"/>
      <c r="IF73" s="97"/>
      <c r="IG73" s="97"/>
      <c r="IH73" s="97"/>
      <c r="II73" s="97"/>
      <c r="IJ73" s="97"/>
      <c r="IK73" s="97"/>
      <c r="IL73" s="97"/>
      <c r="IM73" s="97"/>
      <c r="IN73" s="97"/>
      <c r="IO73" s="97"/>
      <c r="IP73" s="97"/>
      <c r="IQ73" s="97"/>
      <c r="IR73" s="97"/>
      <c r="IS73" s="97"/>
    </row>
    <row r="74" spans="1:253" hidden="1">
      <c r="A74" s="28"/>
      <c r="J74" s="6">
        <v>31</v>
      </c>
      <c r="K74" s="19" t="str">
        <f>'Data Export'!B32</f>
        <v/>
      </c>
      <c r="L74" s="22" t="str">
        <f>IF(K74="", "", 'Night Covers'!M14)</f>
        <v/>
      </c>
      <c r="M74" s="22" t="str">
        <f>IF(K74="", "", 'Night Covers'!N14)</f>
        <v/>
      </c>
      <c r="N74" s="6" t="str">
        <f>IF(K74="", "", IF('Night Covers'!I14="", "", 1))</f>
        <v/>
      </c>
      <c r="O74" s="83" t="str">
        <f>IF(K74="", "", 'Night Covers'!O14)</f>
        <v/>
      </c>
      <c r="P74" s="6" t="str">
        <f t="shared" si="3"/>
        <v/>
      </c>
      <c r="Q74" s="97"/>
      <c r="R74" s="146">
        <v>38</v>
      </c>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c r="FK74" s="97"/>
      <c r="FL74" s="97"/>
      <c r="FM74" s="97"/>
      <c r="FN74" s="97"/>
      <c r="FO74" s="97"/>
      <c r="FP74" s="97"/>
      <c r="FQ74" s="97"/>
      <c r="FR74" s="97"/>
      <c r="FS74" s="97"/>
      <c r="FT74" s="97"/>
      <c r="FU74" s="97"/>
      <c r="FV74" s="97"/>
      <c r="FW74" s="97"/>
      <c r="FX74" s="97"/>
      <c r="FY74" s="97"/>
      <c r="FZ74" s="97"/>
      <c r="GA74" s="97"/>
      <c r="GB74" s="97"/>
      <c r="GC74" s="97"/>
      <c r="GD74" s="97"/>
      <c r="GE74" s="97"/>
      <c r="GF74" s="97"/>
      <c r="GG74" s="97"/>
      <c r="GH74" s="97"/>
      <c r="GI74" s="97"/>
      <c r="GJ74" s="97"/>
      <c r="GK74" s="97"/>
      <c r="GL74" s="97"/>
      <c r="GM74" s="97"/>
      <c r="GN74" s="97"/>
      <c r="GO74" s="97"/>
      <c r="GP74" s="97"/>
      <c r="GQ74" s="97"/>
      <c r="GR74" s="97"/>
      <c r="GS74" s="97"/>
      <c r="GT74" s="97"/>
      <c r="GU74" s="97"/>
      <c r="GV74" s="97"/>
      <c r="GW74" s="97"/>
      <c r="GX74" s="97"/>
      <c r="GY74" s="97"/>
      <c r="GZ74" s="97"/>
      <c r="HA74" s="97"/>
      <c r="HB74" s="97"/>
      <c r="HC74" s="97"/>
      <c r="HD74" s="97"/>
      <c r="HE74" s="97"/>
      <c r="HF74" s="97"/>
      <c r="HG74" s="97"/>
      <c r="HH74" s="97"/>
      <c r="HI74" s="97"/>
      <c r="HJ74" s="97"/>
      <c r="HK74" s="97"/>
      <c r="HL74" s="97"/>
      <c r="HM74" s="97"/>
      <c r="HN74" s="97"/>
      <c r="HO74" s="97"/>
      <c r="HP74" s="97"/>
      <c r="HQ74" s="97"/>
      <c r="HR74" s="97"/>
      <c r="HS74" s="97"/>
      <c r="HT74" s="97"/>
      <c r="HU74" s="97"/>
      <c r="HV74" s="97"/>
      <c r="HW74" s="97"/>
      <c r="HX74" s="97"/>
      <c r="HY74" s="97"/>
      <c r="HZ74" s="97"/>
      <c r="IA74" s="97"/>
      <c r="IB74" s="97"/>
      <c r="IC74" s="97"/>
      <c r="ID74" s="97"/>
      <c r="IE74" s="97"/>
      <c r="IF74" s="97"/>
      <c r="IG74" s="97"/>
      <c r="IH74" s="97"/>
      <c r="II74" s="97"/>
      <c r="IJ74" s="97"/>
      <c r="IK74" s="97"/>
      <c r="IL74" s="97"/>
      <c r="IM74" s="97"/>
      <c r="IN74" s="97"/>
      <c r="IO74" s="97"/>
      <c r="IP74" s="97"/>
      <c r="IQ74" s="97"/>
      <c r="IR74" s="97"/>
      <c r="IS74" s="97"/>
    </row>
    <row r="75" spans="1:253" hidden="1">
      <c r="A75" s="28"/>
      <c r="J75" s="6">
        <v>32</v>
      </c>
      <c r="K75" s="19" t="str">
        <f>'Data Export'!B33</f>
        <v/>
      </c>
      <c r="L75" s="22" t="str">
        <f>IF(K75="", "", 'Night Covers'!M15)</f>
        <v/>
      </c>
      <c r="M75" s="22" t="str">
        <f>IF(K75="", "", 'Night Covers'!N15)</f>
        <v/>
      </c>
      <c r="N75" s="6" t="str">
        <f>IF(K75="", "", IF('Night Covers'!I15="", "", 1))</f>
        <v/>
      </c>
      <c r="O75" s="83" t="str">
        <f>IF(K75="", "", 'Night Covers'!O15)</f>
        <v/>
      </c>
      <c r="P75" s="6" t="str">
        <f t="shared" si="3"/>
        <v/>
      </c>
      <c r="Q75" s="97"/>
      <c r="R75" s="146">
        <v>39</v>
      </c>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c r="CG75" s="97"/>
      <c r="CH75" s="97"/>
      <c r="CI75" s="97"/>
      <c r="CJ75" s="97"/>
      <c r="CK75" s="97"/>
      <c r="CL75" s="97"/>
      <c r="CM75" s="97"/>
      <c r="CN75" s="97"/>
      <c r="CO75" s="97"/>
      <c r="CP75" s="97"/>
      <c r="CQ75" s="97"/>
      <c r="CR75" s="97"/>
      <c r="CS75" s="97"/>
      <c r="CT75" s="97"/>
      <c r="CU75" s="97"/>
      <c r="CV75" s="97"/>
      <c r="CW75" s="97"/>
      <c r="CX75" s="97"/>
      <c r="CY75" s="97"/>
      <c r="CZ75" s="97"/>
      <c r="DA75" s="97"/>
      <c r="DB75" s="97"/>
      <c r="DC75" s="97"/>
      <c r="DD75" s="97"/>
      <c r="DE75" s="97"/>
      <c r="DF75" s="97"/>
      <c r="DG75" s="97"/>
      <c r="DH75" s="97"/>
      <c r="DI75" s="97"/>
      <c r="DJ75" s="97"/>
      <c r="DK75" s="97"/>
      <c r="DL75" s="97"/>
      <c r="DM75" s="97"/>
      <c r="DN75" s="97"/>
      <c r="DO75" s="97"/>
      <c r="DP75" s="97"/>
      <c r="DQ75" s="97"/>
      <c r="DR75" s="97"/>
      <c r="DS75" s="97"/>
      <c r="DT75" s="97"/>
      <c r="DU75" s="97"/>
      <c r="DV75" s="97"/>
      <c r="DW75" s="97"/>
      <c r="DX75" s="97"/>
      <c r="DY75" s="97"/>
      <c r="DZ75" s="97"/>
      <c r="EA75" s="97"/>
      <c r="EB75" s="97"/>
      <c r="EC75" s="97"/>
      <c r="ED75" s="97"/>
      <c r="EE75" s="97"/>
      <c r="EF75" s="97"/>
      <c r="EG75" s="97"/>
      <c r="EH75" s="97"/>
      <c r="EI75" s="97"/>
      <c r="EJ75" s="97"/>
      <c r="EK75" s="97"/>
      <c r="EL75" s="97"/>
      <c r="EM75" s="97"/>
      <c r="EN75" s="97"/>
      <c r="EO75" s="97"/>
      <c r="EP75" s="97"/>
      <c r="EQ75" s="97"/>
      <c r="ER75" s="97"/>
      <c r="ES75" s="97"/>
      <c r="ET75" s="97"/>
      <c r="EU75" s="97"/>
      <c r="EV75" s="97"/>
      <c r="EW75" s="97"/>
      <c r="EX75" s="97"/>
      <c r="EY75" s="97"/>
      <c r="EZ75" s="97"/>
      <c r="FA75" s="97"/>
      <c r="FB75" s="97"/>
      <c r="FC75" s="97"/>
      <c r="FD75" s="97"/>
      <c r="FE75" s="97"/>
      <c r="FF75" s="97"/>
      <c r="FG75" s="97"/>
      <c r="FH75" s="97"/>
      <c r="FI75" s="97"/>
      <c r="FJ75" s="97"/>
      <c r="FK75" s="97"/>
      <c r="FL75" s="97"/>
      <c r="FM75" s="97"/>
      <c r="FN75" s="97"/>
      <c r="FO75" s="97"/>
      <c r="FP75" s="97"/>
      <c r="FQ75" s="97"/>
      <c r="FR75" s="97"/>
      <c r="FS75" s="97"/>
      <c r="FT75" s="97"/>
      <c r="FU75" s="97"/>
      <c r="FV75" s="97"/>
      <c r="FW75" s="97"/>
      <c r="FX75" s="97"/>
      <c r="FY75" s="97"/>
      <c r="FZ75" s="97"/>
      <c r="GA75" s="97"/>
      <c r="GB75" s="97"/>
      <c r="GC75" s="97"/>
      <c r="GD75" s="97"/>
      <c r="GE75" s="97"/>
      <c r="GF75" s="97"/>
      <c r="GG75" s="97"/>
      <c r="GH75" s="97"/>
      <c r="GI75" s="97"/>
      <c r="GJ75" s="97"/>
      <c r="GK75" s="97"/>
      <c r="GL75" s="97"/>
      <c r="GM75" s="97"/>
      <c r="GN75" s="97"/>
      <c r="GO75" s="97"/>
      <c r="GP75" s="97"/>
      <c r="GQ75" s="97"/>
      <c r="GR75" s="97"/>
      <c r="GS75" s="97"/>
      <c r="GT75" s="97"/>
      <c r="GU75" s="97"/>
      <c r="GV75" s="97"/>
      <c r="GW75" s="97"/>
      <c r="GX75" s="97"/>
      <c r="GY75" s="97"/>
      <c r="GZ75" s="97"/>
      <c r="HA75" s="97"/>
      <c r="HB75" s="97"/>
      <c r="HC75" s="97"/>
      <c r="HD75" s="97"/>
      <c r="HE75" s="97"/>
      <c r="HF75" s="97"/>
      <c r="HG75" s="97"/>
      <c r="HH75" s="97"/>
      <c r="HI75" s="97"/>
      <c r="HJ75" s="97"/>
      <c r="HK75" s="97"/>
      <c r="HL75" s="97"/>
      <c r="HM75" s="97"/>
      <c r="HN75" s="97"/>
      <c r="HO75" s="97"/>
      <c r="HP75" s="97"/>
      <c r="HQ75" s="97"/>
      <c r="HR75" s="97"/>
      <c r="HS75" s="97"/>
      <c r="HT75" s="97"/>
      <c r="HU75" s="97"/>
      <c r="HV75" s="97"/>
      <c r="HW75" s="97"/>
      <c r="HX75" s="97"/>
      <c r="HY75" s="97"/>
      <c r="HZ75" s="97"/>
      <c r="IA75" s="97"/>
      <c r="IB75" s="97"/>
      <c r="IC75" s="97"/>
      <c r="ID75" s="97"/>
      <c r="IE75" s="97"/>
      <c r="IF75" s="97"/>
      <c r="IG75" s="97"/>
      <c r="IH75" s="97"/>
      <c r="II75" s="97"/>
      <c r="IJ75" s="97"/>
      <c r="IK75" s="97"/>
      <c r="IL75" s="97"/>
      <c r="IM75" s="97"/>
      <c r="IN75" s="97"/>
      <c r="IO75" s="97"/>
      <c r="IP75" s="97"/>
      <c r="IQ75" s="97"/>
      <c r="IR75" s="97"/>
      <c r="IS75" s="97"/>
    </row>
    <row r="76" spans="1:253" hidden="1">
      <c r="A76" s="28"/>
      <c r="K76" s="84" t="s">
        <v>77</v>
      </c>
      <c r="L76" s="22">
        <f>SUM(L68:L75)</f>
        <v>0</v>
      </c>
      <c r="M76" s="90">
        <f>SUM(M68:M75)</f>
        <v>0</v>
      </c>
      <c r="N76" s="6">
        <f>SUM(N68:N75)</f>
        <v>0</v>
      </c>
      <c r="O76" s="83">
        <f>SUM(O68:O75)</f>
        <v>0</v>
      </c>
      <c r="Q76" s="97"/>
      <c r="R76" s="146">
        <v>40</v>
      </c>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c r="DK76" s="97"/>
      <c r="DL76" s="97"/>
      <c r="DM76" s="97"/>
      <c r="DN76" s="97"/>
      <c r="DO76" s="97"/>
      <c r="DP76" s="97"/>
      <c r="DQ76" s="97"/>
      <c r="DR76" s="97"/>
      <c r="DS76" s="97"/>
      <c r="DT76" s="97"/>
      <c r="DU76" s="97"/>
      <c r="DV76" s="97"/>
      <c r="DW76" s="97"/>
      <c r="DX76" s="97"/>
      <c r="DY76" s="97"/>
      <c r="DZ76" s="97"/>
      <c r="EA76" s="97"/>
      <c r="EB76" s="97"/>
      <c r="EC76" s="97"/>
      <c r="ED76" s="97"/>
      <c r="EE76" s="97"/>
      <c r="EF76" s="97"/>
      <c r="EG76" s="97"/>
      <c r="EH76" s="97"/>
      <c r="EI76" s="97"/>
      <c r="EJ76" s="97"/>
      <c r="EK76" s="97"/>
      <c r="EL76" s="97"/>
      <c r="EM76" s="97"/>
      <c r="EN76" s="97"/>
      <c r="EO76" s="97"/>
      <c r="EP76" s="97"/>
      <c r="EQ76" s="97"/>
      <c r="ER76" s="97"/>
      <c r="ES76" s="97"/>
      <c r="ET76" s="97"/>
      <c r="EU76" s="97"/>
      <c r="EV76" s="97"/>
      <c r="EW76" s="97"/>
      <c r="EX76" s="97"/>
      <c r="EY76" s="97"/>
      <c r="EZ76" s="97"/>
      <c r="FA76" s="97"/>
      <c r="FB76" s="97"/>
      <c r="FC76" s="97"/>
      <c r="FD76" s="97"/>
      <c r="FE76" s="97"/>
      <c r="FF76" s="97"/>
      <c r="FG76" s="97"/>
      <c r="FH76" s="97"/>
      <c r="FI76" s="97"/>
      <c r="FJ76" s="97"/>
      <c r="FK76" s="97"/>
      <c r="FL76" s="97"/>
      <c r="FM76" s="97"/>
      <c r="FN76" s="97"/>
      <c r="FO76" s="97"/>
      <c r="FP76" s="97"/>
      <c r="FQ76" s="97"/>
      <c r="FR76" s="97"/>
      <c r="FS76" s="97"/>
      <c r="FT76" s="97"/>
      <c r="FU76" s="97"/>
      <c r="FV76" s="97"/>
      <c r="FW76" s="97"/>
      <c r="FX76" s="97"/>
      <c r="FY76" s="97"/>
      <c r="FZ76" s="97"/>
      <c r="GA76" s="97"/>
      <c r="GB76" s="97"/>
      <c r="GC76" s="97"/>
      <c r="GD76" s="97"/>
      <c r="GE76" s="97"/>
      <c r="GF76" s="97"/>
      <c r="GG76" s="97"/>
      <c r="GH76" s="97"/>
      <c r="GI76" s="97"/>
      <c r="GJ76" s="97"/>
      <c r="GK76" s="97"/>
      <c r="GL76" s="97"/>
      <c r="GM76" s="97"/>
      <c r="GN76" s="97"/>
      <c r="GO76" s="97"/>
      <c r="GP76" s="97"/>
      <c r="GQ76" s="97"/>
      <c r="GR76" s="97"/>
      <c r="GS76" s="97"/>
      <c r="GT76" s="97"/>
      <c r="GU76" s="97"/>
      <c r="GV76" s="97"/>
      <c r="GW76" s="97"/>
      <c r="GX76" s="97"/>
      <c r="GY76" s="97"/>
      <c r="GZ76" s="97"/>
      <c r="HA76" s="97"/>
      <c r="HB76" s="97"/>
      <c r="HC76" s="97"/>
      <c r="HD76" s="97"/>
      <c r="HE76" s="97"/>
      <c r="HF76" s="97"/>
      <c r="HG76" s="97"/>
      <c r="HH76" s="97"/>
      <c r="HI76" s="97"/>
      <c r="HJ76" s="97"/>
      <c r="HK76" s="97"/>
      <c r="HL76" s="97"/>
      <c r="HM76" s="97"/>
      <c r="HN76" s="97"/>
      <c r="HO76" s="97"/>
      <c r="HP76" s="97"/>
      <c r="HQ76" s="97"/>
      <c r="HR76" s="97"/>
      <c r="HS76" s="97"/>
      <c r="HT76" s="97"/>
      <c r="HU76" s="97"/>
      <c r="HV76" s="97"/>
      <c r="HW76" s="97"/>
      <c r="HX76" s="97"/>
      <c r="HY76" s="97"/>
      <c r="HZ76" s="97"/>
      <c r="IA76" s="97"/>
      <c r="IB76" s="97"/>
      <c r="IC76" s="97"/>
      <c r="ID76" s="97"/>
      <c r="IE76" s="97"/>
      <c r="IF76" s="97"/>
      <c r="IG76" s="97"/>
      <c r="IH76" s="97"/>
      <c r="II76" s="97"/>
      <c r="IJ76" s="97"/>
      <c r="IK76" s="97"/>
      <c r="IL76" s="97"/>
      <c r="IM76" s="97"/>
      <c r="IN76" s="97"/>
      <c r="IO76" s="97"/>
      <c r="IP76" s="97"/>
      <c r="IQ76" s="97"/>
      <c r="IR76" s="97"/>
      <c r="IS76" s="97"/>
    </row>
    <row r="77" spans="1:253" hidden="1">
      <c r="A77" s="28"/>
      <c r="J77" s="86" t="s">
        <v>73</v>
      </c>
      <c r="L77" s="37"/>
      <c r="M77" s="36"/>
      <c r="N77" s="34"/>
      <c r="O77" s="35"/>
      <c r="P77" s="82" t="s">
        <v>76</v>
      </c>
      <c r="Q77" s="97"/>
      <c r="R77" s="146">
        <v>41</v>
      </c>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c r="DK77" s="97"/>
      <c r="DL77" s="97"/>
      <c r="DM77" s="97"/>
      <c r="DN77" s="97"/>
      <c r="DO77" s="97"/>
      <c r="DP77" s="97"/>
      <c r="DQ77" s="97"/>
      <c r="DR77" s="97"/>
      <c r="DS77" s="97"/>
      <c r="DT77" s="97"/>
      <c r="DU77" s="97"/>
      <c r="DV77" s="97"/>
      <c r="DW77" s="97"/>
      <c r="DX77" s="97"/>
      <c r="DY77" s="97"/>
      <c r="DZ77" s="97"/>
      <c r="EA77" s="97"/>
      <c r="EB77" s="97"/>
      <c r="EC77" s="97"/>
      <c r="ED77" s="97"/>
      <c r="EE77" s="97"/>
      <c r="EF77" s="97"/>
      <c r="EG77" s="97"/>
      <c r="EH77" s="97"/>
      <c r="EI77" s="97"/>
      <c r="EJ77" s="97"/>
      <c r="EK77" s="97"/>
      <c r="EL77" s="97"/>
      <c r="EM77" s="97"/>
      <c r="EN77" s="97"/>
      <c r="EO77" s="97"/>
      <c r="EP77" s="97"/>
      <c r="EQ77" s="97"/>
      <c r="ER77" s="97"/>
      <c r="ES77" s="97"/>
      <c r="ET77" s="97"/>
      <c r="EU77" s="97"/>
      <c r="EV77" s="97"/>
      <c r="EW77" s="97"/>
      <c r="EX77" s="97"/>
      <c r="EY77" s="97"/>
      <c r="EZ77" s="97"/>
      <c r="FA77" s="97"/>
      <c r="FB77" s="97"/>
      <c r="FC77" s="97"/>
      <c r="FD77" s="97"/>
      <c r="FE77" s="97"/>
      <c r="FF77" s="97"/>
      <c r="FG77" s="97"/>
      <c r="FH77" s="97"/>
      <c r="FI77" s="97"/>
      <c r="FJ77" s="97"/>
      <c r="FK77" s="97"/>
      <c r="FL77" s="97"/>
      <c r="FM77" s="97"/>
      <c r="FN77" s="97"/>
      <c r="FO77" s="97"/>
      <c r="FP77" s="97"/>
      <c r="FQ77" s="97"/>
      <c r="FR77" s="97"/>
      <c r="FS77" s="97"/>
      <c r="FT77" s="97"/>
      <c r="FU77" s="97"/>
      <c r="FV77" s="97"/>
      <c r="FW77" s="97"/>
      <c r="FX77" s="97"/>
      <c r="FY77" s="97"/>
      <c r="FZ77" s="97"/>
      <c r="GA77" s="97"/>
      <c r="GB77" s="97"/>
      <c r="GC77" s="97"/>
      <c r="GD77" s="97"/>
      <c r="GE77" s="97"/>
      <c r="GF77" s="97"/>
      <c r="GG77" s="97"/>
      <c r="GH77" s="97"/>
      <c r="GI77" s="97"/>
      <c r="GJ77" s="97"/>
      <c r="GK77" s="97"/>
      <c r="GL77" s="97"/>
      <c r="GM77" s="97"/>
      <c r="GN77" s="97"/>
      <c r="GO77" s="97"/>
      <c r="GP77" s="97"/>
      <c r="GQ77" s="97"/>
      <c r="GR77" s="97"/>
      <c r="GS77" s="97"/>
      <c r="GT77" s="97"/>
      <c r="GU77" s="97"/>
      <c r="GV77" s="97"/>
      <c r="GW77" s="97"/>
      <c r="GX77" s="97"/>
      <c r="GY77" s="97"/>
      <c r="GZ77" s="97"/>
      <c r="HA77" s="97"/>
      <c r="HB77" s="97"/>
      <c r="HC77" s="97"/>
      <c r="HD77" s="97"/>
      <c r="HE77" s="97"/>
      <c r="HF77" s="97"/>
      <c r="HG77" s="97"/>
      <c r="HH77" s="97"/>
      <c r="HI77" s="97"/>
      <c r="HJ77" s="97"/>
      <c r="HK77" s="97"/>
      <c r="HL77" s="97"/>
      <c r="HM77" s="97"/>
      <c r="HN77" s="97"/>
      <c r="HO77" s="97"/>
      <c r="HP77" s="97"/>
      <c r="HQ77" s="97"/>
      <c r="HR77" s="97"/>
      <c r="HS77" s="97"/>
      <c r="HT77" s="97"/>
      <c r="HU77" s="97"/>
      <c r="HV77" s="97"/>
      <c r="HW77" s="97"/>
      <c r="HX77" s="97"/>
      <c r="HY77" s="97"/>
      <c r="HZ77" s="97"/>
      <c r="IA77" s="97"/>
      <c r="IB77" s="97"/>
      <c r="IC77" s="97"/>
      <c r="ID77" s="97"/>
      <c r="IE77" s="97"/>
      <c r="IF77" s="97"/>
      <c r="IG77" s="97"/>
      <c r="IH77" s="97"/>
      <c r="II77" s="97"/>
      <c r="IJ77" s="97"/>
      <c r="IK77" s="97"/>
      <c r="IL77" s="97"/>
      <c r="IM77" s="97"/>
      <c r="IN77" s="97"/>
      <c r="IO77" s="97"/>
      <c r="IP77" s="97"/>
      <c r="IQ77" s="97"/>
      <c r="IR77" s="97"/>
      <c r="IS77" s="97"/>
    </row>
    <row r="78" spans="1:253" hidden="1">
      <c r="A78" s="28"/>
      <c r="J78" s="87">
        <v>33</v>
      </c>
      <c r="K78" s="19" t="str">
        <f>'Data Export'!B34</f>
        <v/>
      </c>
      <c r="L78" s="22" t="str">
        <f>IF(K78="", "", 'Strip Curtains'!K8)</f>
        <v/>
      </c>
      <c r="M78" s="22" t="str">
        <f>IF(K78="", "", 'Strip Curtains'!L8)</f>
        <v/>
      </c>
      <c r="N78" s="6" t="str">
        <f>IF(K78="", "", IF('Strip Curtains'!I8="", "", 1))</f>
        <v/>
      </c>
      <c r="O78" s="83" t="str">
        <f>IF(K78="", "", 'Strip Curtains'!M8)</f>
        <v/>
      </c>
      <c r="P78" s="6" t="str">
        <f t="shared" ref="P78:P85" si="4">IF(K78="","",CONCATENATE($C$10,J78))</f>
        <v/>
      </c>
      <c r="Q78" s="97"/>
      <c r="R78" s="146">
        <v>42</v>
      </c>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c r="DM78" s="97"/>
      <c r="DN78" s="97"/>
      <c r="DO78" s="97"/>
      <c r="DP78" s="97"/>
      <c r="DQ78" s="97"/>
      <c r="DR78" s="97"/>
      <c r="DS78" s="97"/>
      <c r="DT78" s="97"/>
      <c r="DU78" s="97"/>
      <c r="DV78" s="97"/>
      <c r="DW78" s="97"/>
      <c r="DX78" s="97"/>
      <c r="DY78" s="97"/>
      <c r="DZ78" s="97"/>
      <c r="EA78" s="97"/>
      <c r="EB78" s="97"/>
      <c r="EC78" s="97"/>
      <c r="ED78" s="97"/>
      <c r="EE78" s="97"/>
      <c r="EF78" s="97"/>
      <c r="EG78" s="97"/>
      <c r="EH78" s="97"/>
      <c r="EI78" s="97"/>
      <c r="EJ78" s="97"/>
      <c r="EK78" s="97"/>
      <c r="EL78" s="97"/>
      <c r="EM78" s="97"/>
      <c r="EN78" s="97"/>
      <c r="EO78" s="97"/>
      <c r="EP78" s="97"/>
      <c r="EQ78" s="97"/>
      <c r="ER78" s="97"/>
      <c r="ES78" s="97"/>
      <c r="ET78" s="97"/>
      <c r="EU78" s="97"/>
      <c r="EV78" s="97"/>
      <c r="EW78" s="97"/>
      <c r="EX78" s="97"/>
      <c r="EY78" s="97"/>
      <c r="EZ78" s="97"/>
      <c r="FA78" s="97"/>
      <c r="FB78" s="97"/>
      <c r="FC78" s="97"/>
      <c r="FD78" s="97"/>
      <c r="FE78" s="97"/>
      <c r="FF78" s="97"/>
      <c r="FG78" s="97"/>
      <c r="FH78" s="97"/>
      <c r="FI78" s="97"/>
      <c r="FJ78" s="97"/>
      <c r="FK78" s="97"/>
      <c r="FL78" s="97"/>
      <c r="FM78" s="97"/>
      <c r="FN78" s="97"/>
      <c r="FO78" s="97"/>
      <c r="FP78" s="97"/>
      <c r="FQ78" s="97"/>
      <c r="FR78" s="97"/>
      <c r="FS78" s="97"/>
      <c r="FT78" s="97"/>
      <c r="FU78" s="97"/>
      <c r="FV78" s="97"/>
      <c r="FW78" s="97"/>
      <c r="FX78" s="97"/>
      <c r="FY78" s="97"/>
      <c r="FZ78" s="97"/>
      <c r="GA78" s="97"/>
      <c r="GB78" s="97"/>
      <c r="GC78" s="97"/>
      <c r="GD78" s="97"/>
      <c r="GE78" s="97"/>
      <c r="GF78" s="97"/>
      <c r="GG78" s="97"/>
      <c r="GH78" s="97"/>
      <c r="GI78" s="97"/>
      <c r="GJ78" s="97"/>
      <c r="GK78" s="97"/>
      <c r="GL78" s="97"/>
      <c r="GM78" s="97"/>
      <c r="GN78" s="97"/>
      <c r="GO78" s="97"/>
      <c r="GP78" s="97"/>
      <c r="GQ78" s="97"/>
      <c r="GR78" s="97"/>
      <c r="GS78" s="97"/>
      <c r="GT78" s="97"/>
      <c r="GU78" s="97"/>
      <c r="GV78" s="97"/>
      <c r="GW78" s="97"/>
      <c r="GX78" s="97"/>
      <c r="GY78" s="97"/>
      <c r="GZ78" s="97"/>
      <c r="HA78" s="97"/>
      <c r="HB78" s="97"/>
      <c r="HC78" s="97"/>
      <c r="HD78" s="97"/>
      <c r="HE78" s="97"/>
      <c r="HF78" s="97"/>
      <c r="HG78" s="97"/>
      <c r="HH78" s="97"/>
      <c r="HI78" s="97"/>
      <c r="HJ78" s="97"/>
      <c r="HK78" s="97"/>
      <c r="HL78" s="97"/>
      <c r="HM78" s="97"/>
      <c r="HN78" s="97"/>
      <c r="HO78" s="97"/>
      <c r="HP78" s="97"/>
      <c r="HQ78" s="97"/>
      <c r="HR78" s="97"/>
      <c r="HS78" s="97"/>
      <c r="HT78" s="97"/>
      <c r="HU78" s="97"/>
      <c r="HV78" s="97"/>
      <c r="HW78" s="97"/>
      <c r="HX78" s="97"/>
      <c r="HY78" s="97"/>
      <c r="HZ78" s="97"/>
      <c r="IA78" s="97"/>
      <c r="IB78" s="97"/>
      <c r="IC78" s="97"/>
      <c r="ID78" s="97"/>
      <c r="IE78" s="97"/>
      <c r="IF78" s="97"/>
      <c r="IG78" s="97"/>
      <c r="IH78" s="97"/>
      <c r="II78" s="97"/>
      <c r="IJ78" s="97"/>
      <c r="IK78" s="97"/>
      <c r="IL78" s="97"/>
      <c r="IM78" s="97"/>
      <c r="IN78" s="97"/>
      <c r="IO78" s="97"/>
      <c r="IP78" s="97"/>
      <c r="IQ78" s="97"/>
      <c r="IR78" s="97"/>
      <c r="IS78" s="97"/>
    </row>
    <row r="79" spans="1:253" hidden="1">
      <c r="A79" s="28"/>
      <c r="J79" s="87">
        <v>34</v>
      </c>
      <c r="K79" s="19" t="str">
        <f>'Data Export'!B35</f>
        <v/>
      </c>
      <c r="L79" s="22" t="str">
        <f>IF(K79="", "", 'Strip Curtains'!K9)</f>
        <v/>
      </c>
      <c r="M79" s="22" t="str">
        <f>IF(K79="", "", 'Strip Curtains'!L9)</f>
        <v/>
      </c>
      <c r="N79" s="6" t="str">
        <f>IF(K79="", "", IF('Strip Curtains'!I9="", "", 1))</f>
        <v/>
      </c>
      <c r="O79" s="83" t="str">
        <f>IF(K79="", "", 'Strip Curtains'!M9)</f>
        <v/>
      </c>
      <c r="P79" s="6" t="str">
        <f t="shared" si="4"/>
        <v/>
      </c>
      <c r="Q79" s="97"/>
      <c r="R79" s="146">
        <v>43</v>
      </c>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c r="CG79" s="97"/>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7"/>
      <c r="DK79" s="97"/>
      <c r="DL79" s="97"/>
      <c r="DM79" s="97"/>
      <c r="DN79" s="97"/>
      <c r="DO79" s="97"/>
      <c r="DP79" s="97"/>
      <c r="DQ79" s="97"/>
      <c r="DR79" s="97"/>
      <c r="DS79" s="97"/>
      <c r="DT79" s="97"/>
      <c r="DU79" s="97"/>
      <c r="DV79" s="97"/>
      <c r="DW79" s="97"/>
      <c r="DX79" s="97"/>
      <c r="DY79" s="97"/>
      <c r="DZ79" s="97"/>
      <c r="EA79" s="97"/>
      <c r="EB79" s="97"/>
      <c r="EC79" s="97"/>
      <c r="ED79" s="97"/>
      <c r="EE79" s="97"/>
      <c r="EF79" s="97"/>
      <c r="EG79" s="97"/>
      <c r="EH79" s="97"/>
      <c r="EI79" s="97"/>
      <c r="EJ79" s="97"/>
      <c r="EK79" s="97"/>
      <c r="EL79" s="97"/>
      <c r="EM79" s="97"/>
      <c r="EN79" s="97"/>
      <c r="EO79" s="97"/>
      <c r="EP79" s="97"/>
      <c r="EQ79" s="97"/>
      <c r="ER79" s="97"/>
      <c r="ES79" s="97"/>
      <c r="ET79" s="97"/>
      <c r="EU79" s="97"/>
      <c r="EV79" s="97"/>
      <c r="EW79" s="97"/>
      <c r="EX79" s="97"/>
      <c r="EY79" s="97"/>
      <c r="EZ79" s="97"/>
      <c r="FA79" s="97"/>
      <c r="FB79" s="97"/>
      <c r="FC79" s="97"/>
      <c r="FD79" s="97"/>
      <c r="FE79" s="97"/>
      <c r="FF79" s="97"/>
      <c r="FG79" s="97"/>
      <c r="FH79" s="97"/>
      <c r="FI79" s="97"/>
      <c r="FJ79" s="97"/>
      <c r="FK79" s="97"/>
      <c r="FL79" s="97"/>
      <c r="FM79" s="97"/>
      <c r="FN79" s="97"/>
      <c r="FO79" s="97"/>
      <c r="FP79" s="97"/>
      <c r="FQ79" s="97"/>
      <c r="FR79" s="97"/>
      <c r="FS79" s="97"/>
      <c r="FT79" s="97"/>
      <c r="FU79" s="97"/>
      <c r="FV79" s="97"/>
      <c r="FW79" s="97"/>
      <c r="FX79" s="97"/>
      <c r="FY79" s="97"/>
      <c r="FZ79" s="97"/>
      <c r="GA79" s="97"/>
      <c r="GB79" s="97"/>
      <c r="GC79" s="97"/>
      <c r="GD79" s="97"/>
      <c r="GE79" s="97"/>
      <c r="GF79" s="97"/>
      <c r="GG79" s="97"/>
      <c r="GH79" s="97"/>
      <c r="GI79" s="97"/>
      <c r="GJ79" s="97"/>
      <c r="GK79" s="97"/>
      <c r="GL79" s="97"/>
      <c r="GM79" s="97"/>
      <c r="GN79" s="97"/>
      <c r="GO79" s="97"/>
      <c r="GP79" s="97"/>
      <c r="GQ79" s="97"/>
      <c r="GR79" s="97"/>
      <c r="GS79" s="97"/>
      <c r="GT79" s="97"/>
      <c r="GU79" s="97"/>
      <c r="GV79" s="97"/>
      <c r="GW79" s="97"/>
      <c r="GX79" s="97"/>
      <c r="GY79" s="97"/>
      <c r="GZ79" s="97"/>
      <c r="HA79" s="97"/>
      <c r="HB79" s="97"/>
      <c r="HC79" s="97"/>
      <c r="HD79" s="97"/>
      <c r="HE79" s="97"/>
      <c r="HF79" s="97"/>
      <c r="HG79" s="97"/>
      <c r="HH79" s="97"/>
      <c r="HI79" s="97"/>
      <c r="HJ79" s="97"/>
      <c r="HK79" s="97"/>
      <c r="HL79" s="97"/>
      <c r="HM79" s="97"/>
      <c r="HN79" s="97"/>
      <c r="HO79" s="97"/>
      <c r="HP79" s="97"/>
      <c r="HQ79" s="97"/>
      <c r="HR79" s="97"/>
      <c r="HS79" s="97"/>
      <c r="HT79" s="97"/>
      <c r="HU79" s="97"/>
      <c r="HV79" s="97"/>
      <c r="HW79" s="97"/>
      <c r="HX79" s="97"/>
      <c r="HY79" s="97"/>
      <c r="HZ79" s="97"/>
      <c r="IA79" s="97"/>
      <c r="IB79" s="97"/>
      <c r="IC79" s="97"/>
      <c r="ID79" s="97"/>
      <c r="IE79" s="97"/>
      <c r="IF79" s="97"/>
      <c r="IG79" s="97"/>
      <c r="IH79" s="97"/>
      <c r="II79" s="97"/>
      <c r="IJ79" s="97"/>
      <c r="IK79" s="97"/>
      <c r="IL79" s="97"/>
      <c r="IM79" s="97"/>
      <c r="IN79" s="97"/>
      <c r="IO79" s="97"/>
      <c r="IP79" s="97"/>
      <c r="IQ79" s="97"/>
      <c r="IR79" s="97"/>
      <c r="IS79" s="97"/>
    </row>
    <row r="80" spans="1:253" hidden="1">
      <c r="A80" s="28"/>
      <c r="J80" s="87">
        <v>35</v>
      </c>
      <c r="K80" s="19" t="str">
        <f>'Data Export'!B36</f>
        <v/>
      </c>
      <c r="L80" s="22" t="str">
        <f>IF(K80="", "", 'Strip Curtains'!K10)</f>
        <v/>
      </c>
      <c r="M80" s="22" t="str">
        <f>IF(K80="", "", 'Strip Curtains'!L10)</f>
        <v/>
      </c>
      <c r="N80" s="6" t="str">
        <f>IF(K80="", "", IF('Strip Curtains'!I10="", "", 1))</f>
        <v/>
      </c>
      <c r="O80" s="83" t="str">
        <f>IF(K80="", "", 'Strip Curtains'!M10)</f>
        <v/>
      </c>
      <c r="P80" s="6" t="str">
        <f t="shared" si="4"/>
        <v/>
      </c>
      <c r="Q80" s="97"/>
      <c r="R80" s="146">
        <v>44</v>
      </c>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7"/>
      <c r="CE80" s="97"/>
      <c r="CF80" s="97"/>
      <c r="CG80" s="97"/>
      <c r="CH80" s="97"/>
      <c r="CI80" s="97"/>
      <c r="CJ80" s="97"/>
      <c r="CK80" s="97"/>
      <c r="CL80" s="97"/>
      <c r="CM80" s="97"/>
      <c r="CN80" s="97"/>
      <c r="CO80" s="97"/>
      <c r="CP80" s="97"/>
      <c r="CQ80" s="97"/>
      <c r="CR80" s="97"/>
      <c r="CS80" s="97"/>
      <c r="CT80" s="97"/>
      <c r="CU80" s="97"/>
      <c r="CV80" s="97"/>
      <c r="CW80" s="97"/>
      <c r="CX80" s="97"/>
      <c r="CY80" s="97"/>
      <c r="CZ80" s="97"/>
      <c r="DA80" s="97"/>
      <c r="DB80" s="97"/>
      <c r="DC80" s="97"/>
      <c r="DD80" s="97"/>
      <c r="DE80" s="97"/>
      <c r="DF80" s="97"/>
      <c r="DG80" s="97"/>
      <c r="DH80" s="97"/>
      <c r="DI80" s="97"/>
      <c r="DJ80" s="97"/>
      <c r="DK80" s="97"/>
      <c r="DL80" s="97"/>
      <c r="DM80" s="97"/>
      <c r="DN80" s="97"/>
      <c r="DO80" s="97"/>
      <c r="DP80" s="97"/>
      <c r="DQ80" s="97"/>
      <c r="DR80" s="97"/>
      <c r="DS80" s="97"/>
      <c r="DT80" s="97"/>
      <c r="DU80" s="97"/>
      <c r="DV80" s="97"/>
      <c r="DW80" s="97"/>
      <c r="DX80" s="97"/>
      <c r="DY80" s="97"/>
      <c r="DZ80" s="97"/>
      <c r="EA80" s="97"/>
      <c r="EB80" s="97"/>
      <c r="EC80" s="97"/>
      <c r="ED80" s="97"/>
      <c r="EE80" s="97"/>
      <c r="EF80" s="97"/>
      <c r="EG80" s="97"/>
      <c r="EH80" s="97"/>
      <c r="EI80" s="97"/>
      <c r="EJ80" s="97"/>
      <c r="EK80" s="97"/>
      <c r="EL80" s="97"/>
      <c r="EM80" s="97"/>
      <c r="EN80" s="97"/>
      <c r="EO80" s="97"/>
      <c r="EP80" s="97"/>
      <c r="EQ80" s="97"/>
      <c r="ER80" s="97"/>
      <c r="ES80" s="97"/>
      <c r="ET80" s="97"/>
      <c r="EU80" s="97"/>
      <c r="EV80" s="97"/>
      <c r="EW80" s="97"/>
      <c r="EX80" s="97"/>
      <c r="EY80" s="97"/>
      <c r="EZ80" s="97"/>
      <c r="FA80" s="97"/>
      <c r="FB80" s="97"/>
      <c r="FC80" s="97"/>
      <c r="FD80" s="97"/>
      <c r="FE80" s="97"/>
      <c r="FF80" s="97"/>
      <c r="FG80" s="97"/>
      <c r="FH80" s="97"/>
      <c r="FI80" s="97"/>
      <c r="FJ80" s="97"/>
      <c r="FK80" s="97"/>
      <c r="FL80" s="97"/>
      <c r="FM80" s="97"/>
      <c r="FN80" s="97"/>
      <c r="FO80" s="97"/>
      <c r="FP80" s="97"/>
      <c r="FQ80" s="97"/>
      <c r="FR80" s="97"/>
      <c r="FS80" s="97"/>
      <c r="FT80" s="97"/>
      <c r="FU80" s="97"/>
      <c r="FV80" s="97"/>
      <c r="FW80" s="97"/>
      <c r="FX80" s="97"/>
      <c r="FY80" s="97"/>
      <c r="FZ80" s="97"/>
      <c r="GA80" s="97"/>
      <c r="GB80" s="97"/>
      <c r="GC80" s="97"/>
      <c r="GD80" s="97"/>
      <c r="GE80" s="97"/>
      <c r="GF80" s="97"/>
      <c r="GG80" s="97"/>
      <c r="GH80" s="97"/>
      <c r="GI80" s="97"/>
      <c r="GJ80" s="97"/>
      <c r="GK80" s="97"/>
      <c r="GL80" s="97"/>
      <c r="GM80" s="97"/>
      <c r="GN80" s="97"/>
      <c r="GO80" s="97"/>
      <c r="GP80" s="97"/>
      <c r="GQ80" s="97"/>
      <c r="GR80" s="97"/>
      <c r="GS80" s="97"/>
      <c r="GT80" s="97"/>
      <c r="GU80" s="97"/>
      <c r="GV80" s="97"/>
      <c r="GW80" s="97"/>
      <c r="GX80" s="97"/>
      <c r="GY80" s="97"/>
      <c r="GZ80" s="97"/>
      <c r="HA80" s="97"/>
      <c r="HB80" s="97"/>
      <c r="HC80" s="97"/>
      <c r="HD80" s="97"/>
      <c r="HE80" s="97"/>
      <c r="HF80" s="97"/>
      <c r="HG80" s="97"/>
      <c r="HH80" s="97"/>
      <c r="HI80" s="97"/>
      <c r="HJ80" s="97"/>
      <c r="HK80" s="97"/>
      <c r="HL80" s="97"/>
      <c r="HM80" s="97"/>
      <c r="HN80" s="97"/>
      <c r="HO80" s="97"/>
      <c r="HP80" s="97"/>
      <c r="HQ80" s="97"/>
      <c r="HR80" s="97"/>
      <c r="HS80" s="97"/>
      <c r="HT80" s="97"/>
      <c r="HU80" s="97"/>
      <c r="HV80" s="97"/>
      <c r="HW80" s="97"/>
      <c r="HX80" s="97"/>
      <c r="HY80" s="97"/>
      <c r="HZ80" s="97"/>
      <c r="IA80" s="97"/>
      <c r="IB80" s="97"/>
      <c r="IC80" s="97"/>
      <c r="ID80" s="97"/>
      <c r="IE80" s="97"/>
      <c r="IF80" s="97"/>
      <c r="IG80" s="97"/>
      <c r="IH80" s="97"/>
      <c r="II80" s="97"/>
      <c r="IJ80" s="97"/>
      <c r="IK80" s="97"/>
      <c r="IL80" s="97"/>
      <c r="IM80" s="97"/>
      <c r="IN80" s="97"/>
      <c r="IO80" s="97"/>
      <c r="IP80" s="97"/>
      <c r="IQ80" s="97"/>
      <c r="IR80" s="97"/>
      <c r="IS80" s="97"/>
    </row>
    <row r="81" spans="1:253" hidden="1">
      <c r="A81" s="28"/>
      <c r="J81" s="87">
        <v>36</v>
      </c>
      <c r="K81" s="19" t="str">
        <f>'Data Export'!B37</f>
        <v/>
      </c>
      <c r="L81" s="22" t="str">
        <f>IF(K81="", "", 'Strip Curtains'!K11)</f>
        <v/>
      </c>
      <c r="M81" s="22" t="str">
        <f>IF(K81="", "", 'Strip Curtains'!L11)</f>
        <v/>
      </c>
      <c r="N81" s="6" t="str">
        <f>IF(K81="", "", IF('Strip Curtains'!I11="", "", 1))</f>
        <v/>
      </c>
      <c r="O81" s="83" t="str">
        <f>IF(K81="", "", 'Strip Curtains'!M11)</f>
        <v/>
      </c>
      <c r="P81" s="6" t="str">
        <f t="shared" si="4"/>
        <v/>
      </c>
      <c r="Q81" s="97"/>
      <c r="R81" s="146">
        <v>45</v>
      </c>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97"/>
      <c r="CU81" s="97"/>
      <c r="CV81" s="97"/>
      <c r="CW81" s="97"/>
      <c r="CX81" s="97"/>
      <c r="CY81" s="97"/>
      <c r="CZ81" s="97"/>
      <c r="DA81" s="97"/>
      <c r="DB81" s="97"/>
      <c r="DC81" s="97"/>
      <c r="DD81" s="97"/>
      <c r="DE81" s="97"/>
      <c r="DF81" s="97"/>
      <c r="DG81" s="97"/>
      <c r="DH81" s="97"/>
      <c r="DI81" s="97"/>
      <c r="DJ81" s="97"/>
      <c r="DK81" s="97"/>
      <c r="DL81" s="97"/>
      <c r="DM81" s="97"/>
      <c r="DN81" s="97"/>
      <c r="DO81" s="97"/>
      <c r="DP81" s="97"/>
      <c r="DQ81" s="97"/>
      <c r="DR81" s="97"/>
      <c r="DS81" s="97"/>
      <c r="DT81" s="97"/>
      <c r="DU81" s="97"/>
      <c r="DV81" s="97"/>
      <c r="DW81" s="97"/>
      <c r="DX81" s="97"/>
      <c r="DY81" s="97"/>
      <c r="DZ81" s="97"/>
      <c r="EA81" s="97"/>
      <c r="EB81" s="97"/>
      <c r="EC81" s="97"/>
      <c r="ED81" s="97"/>
      <c r="EE81" s="97"/>
      <c r="EF81" s="97"/>
      <c r="EG81" s="97"/>
      <c r="EH81" s="97"/>
      <c r="EI81" s="97"/>
      <c r="EJ81" s="97"/>
      <c r="EK81" s="97"/>
      <c r="EL81" s="97"/>
      <c r="EM81" s="97"/>
      <c r="EN81" s="97"/>
      <c r="EO81" s="97"/>
      <c r="EP81" s="97"/>
      <c r="EQ81" s="97"/>
      <c r="ER81" s="97"/>
      <c r="ES81" s="97"/>
      <c r="ET81" s="97"/>
      <c r="EU81" s="97"/>
      <c r="EV81" s="97"/>
      <c r="EW81" s="97"/>
      <c r="EX81" s="97"/>
      <c r="EY81" s="97"/>
      <c r="EZ81" s="97"/>
      <c r="FA81" s="97"/>
      <c r="FB81" s="97"/>
      <c r="FC81" s="97"/>
      <c r="FD81" s="97"/>
      <c r="FE81" s="97"/>
      <c r="FF81" s="97"/>
      <c r="FG81" s="97"/>
      <c r="FH81" s="97"/>
      <c r="FI81" s="97"/>
      <c r="FJ81" s="97"/>
      <c r="FK81" s="97"/>
      <c r="FL81" s="97"/>
      <c r="FM81" s="97"/>
      <c r="FN81" s="97"/>
      <c r="FO81" s="97"/>
      <c r="FP81" s="97"/>
      <c r="FQ81" s="97"/>
      <c r="FR81" s="97"/>
      <c r="FS81" s="97"/>
      <c r="FT81" s="97"/>
      <c r="FU81" s="97"/>
      <c r="FV81" s="97"/>
      <c r="FW81" s="97"/>
      <c r="FX81" s="97"/>
      <c r="FY81" s="97"/>
      <c r="FZ81" s="97"/>
      <c r="GA81" s="97"/>
      <c r="GB81" s="97"/>
      <c r="GC81" s="97"/>
      <c r="GD81" s="97"/>
      <c r="GE81" s="97"/>
      <c r="GF81" s="97"/>
      <c r="GG81" s="97"/>
      <c r="GH81" s="97"/>
      <c r="GI81" s="97"/>
      <c r="GJ81" s="97"/>
      <c r="GK81" s="97"/>
      <c r="GL81" s="97"/>
      <c r="GM81" s="97"/>
      <c r="GN81" s="97"/>
      <c r="GO81" s="97"/>
      <c r="GP81" s="97"/>
      <c r="GQ81" s="97"/>
      <c r="GR81" s="97"/>
      <c r="GS81" s="97"/>
      <c r="GT81" s="97"/>
      <c r="GU81" s="97"/>
      <c r="GV81" s="97"/>
      <c r="GW81" s="97"/>
      <c r="GX81" s="97"/>
      <c r="GY81" s="97"/>
      <c r="GZ81" s="97"/>
      <c r="HA81" s="97"/>
      <c r="HB81" s="97"/>
      <c r="HC81" s="97"/>
      <c r="HD81" s="97"/>
      <c r="HE81" s="97"/>
      <c r="HF81" s="97"/>
      <c r="HG81" s="97"/>
      <c r="HH81" s="97"/>
      <c r="HI81" s="97"/>
      <c r="HJ81" s="97"/>
      <c r="HK81" s="97"/>
      <c r="HL81" s="97"/>
      <c r="HM81" s="97"/>
      <c r="HN81" s="97"/>
      <c r="HO81" s="97"/>
      <c r="HP81" s="97"/>
      <c r="HQ81" s="97"/>
      <c r="HR81" s="97"/>
      <c r="HS81" s="97"/>
      <c r="HT81" s="97"/>
      <c r="HU81" s="97"/>
      <c r="HV81" s="97"/>
      <c r="HW81" s="97"/>
      <c r="HX81" s="97"/>
      <c r="HY81" s="97"/>
      <c r="HZ81" s="97"/>
      <c r="IA81" s="97"/>
      <c r="IB81" s="97"/>
      <c r="IC81" s="97"/>
      <c r="ID81" s="97"/>
      <c r="IE81" s="97"/>
      <c r="IF81" s="97"/>
      <c r="IG81" s="97"/>
      <c r="IH81" s="97"/>
      <c r="II81" s="97"/>
      <c r="IJ81" s="97"/>
      <c r="IK81" s="97"/>
      <c r="IL81" s="97"/>
      <c r="IM81" s="97"/>
      <c r="IN81" s="97"/>
      <c r="IO81" s="97"/>
      <c r="IP81" s="97"/>
      <c r="IQ81" s="97"/>
      <c r="IR81" s="97"/>
      <c r="IS81" s="97"/>
    </row>
    <row r="82" spans="1:253" hidden="1">
      <c r="A82" s="28"/>
      <c r="J82" s="87">
        <v>37</v>
      </c>
      <c r="K82" s="19" t="str">
        <f>'Data Export'!B38</f>
        <v/>
      </c>
      <c r="L82" s="22" t="str">
        <f>IF(K82="", "", 'Strip Curtains'!K12)</f>
        <v/>
      </c>
      <c r="M82" s="22" t="str">
        <f>IF(K82="", "", 'Strip Curtains'!L12)</f>
        <v/>
      </c>
      <c r="N82" s="6" t="str">
        <f>IF(K82="", "", IF('Strip Curtains'!I12="", "", 1))</f>
        <v/>
      </c>
      <c r="O82" s="83" t="str">
        <f>IF(K82="", "", 'Strip Curtains'!M12)</f>
        <v/>
      </c>
      <c r="P82" s="6" t="str">
        <f t="shared" si="4"/>
        <v/>
      </c>
      <c r="Q82" s="97"/>
      <c r="R82" s="146">
        <v>46</v>
      </c>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7"/>
      <c r="BR82" s="97"/>
      <c r="BS82" s="97"/>
      <c r="BT82" s="97"/>
      <c r="BU82" s="97"/>
      <c r="BV82" s="97"/>
      <c r="BW82" s="97"/>
      <c r="BX82" s="97"/>
      <c r="BY82" s="97"/>
      <c r="BZ82" s="97"/>
      <c r="CA82" s="97"/>
      <c r="CB82" s="97"/>
      <c r="CC82" s="97"/>
      <c r="CD82" s="97"/>
      <c r="CE82" s="97"/>
      <c r="CF82" s="97"/>
      <c r="CG82" s="97"/>
      <c r="CH82" s="97"/>
      <c r="CI82" s="97"/>
      <c r="CJ82" s="97"/>
      <c r="CK82" s="97"/>
      <c r="CL82" s="97"/>
      <c r="CM82" s="97"/>
      <c r="CN82" s="97"/>
      <c r="CO82" s="97"/>
      <c r="CP82" s="97"/>
      <c r="CQ82" s="97"/>
      <c r="CR82" s="97"/>
      <c r="CS82" s="97"/>
      <c r="CT82" s="97"/>
      <c r="CU82" s="97"/>
      <c r="CV82" s="97"/>
      <c r="CW82" s="97"/>
      <c r="CX82" s="97"/>
      <c r="CY82" s="97"/>
      <c r="CZ82" s="97"/>
      <c r="DA82" s="97"/>
      <c r="DB82" s="97"/>
      <c r="DC82" s="97"/>
      <c r="DD82" s="97"/>
      <c r="DE82" s="97"/>
      <c r="DF82" s="97"/>
      <c r="DG82" s="97"/>
      <c r="DH82" s="97"/>
      <c r="DI82" s="97"/>
      <c r="DJ82" s="97"/>
      <c r="DK82" s="97"/>
      <c r="DL82" s="97"/>
      <c r="DM82" s="97"/>
      <c r="DN82" s="97"/>
      <c r="DO82" s="97"/>
      <c r="DP82" s="97"/>
      <c r="DQ82" s="97"/>
      <c r="DR82" s="97"/>
      <c r="DS82" s="97"/>
      <c r="DT82" s="97"/>
      <c r="DU82" s="97"/>
      <c r="DV82" s="97"/>
      <c r="DW82" s="97"/>
      <c r="DX82" s="97"/>
      <c r="DY82" s="97"/>
      <c r="DZ82" s="97"/>
      <c r="EA82" s="97"/>
      <c r="EB82" s="97"/>
      <c r="EC82" s="97"/>
      <c r="ED82" s="97"/>
      <c r="EE82" s="97"/>
      <c r="EF82" s="97"/>
      <c r="EG82" s="97"/>
      <c r="EH82" s="97"/>
      <c r="EI82" s="97"/>
      <c r="EJ82" s="97"/>
      <c r="EK82" s="97"/>
      <c r="EL82" s="97"/>
      <c r="EM82" s="97"/>
      <c r="EN82" s="97"/>
      <c r="EO82" s="97"/>
      <c r="EP82" s="97"/>
      <c r="EQ82" s="97"/>
      <c r="ER82" s="97"/>
      <c r="ES82" s="97"/>
      <c r="ET82" s="97"/>
      <c r="EU82" s="97"/>
      <c r="EV82" s="97"/>
      <c r="EW82" s="97"/>
      <c r="EX82" s="97"/>
      <c r="EY82" s="97"/>
      <c r="EZ82" s="97"/>
      <c r="FA82" s="97"/>
      <c r="FB82" s="97"/>
      <c r="FC82" s="97"/>
      <c r="FD82" s="97"/>
      <c r="FE82" s="97"/>
      <c r="FF82" s="97"/>
      <c r="FG82" s="97"/>
      <c r="FH82" s="97"/>
      <c r="FI82" s="97"/>
      <c r="FJ82" s="97"/>
      <c r="FK82" s="97"/>
      <c r="FL82" s="97"/>
      <c r="FM82" s="97"/>
      <c r="FN82" s="97"/>
      <c r="FO82" s="97"/>
      <c r="FP82" s="97"/>
      <c r="FQ82" s="97"/>
      <c r="FR82" s="97"/>
      <c r="FS82" s="97"/>
      <c r="FT82" s="97"/>
      <c r="FU82" s="97"/>
      <c r="FV82" s="97"/>
      <c r="FW82" s="97"/>
      <c r="FX82" s="97"/>
      <c r="FY82" s="97"/>
      <c r="FZ82" s="97"/>
      <c r="GA82" s="97"/>
      <c r="GB82" s="97"/>
      <c r="GC82" s="97"/>
      <c r="GD82" s="97"/>
      <c r="GE82" s="97"/>
      <c r="GF82" s="97"/>
      <c r="GG82" s="97"/>
      <c r="GH82" s="97"/>
      <c r="GI82" s="97"/>
      <c r="GJ82" s="97"/>
      <c r="GK82" s="97"/>
      <c r="GL82" s="97"/>
      <c r="GM82" s="97"/>
      <c r="GN82" s="97"/>
      <c r="GO82" s="97"/>
      <c r="GP82" s="97"/>
      <c r="GQ82" s="97"/>
      <c r="GR82" s="97"/>
      <c r="GS82" s="97"/>
      <c r="GT82" s="97"/>
      <c r="GU82" s="97"/>
      <c r="GV82" s="97"/>
      <c r="GW82" s="97"/>
      <c r="GX82" s="97"/>
      <c r="GY82" s="97"/>
      <c r="GZ82" s="97"/>
      <c r="HA82" s="97"/>
      <c r="HB82" s="97"/>
      <c r="HC82" s="97"/>
      <c r="HD82" s="97"/>
      <c r="HE82" s="97"/>
      <c r="HF82" s="97"/>
      <c r="HG82" s="97"/>
      <c r="HH82" s="97"/>
      <c r="HI82" s="97"/>
      <c r="HJ82" s="97"/>
      <c r="HK82" s="97"/>
      <c r="HL82" s="97"/>
      <c r="HM82" s="97"/>
      <c r="HN82" s="97"/>
      <c r="HO82" s="97"/>
      <c r="HP82" s="97"/>
      <c r="HQ82" s="97"/>
      <c r="HR82" s="97"/>
      <c r="HS82" s="97"/>
      <c r="HT82" s="97"/>
      <c r="HU82" s="97"/>
      <c r="HV82" s="97"/>
      <c r="HW82" s="97"/>
      <c r="HX82" s="97"/>
      <c r="HY82" s="97"/>
      <c r="HZ82" s="97"/>
      <c r="IA82" s="97"/>
      <c r="IB82" s="97"/>
      <c r="IC82" s="97"/>
      <c r="ID82" s="97"/>
      <c r="IE82" s="97"/>
      <c r="IF82" s="97"/>
      <c r="IG82" s="97"/>
      <c r="IH82" s="97"/>
      <c r="II82" s="97"/>
      <c r="IJ82" s="97"/>
      <c r="IK82" s="97"/>
      <c r="IL82" s="97"/>
      <c r="IM82" s="97"/>
      <c r="IN82" s="97"/>
      <c r="IO82" s="97"/>
      <c r="IP82" s="97"/>
      <c r="IQ82" s="97"/>
      <c r="IR82" s="97"/>
      <c r="IS82" s="97"/>
    </row>
    <row r="83" spans="1:253" hidden="1">
      <c r="A83" s="28"/>
      <c r="J83" s="87">
        <v>38</v>
      </c>
      <c r="K83" s="19" t="str">
        <f>'Data Export'!B39</f>
        <v/>
      </c>
      <c r="L83" s="22" t="str">
        <f>IF(K83="", "", 'Strip Curtains'!K13)</f>
        <v/>
      </c>
      <c r="M83" s="22" t="str">
        <f>IF(K83="", "", 'Strip Curtains'!L13)</f>
        <v/>
      </c>
      <c r="N83" s="6" t="str">
        <f>IF(K83="", "", IF('Strip Curtains'!I13="", "", 1))</f>
        <v/>
      </c>
      <c r="O83" s="83" t="str">
        <f>IF(K83="", "", 'Strip Curtains'!M13)</f>
        <v/>
      </c>
      <c r="P83" s="6" t="str">
        <f t="shared" si="4"/>
        <v/>
      </c>
      <c r="Q83" s="97"/>
      <c r="R83" s="146">
        <v>47</v>
      </c>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97"/>
      <c r="BS83" s="97"/>
      <c r="BT83" s="97"/>
      <c r="BU83" s="97"/>
      <c r="BV83" s="97"/>
      <c r="BW83" s="97"/>
      <c r="BX83" s="97"/>
      <c r="BY83" s="97"/>
      <c r="BZ83" s="97"/>
      <c r="CA83" s="97"/>
      <c r="CB83" s="97"/>
      <c r="CC83" s="97"/>
      <c r="CD83" s="97"/>
      <c r="CE83" s="97"/>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c r="DK83" s="97"/>
      <c r="DL83" s="97"/>
      <c r="DM83" s="97"/>
      <c r="DN83" s="97"/>
      <c r="DO83" s="97"/>
      <c r="DP83" s="97"/>
      <c r="DQ83" s="97"/>
      <c r="DR83" s="97"/>
      <c r="DS83" s="97"/>
      <c r="DT83" s="97"/>
      <c r="DU83" s="97"/>
      <c r="DV83" s="97"/>
      <c r="DW83" s="97"/>
      <c r="DX83" s="97"/>
      <c r="DY83" s="97"/>
      <c r="DZ83" s="97"/>
      <c r="EA83" s="97"/>
      <c r="EB83" s="97"/>
      <c r="EC83" s="97"/>
      <c r="ED83" s="97"/>
      <c r="EE83" s="97"/>
      <c r="EF83" s="97"/>
      <c r="EG83" s="97"/>
      <c r="EH83" s="97"/>
      <c r="EI83" s="97"/>
      <c r="EJ83" s="97"/>
      <c r="EK83" s="97"/>
      <c r="EL83" s="97"/>
      <c r="EM83" s="97"/>
      <c r="EN83" s="97"/>
      <c r="EO83" s="97"/>
      <c r="EP83" s="97"/>
      <c r="EQ83" s="97"/>
      <c r="ER83" s="97"/>
      <c r="ES83" s="97"/>
      <c r="ET83" s="97"/>
      <c r="EU83" s="97"/>
      <c r="EV83" s="97"/>
      <c r="EW83" s="97"/>
      <c r="EX83" s="97"/>
      <c r="EY83" s="97"/>
      <c r="EZ83" s="97"/>
      <c r="FA83" s="97"/>
      <c r="FB83" s="97"/>
      <c r="FC83" s="97"/>
      <c r="FD83" s="97"/>
      <c r="FE83" s="97"/>
      <c r="FF83" s="97"/>
      <c r="FG83" s="97"/>
      <c r="FH83" s="97"/>
      <c r="FI83" s="97"/>
      <c r="FJ83" s="97"/>
      <c r="FK83" s="97"/>
      <c r="FL83" s="97"/>
      <c r="FM83" s="97"/>
      <c r="FN83" s="97"/>
      <c r="FO83" s="97"/>
      <c r="FP83" s="97"/>
      <c r="FQ83" s="97"/>
      <c r="FR83" s="97"/>
      <c r="FS83" s="97"/>
      <c r="FT83" s="97"/>
      <c r="FU83" s="97"/>
      <c r="FV83" s="97"/>
      <c r="FW83" s="97"/>
      <c r="FX83" s="97"/>
      <c r="FY83" s="97"/>
      <c r="FZ83" s="97"/>
      <c r="GA83" s="97"/>
      <c r="GB83" s="97"/>
      <c r="GC83" s="97"/>
      <c r="GD83" s="97"/>
      <c r="GE83" s="97"/>
      <c r="GF83" s="97"/>
      <c r="GG83" s="97"/>
      <c r="GH83" s="97"/>
      <c r="GI83" s="97"/>
      <c r="GJ83" s="97"/>
      <c r="GK83" s="97"/>
      <c r="GL83" s="97"/>
      <c r="GM83" s="97"/>
      <c r="GN83" s="97"/>
      <c r="GO83" s="97"/>
      <c r="GP83" s="97"/>
      <c r="GQ83" s="97"/>
      <c r="GR83" s="97"/>
      <c r="GS83" s="97"/>
      <c r="GT83" s="97"/>
      <c r="GU83" s="97"/>
      <c r="GV83" s="97"/>
      <c r="GW83" s="97"/>
      <c r="GX83" s="97"/>
      <c r="GY83" s="97"/>
      <c r="GZ83" s="97"/>
      <c r="HA83" s="97"/>
      <c r="HB83" s="97"/>
      <c r="HC83" s="97"/>
      <c r="HD83" s="97"/>
      <c r="HE83" s="97"/>
      <c r="HF83" s="97"/>
      <c r="HG83" s="97"/>
      <c r="HH83" s="97"/>
      <c r="HI83" s="97"/>
      <c r="HJ83" s="97"/>
      <c r="HK83" s="97"/>
      <c r="HL83" s="97"/>
      <c r="HM83" s="97"/>
      <c r="HN83" s="97"/>
      <c r="HO83" s="97"/>
      <c r="HP83" s="97"/>
      <c r="HQ83" s="97"/>
      <c r="HR83" s="97"/>
      <c r="HS83" s="97"/>
      <c r="HT83" s="97"/>
      <c r="HU83" s="97"/>
      <c r="HV83" s="97"/>
      <c r="HW83" s="97"/>
      <c r="HX83" s="97"/>
      <c r="HY83" s="97"/>
      <c r="HZ83" s="97"/>
      <c r="IA83" s="97"/>
      <c r="IB83" s="97"/>
      <c r="IC83" s="97"/>
      <c r="ID83" s="97"/>
      <c r="IE83" s="97"/>
      <c r="IF83" s="97"/>
      <c r="IG83" s="97"/>
      <c r="IH83" s="97"/>
      <c r="II83" s="97"/>
      <c r="IJ83" s="97"/>
      <c r="IK83" s="97"/>
      <c r="IL83" s="97"/>
      <c r="IM83" s="97"/>
      <c r="IN83" s="97"/>
      <c r="IO83" s="97"/>
      <c r="IP83" s="97"/>
      <c r="IQ83" s="97"/>
      <c r="IR83" s="97"/>
      <c r="IS83" s="97"/>
    </row>
    <row r="84" spans="1:253" hidden="1">
      <c r="A84" s="28"/>
      <c r="J84" s="87">
        <v>39</v>
      </c>
      <c r="K84" s="19" t="str">
        <f>'Data Export'!B40</f>
        <v/>
      </c>
      <c r="L84" s="22" t="str">
        <f>IF(K84="", "", 'Strip Curtains'!K14)</f>
        <v/>
      </c>
      <c r="M84" s="22" t="str">
        <f>IF(K84="", "", 'Strip Curtains'!L14)</f>
        <v/>
      </c>
      <c r="N84" s="6" t="str">
        <f>IF(K84="", "", IF('Strip Curtains'!I14="", "", 1))</f>
        <v/>
      </c>
      <c r="O84" s="83" t="str">
        <f>IF(K84="", "", 'Strip Curtains'!M14)</f>
        <v/>
      </c>
      <c r="P84" s="6" t="str">
        <f t="shared" si="4"/>
        <v/>
      </c>
      <c r="Q84" s="97"/>
      <c r="R84" s="146">
        <v>48</v>
      </c>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row>
    <row r="85" spans="1:253" hidden="1">
      <c r="A85" s="28"/>
      <c r="J85" s="87">
        <v>40</v>
      </c>
      <c r="K85" s="19" t="str">
        <f>'Data Export'!B41</f>
        <v/>
      </c>
      <c r="L85" s="22" t="str">
        <f>IF(K85="", "", 'Strip Curtains'!K15)</f>
        <v/>
      </c>
      <c r="M85" s="22" t="str">
        <f>IF(K85="", "", 'Strip Curtains'!L15)</f>
        <v/>
      </c>
      <c r="N85" s="6" t="str">
        <f>IF(K85="", "", IF('Strip Curtains'!I15="", "", 1))</f>
        <v/>
      </c>
      <c r="O85" s="83" t="str">
        <f>IF(K85="", "", 'Strip Curtains'!M15)</f>
        <v/>
      </c>
      <c r="P85" s="6" t="str">
        <f t="shared" si="4"/>
        <v/>
      </c>
      <c r="Q85" s="97"/>
      <c r="R85" s="146">
        <v>49</v>
      </c>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row>
    <row r="86" spans="1:253" hidden="1">
      <c r="A86" s="28"/>
      <c r="K86" s="84" t="s">
        <v>77</v>
      </c>
      <c r="L86" s="22">
        <f>SUM(L78:L85)</f>
        <v>0</v>
      </c>
      <c r="M86" s="90">
        <f>SUM(M78:M85)</f>
        <v>0</v>
      </c>
      <c r="N86" s="6">
        <f>SUM(N78:N85)</f>
        <v>0</v>
      </c>
      <c r="O86" s="83">
        <f>SUM(O78:O85)</f>
        <v>0</v>
      </c>
      <c r="Q86" s="97"/>
      <c r="R86" s="146">
        <v>50</v>
      </c>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row>
    <row r="87" spans="1:253" hidden="1">
      <c r="A87" s="28"/>
      <c r="J87" s="86" t="s">
        <v>73</v>
      </c>
      <c r="L87" s="37"/>
      <c r="M87" s="36"/>
      <c r="N87" s="34"/>
      <c r="O87" s="35"/>
      <c r="P87" s="82" t="s">
        <v>76</v>
      </c>
      <c r="Q87" s="97"/>
      <c r="R87" s="146">
        <v>51</v>
      </c>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c r="II87" s="97"/>
      <c r="IJ87" s="97"/>
      <c r="IK87" s="97"/>
      <c r="IL87" s="97"/>
      <c r="IM87" s="97"/>
      <c r="IN87" s="97"/>
      <c r="IO87" s="97"/>
      <c r="IP87" s="97"/>
      <c r="IQ87" s="97"/>
      <c r="IR87" s="97"/>
      <c r="IS87" s="97"/>
    </row>
    <row r="88" spans="1:253" hidden="1">
      <c r="A88" s="28"/>
      <c r="J88" s="87">
        <v>41</v>
      </c>
      <c r="K88" s="19" t="str">
        <f>'Data Export'!B42</f>
        <v/>
      </c>
      <c r="L88" s="88" t="str">
        <f>IF(K88="", "", 'Anti-Sweat Heaters'!L8)</f>
        <v/>
      </c>
      <c r="M88" s="22" t="str">
        <f>IF(K88="", "", 'Anti-Sweat Heaters'!M8)</f>
        <v/>
      </c>
      <c r="N88" s="6" t="str">
        <f>IF(K88="", "", IF('Anti-Sweat Heaters'!I8="", "",'Anti-Sweat Heaters'!I8 ))</f>
        <v/>
      </c>
      <c r="O88" s="83" t="str">
        <f>IF(K88="", "", 'Anti-Sweat Heaters'!N8)</f>
        <v/>
      </c>
      <c r="P88" s="6" t="str">
        <f t="shared" ref="P88:P95" si="5">IF(K88="","",CONCATENATE($C$10,J88))</f>
        <v/>
      </c>
      <c r="Q88" s="97"/>
      <c r="R88" s="146">
        <v>52</v>
      </c>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97"/>
      <c r="GQ88" s="97"/>
      <c r="GR88" s="97"/>
      <c r="GS88" s="97"/>
      <c r="GT88" s="97"/>
      <c r="GU88" s="97"/>
      <c r="GV88" s="97"/>
      <c r="GW88" s="97"/>
      <c r="GX88" s="97"/>
      <c r="GY88" s="97"/>
      <c r="GZ88" s="97"/>
      <c r="HA88" s="97"/>
      <c r="HB88" s="97"/>
      <c r="HC88" s="97"/>
      <c r="HD88" s="97"/>
      <c r="HE88" s="97"/>
      <c r="HF88" s="97"/>
      <c r="HG88" s="97"/>
      <c r="HH88" s="97"/>
      <c r="HI88" s="97"/>
      <c r="HJ88" s="97"/>
      <c r="HK88" s="97"/>
      <c r="HL88" s="97"/>
      <c r="HM88" s="97"/>
      <c r="HN88" s="97"/>
      <c r="HO88" s="97"/>
      <c r="HP88" s="97"/>
      <c r="HQ88" s="97"/>
      <c r="HR88" s="97"/>
      <c r="HS88" s="97"/>
      <c r="HT88" s="97"/>
      <c r="HU88" s="97"/>
      <c r="HV88" s="97"/>
      <c r="HW88" s="97"/>
      <c r="HX88" s="97"/>
      <c r="HY88" s="97"/>
      <c r="HZ88" s="97"/>
      <c r="IA88" s="97"/>
      <c r="IB88" s="97"/>
      <c r="IC88" s="97"/>
      <c r="ID88" s="97"/>
      <c r="IE88" s="97"/>
      <c r="IF88" s="97"/>
      <c r="IG88" s="97"/>
      <c r="IH88" s="97"/>
      <c r="II88" s="97"/>
      <c r="IJ88" s="97"/>
      <c r="IK88" s="97"/>
      <c r="IL88" s="97"/>
      <c r="IM88" s="97"/>
      <c r="IN88" s="97"/>
      <c r="IO88" s="97"/>
      <c r="IP88" s="97"/>
      <c r="IQ88" s="97"/>
      <c r="IR88" s="97"/>
      <c r="IS88" s="97"/>
    </row>
    <row r="89" spans="1:253" hidden="1">
      <c r="A89" s="28"/>
      <c r="J89" s="87">
        <v>42</v>
      </c>
      <c r="K89" s="19" t="str">
        <f>'Data Export'!B43</f>
        <v/>
      </c>
      <c r="L89" s="88" t="str">
        <f>IF(K89="", "", 'Anti-Sweat Heaters'!L9)</f>
        <v/>
      </c>
      <c r="M89" s="22" t="str">
        <f>IF(K89="", "", 'Anti-Sweat Heaters'!M9)</f>
        <v/>
      </c>
      <c r="N89" s="6" t="str">
        <f>IF(K89="", "", IF('Anti-Sweat Heaters'!I9="", "",'Anti-Sweat Heaters'!I9 ))</f>
        <v/>
      </c>
      <c r="O89" s="83" t="str">
        <f>IF(K89="", "", 'Anti-Sweat Heaters'!N9)</f>
        <v/>
      </c>
      <c r="P89" s="6" t="str">
        <f t="shared" si="5"/>
        <v/>
      </c>
      <c r="Q89" s="97"/>
      <c r="R89" s="146">
        <v>53</v>
      </c>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c r="CI89" s="97"/>
      <c r="CJ89" s="97"/>
      <c r="CK89" s="97"/>
      <c r="CL89" s="97"/>
      <c r="CM89" s="97"/>
      <c r="CN89" s="97"/>
      <c r="CO89" s="97"/>
      <c r="CP89" s="97"/>
      <c r="CQ89" s="97"/>
      <c r="CR89" s="97"/>
      <c r="CS89" s="97"/>
      <c r="CT89" s="97"/>
      <c r="CU89" s="97"/>
      <c r="CV89" s="97"/>
      <c r="CW89" s="97"/>
      <c r="CX89" s="97"/>
      <c r="CY89" s="97"/>
      <c r="CZ89" s="97"/>
      <c r="DA89" s="97"/>
      <c r="DB89" s="97"/>
      <c r="DC89" s="97"/>
      <c r="DD89" s="97"/>
      <c r="DE89" s="97"/>
      <c r="DF89" s="97"/>
      <c r="DG89" s="97"/>
      <c r="DH89" s="97"/>
      <c r="DI89" s="97"/>
      <c r="DJ89" s="97"/>
      <c r="DK89" s="97"/>
      <c r="DL89" s="97"/>
      <c r="DM89" s="97"/>
      <c r="DN89" s="97"/>
      <c r="DO89" s="97"/>
      <c r="DP89" s="97"/>
      <c r="DQ89" s="97"/>
      <c r="DR89" s="97"/>
      <c r="DS89" s="97"/>
      <c r="DT89" s="97"/>
      <c r="DU89" s="97"/>
      <c r="DV89" s="97"/>
      <c r="DW89" s="97"/>
      <c r="DX89" s="97"/>
      <c r="DY89" s="97"/>
      <c r="DZ89" s="97"/>
      <c r="EA89" s="97"/>
      <c r="EB89" s="97"/>
      <c r="EC89" s="97"/>
      <c r="ED89" s="97"/>
      <c r="EE89" s="97"/>
      <c r="EF89" s="97"/>
      <c r="EG89" s="97"/>
      <c r="EH89" s="97"/>
      <c r="EI89" s="97"/>
      <c r="EJ89" s="97"/>
      <c r="EK89" s="97"/>
      <c r="EL89" s="97"/>
      <c r="EM89" s="97"/>
      <c r="EN89" s="97"/>
      <c r="EO89" s="97"/>
      <c r="EP89" s="97"/>
      <c r="EQ89" s="97"/>
      <c r="ER89" s="97"/>
      <c r="ES89" s="97"/>
      <c r="ET89" s="97"/>
      <c r="EU89" s="97"/>
      <c r="EV89" s="97"/>
      <c r="EW89" s="97"/>
      <c r="EX89" s="97"/>
      <c r="EY89" s="97"/>
      <c r="EZ89" s="97"/>
      <c r="FA89" s="97"/>
      <c r="FB89" s="97"/>
      <c r="FC89" s="97"/>
      <c r="FD89" s="97"/>
      <c r="FE89" s="97"/>
      <c r="FF89" s="97"/>
      <c r="FG89" s="97"/>
      <c r="FH89" s="97"/>
      <c r="FI89" s="97"/>
      <c r="FJ89" s="97"/>
      <c r="FK89" s="97"/>
      <c r="FL89" s="97"/>
      <c r="FM89" s="97"/>
      <c r="FN89" s="97"/>
      <c r="FO89" s="97"/>
      <c r="FP89" s="97"/>
      <c r="FQ89" s="97"/>
      <c r="FR89" s="97"/>
      <c r="FS89" s="97"/>
      <c r="FT89" s="97"/>
      <c r="FU89" s="97"/>
      <c r="FV89" s="97"/>
      <c r="FW89" s="97"/>
      <c r="FX89" s="97"/>
      <c r="FY89" s="97"/>
      <c r="FZ89" s="97"/>
      <c r="GA89" s="97"/>
      <c r="GB89" s="97"/>
      <c r="GC89" s="97"/>
      <c r="GD89" s="97"/>
      <c r="GE89" s="97"/>
      <c r="GF89" s="97"/>
      <c r="GG89" s="97"/>
      <c r="GH89" s="97"/>
      <c r="GI89" s="97"/>
      <c r="GJ89" s="97"/>
      <c r="GK89" s="97"/>
      <c r="GL89" s="97"/>
      <c r="GM89" s="97"/>
      <c r="GN89" s="97"/>
      <c r="GO89" s="97"/>
      <c r="GP89" s="97"/>
      <c r="GQ89" s="97"/>
      <c r="GR89" s="97"/>
      <c r="GS89" s="97"/>
      <c r="GT89" s="97"/>
      <c r="GU89" s="97"/>
      <c r="GV89" s="97"/>
      <c r="GW89" s="97"/>
      <c r="GX89" s="97"/>
      <c r="GY89" s="97"/>
      <c r="GZ89" s="97"/>
      <c r="HA89" s="97"/>
      <c r="HB89" s="97"/>
      <c r="HC89" s="97"/>
      <c r="HD89" s="97"/>
      <c r="HE89" s="97"/>
      <c r="HF89" s="97"/>
      <c r="HG89" s="97"/>
      <c r="HH89" s="97"/>
      <c r="HI89" s="97"/>
      <c r="HJ89" s="97"/>
      <c r="HK89" s="97"/>
      <c r="HL89" s="97"/>
      <c r="HM89" s="97"/>
      <c r="HN89" s="97"/>
      <c r="HO89" s="97"/>
      <c r="HP89" s="97"/>
      <c r="HQ89" s="97"/>
      <c r="HR89" s="97"/>
      <c r="HS89" s="97"/>
      <c r="HT89" s="97"/>
      <c r="HU89" s="97"/>
      <c r="HV89" s="97"/>
      <c r="HW89" s="97"/>
      <c r="HX89" s="97"/>
      <c r="HY89" s="97"/>
      <c r="HZ89" s="97"/>
      <c r="IA89" s="97"/>
      <c r="IB89" s="97"/>
      <c r="IC89" s="97"/>
      <c r="ID89" s="97"/>
      <c r="IE89" s="97"/>
      <c r="IF89" s="97"/>
      <c r="IG89" s="97"/>
      <c r="IH89" s="97"/>
      <c r="II89" s="97"/>
      <c r="IJ89" s="97"/>
      <c r="IK89" s="97"/>
      <c r="IL89" s="97"/>
      <c r="IM89" s="97"/>
      <c r="IN89" s="97"/>
      <c r="IO89" s="97"/>
      <c r="IP89" s="97"/>
      <c r="IQ89" s="97"/>
      <c r="IR89" s="97"/>
      <c r="IS89" s="97"/>
    </row>
    <row r="90" spans="1:253" hidden="1">
      <c r="A90" s="28"/>
      <c r="J90" s="87">
        <v>43</v>
      </c>
      <c r="K90" s="19" t="str">
        <f>'Data Export'!B44</f>
        <v/>
      </c>
      <c r="L90" s="88" t="str">
        <f>IF(K90="", "", 'Anti-Sweat Heaters'!L10)</f>
        <v/>
      </c>
      <c r="M90" s="22" t="str">
        <f>IF(K90="", "", 'Anti-Sweat Heaters'!M10)</f>
        <v/>
      </c>
      <c r="N90" s="6" t="str">
        <f>IF(K90="", "", IF('Anti-Sweat Heaters'!I10="", "",'Anti-Sweat Heaters'!I10 ))</f>
        <v/>
      </c>
      <c r="O90" s="83" t="str">
        <f>IF(K90="", "", 'Anti-Sweat Heaters'!N10)</f>
        <v/>
      </c>
      <c r="P90" s="6" t="str">
        <f t="shared" si="5"/>
        <v/>
      </c>
      <c r="Q90" s="97"/>
      <c r="R90" s="146">
        <v>54</v>
      </c>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97"/>
      <c r="DD90" s="97"/>
      <c r="DE90" s="97"/>
      <c r="DF90" s="97"/>
      <c r="DG90" s="97"/>
      <c r="DH90" s="97"/>
      <c r="DI90" s="97"/>
      <c r="DJ90" s="97"/>
      <c r="DK90" s="97"/>
      <c r="DL90" s="97"/>
      <c r="DM90" s="97"/>
      <c r="DN90" s="97"/>
      <c r="DO90" s="97"/>
      <c r="DP90" s="97"/>
      <c r="DQ90" s="97"/>
      <c r="DR90" s="97"/>
      <c r="DS90" s="97"/>
      <c r="DT90" s="97"/>
      <c r="DU90" s="97"/>
      <c r="DV90" s="97"/>
      <c r="DW90" s="97"/>
      <c r="DX90" s="97"/>
      <c r="DY90" s="97"/>
      <c r="DZ90" s="97"/>
      <c r="EA90" s="97"/>
      <c r="EB90" s="97"/>
      <c r="EC90" s="97"/>
      <c r="ED90" s="97"/>
      <c r="EE90" s="97"/>
      <c r="EF90" s="97"/>
      <c r="EG90" s="97"/>
      <c r="EH90" s="97"/>
      <c r="EI90" s="97"/>
      <c r="EJ90" s="97"/>
      <c r="EK90" s="97"/>
      <c r="EL90" s="97"/>
      <c r="EM90" s="97"/>
      <c r="EN90" s="97"/>
      <c r="EO90" s="97"/>
      <c r="EP90" s="97"/>
      <c r="EQ90" s="97"/>
      <c r="ER90" s="97"/>
      <c r="ES90" s="97"/>
      <c r="ET90" s="97"/>
      <c r="EU90" s="97"/>
      <c r="EV90" s="97"/>
      <c r="EW90" s="97"/>
      <c r="EX90" s="97"/>
      <c r="EY90" s="97"/>
      <c r="EZ90" s="97"/>
      <c r="FA90" s="97"/>
      <c r="FB90" s="97"/>
      <c r="FC90" s="97"/>
      <c r="FD90" s="97"/>
      <c r="FE90" s="97"/>
      <c r="FF90" s="97"/>
      <c r="FG90" s="97"/>
      <c r="FH90" s="97"/>
      <c r="FI90" s="97"/>
      <c r="FJ90" s="97"/>
      <c r="FK90" s="97"/>
      <c r="FL90" s="97"/>
      <c r="FM90" s="97"/>
      <c r="FN90" s="97"/>
      <c r="FO90" s="97"/>
      <c r="FP90" s="97"/>
      <c r="FQ90" s="97"/>
      <c r="FR90" s="97"/>
      <c r="FS90" s="97"/>
      <c r="FT90" s="97"/>
      <c r="FU90" s="97"/>
      <c r="FV90" s="97"/>
      <c r="FW90" s="97"/>
      <c r="FX90" s="97"/>
      <c r="FY90" s="97"/>
      <c r="FZ90" s="97"/>
      <c r="GA90" s="97"/>
      <c r="GB90" s="97"/>
      <c r="GC90" s="97"/>
      <c r="GD90" s="97"/>
      <c r="GE90" s="97"/>
      <c r="GF90" s="97"/>
      <c r="GG90" s="97"/>
      <c r="GH90" s="97"/>
      <c r="GI90" s="97"/>
      <c r="GJ90" s="97"/>
      <c r="GK90" s="97"/>
      <c r="GL90" s="97"/>
      <c r="GM90" s="97"/>
      <c r="GN90" s="97"/>
      <c r="GO90" s="97"/>
      <c r="GP90" s="97"/>
      <c r="GQ90" s="97"/>
      <c r="GR90" s="97"/>
      <c r="GS90" s="97"/>
      <c r="GT90" s="97"/>
      <c r="GU90" s="97"/>
      <c r="GV90" s="97"/>
      <c r="GW90" s="97"/>
      <c r="GX90" s="97"/>
      <c r="GY90" s="97"/>
      <c r="GZ90" s="97"/>
      <c r="HA90" s="97"/>
      <c r="HB90" s="97"/>
      <c r="HC90" s="97"/>
      <c r="HD90" s="97"/>
      <c r="HE90" s="97"/>
      <c r="HF90" s="97"/>
      <c r="HG90" s="97"/>
      <c r="HH90" s="97"/>
      <c r="HI90" s="97"/>
      <c r="HJ90" s="97"/>
      <c r="HK90" s="97"/>
      <c r="HL90" s="97"/>
      <c r="HM90" s="97"/>
      <c r="HN90" s="97"/>
      <c r="HO90" s="97"/>
      <c r="HP90" s="97"/>
      <c r="HQ90" s="97"/>
      <c r="HR90" s="97"/>
      <c r="HS90" s="97"/>
      <c r="HT90" s="97"/>
      <c r="HU90" s="97"/>
      <c r="HV90" s="97"/>
      <c r="HW90" s="97"/>
      <c r="HX90" s="97"/>
      <c r="HY90" s="97"/>
      <c r="HZ90" s="97"/>
      <c r="IA90" s="97"/>
      <c r="IB90" s="97"/>
      <c r="IC90" s="97"/>
      <c r="ID90" s="97"/>
      <c r="IE90" s="97"/>
      <c r="IF90" s="97"/>
      <c r="IG90" s="97"/>
      <c r="IH90" s="97"/>
      <c r="II90" s="97"/>
      <c r="IJ90" s="97"/>
      <c r="IK90" s="97"/>
      <c r="IL90" s="97"/>
      <c r="IM90" s="97"/>
      <c r="IN90" s="97"/>
      <c r="IO90" s="97"/>
      <c r="IP90" s="97"/>
      <c r="IQ90" s="97"/>
      <c r="IR90" s="97"/>
      <c r="IS90" s="97"/>
    </row>
    <row r="91" spans="1:253" hidden="1">
      <c r="A91" s="28"/>
      <c r="J91" s="87">
        <v>44</v>
      </c>
      <c r="K91" s="19" t="str">
        <f>'Data Export'!B45</f>
        <v/>
      </c>
      <c r="L91" s="88" t="str">
        <f>IF(K91="", "", 'Anti-Sweat Heaters'!L11)</f>
        <v/>
      </c>
      <c r="M91" s="22" t="str">
        <f>IF(K91="", "", 'Anti-Sweat Heaters'!M11)</f>
        <v/>
      </c>
      <c r="N91" s="6" t="str">
        <f>IF(K91="", "", IF('Anti-Sweat Heaters'!I11="", "",'Anti-Sweat Heaters'!I11 ))</f>
        <v/>
      </c>
      <c r="O91" s="83" t="str">
        <f>IF(K91="", "", 'Anti-Sweat Heaters'!N11)</f>
        <v/>
      </c>
      <c r="P91" s="6" t="str">
        <f t="shared" si="5"/>
        <v/>
      </c>
      <c r="Q91" s="97"/>
      <c r="R91" s="146">
        <v>55</v>
      </c>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c r="DM91" s="97"/>
      <c r="DN91" s="97"/>
      <c r="DO91" s="97"/>
      <c r="DP91" s="97"/>
      <c r="DQ91" s="97"/>
      <c r="DR91" s="97"/>
      <c r="DS91" s="97"/>
      <c r="DT91" s="97"/>
      <c r="DU91" s="97"/>
      <c r="DV91" s="97"/>
      <c r="DW91" s="97"/>
      <c r="DX91" s="97"/>
      <c r="DY91" s="97"/>
      <c r="DZ91" s="97"/>
      <c r="EA91" s="97"/>
      <c r="EB91" s="97"/>
      <c r="EC91" s="97"/>
      <c r="ED91" s="97"/>
      <c r="EE91" s="97"/>
      <c r="EF91" s="97"/>
      <c r="EG91" s="97"/>
      <c r="EH91" s="97"/>
      <c r="EI91" s="97"/>
      <c r="EJ91" s="97"/>
      <c r="EK91" s="97"/>
      <c r="EL91" s="97"/>
      <c r="EM91" s="97"/>
      <c r="EN91" s="97"/>
      <c r="EO91" s="97"/>
      <c r="EP91" s="97"/>
      <c r="EQ91" s="97"/>
      <c r="ER91" s="97"/>
      <c r="ES91" s="97"/>
      <c r="ET91" s="97"/>
      <c r="EU91" s="97"/>
      <c r="EV91" s="97"/>
      <c r="EW91" s="97"/>
      <c r="EX91" s="97"/>
      <c r="EY91" s="97"/>
      <c r="EZ91" s="97"/>
      <c r="FA91" s="97"/>
      <c r="FB91" s="97"/>
      <c r="FC91" s="97"/>
      <c r="FD91" s="97"/>
      <c r="FE91" s="97"/>
      <c r="FF91" s="97"/>
      <c r="FG91" s="97"/>
      <c r="FH91" s="97"/>
      <c r="FI91" s="97"/>
      <c r="FJ91" s="97"/>
      <c r="FK91" s="97"/>
      <c r="FL91" s="97"/>
      <c r="FM91" s="97"/>
      <c r="FN91" s="97"/>
      <c r="FO91" s="97"/>
      <c r="FP91" s="97"/>
      <c r="FQ91" s="97"/>
      <c r="FR91" s="97"/>
      <c r="FS91" s="97"/>
      <c r="FT91" s="97"/>
      <c r="FU91" s="97"/>
      <c r="FV91" s="97"/>
      <c r="FW91" s="97"/>
      <c r="FX91" s="97"/>
      <c r="FY91" s="97"/>
      <c r="FZ91" s="97"/>
      <c r="GA91" s="97"/>
      <c r="GB91" s="97"/>
      <c r="GC91" s="97"/>
      <c r="GD91" s="97"/>
      <c r="GE91" s="97"/>
      <c r="GF91" s="97"/>
      <c r="GG91" s="97"/>
      <c r="GH91" s="97"/>
      <c r="GI91" s="97"/>
      <c r="GJ91" s="97"/>
      <c r="GK91" s="97"/>
      <c r="GL91" s="97"/>
      <c r="GM91" s="97"/>
      <c r="GN91" s="97"/>
      <c r="GO91" s="97"/>
      <c r="GP91" s="97"/>
      <c r="GQ91" s="97"/>
      <c r="GR91" s="97"/>
      <c r="GS91" s="97"/>
      <c r="GT91" s="97"/>
      <c r="GU91" s="97"/>
      <c r="GV91" s="97"/>
      <c r="GW91" s="97"/>
      <c r="GX91" s="97"/>
      <c r="GY91" s="97"/>
      <c r="GZ91" s="97"/>
      <c r="HA91" s="97"/>
      <c r="HB91" s="97"/>
      <c r="HC91" s="97"/>
      <c r="HD91" s="97"/>
      <c r="HE91" s="97"/>
      <c r="HF91" s="97"/>
      <c r="HG91" s="97"/>
      <c r="HH91" s="97"/>
      <c r="HI91" s="97"/>
      <c r="HJ91" s="97"/>
      <c r="HK91" s="97"/>
      <c r="HL91" s="97"/>
      <c r="HM91" s="97"/>
      <c r="HN91" s="97"/>
      <c r="HO91" s="97"/>
      <c r="HP91" s="97"/>
      <c r="HQ91" s="97"/>
      <c r="HR91" s="97"/>
      <c r="HS91" s="97"/>
      <c r="HT91" s="97"/>
      <c r="HU91" s="97"/>
      <c r="HV91" s="97"/>
      <c r="HW91" s="97"/>
      <c r="HX91" s="97"/>
      <c r="HY91" s="97"/>
      <c r="HZ91" s="97"/>
      <c r="IA91" s="97"/>
      <c r="IB91" s="97"/>
      <c r="IC91" s="97"/>
      <c r="ID91" s="97"/>
      <c r="IE91" s="97"/>
      <c r="IF91" s="97"/>
      <c r="IG91" s="97"/>
      <c r="IH91" s="97"/>
      <c r="II91" s="97"/>
      <c r="IJ91" s="97"/>
      <c r="IK91" s="97"/>
      <c r="IL91" s="97"/>
      <c r="IM91" s="97"/>
      <c r="IN91" s="97"/>
      <c r="IO91" s="97"/>
      <c r="IP91" s="97"/>
      <c r="IQ91" s="97"/>
      <c r="IR91" s="97"/>
      <c r="IS91" s="97"/>
    </row>
    <row r="92" spans="1:253" hidden="1">
      <c r="A92" s="28"/>
      <c r="J92" s="87">
        <v>45</v>
      </c>
      <c r="K92" s="19" t="str">
        <f>'Data Export'!B46</f>
        <v/>
      </c>
      <c r="L92" s="88" t="str">
        <f>IF(K92="", "", 'Anti-Sweat Heaters'!L12)</f>
        <v/>
      </c>
      <c r="M92" s="22" t="str">
        <f>IF(K92="", "", 'Anti-Sweat Heaters'!M12)</f>
        <v/>
      </c>
      <c r="N92" s="6" t="str">
        <f>IF(K92="", "", IF('Anti-Sweat Heaters'!I12="", "",'Anti-Sweat Heaters'!I12 ))</f>
        <v/>
      </c>
      <c r="O92" s="83" t="str">
        <f>IF(K92="", "", 'Anti-Sweat Heaters'!N12)</f>
        <v/>
      </c>
      <c r="P92" s="6" t="str">
        <f t="shared" si="5"/>
        <v/>
      </c>
      <c r="Q92" s="97"/>
      <c r="R92" s="146">
        <v>56</v>
      </c>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c r="CG92" s="97"/>
      <c r="CH92" s="97"/>
      <c r="CI92" s="97"/>
      <c r="CJ92" s="97"/>
      <c r="CK92" s="97"/>
      <c r="CL92" s="97"/>
      <c r="CM92" s="97"/>
      <c r="CN92" s="97"/>
      <c r="CO92" s="97"/>
      <c r="CP92" s="97"/>
      <c r="CQ92" s="97"/>
      <c r="CR92" s="97"/>
      <c r="CS92" s="97"/>
      <c r="CT92" s="97"/>
      <c r="CU92" s="97"/>
      <c r="CV92" s="97"/>
      <c r="CW92" s="97"/>
      <c r="CX92" s="97"/>
      <c r="CY92" s="97"/>
      <c r="CZ92" s="97"/>
      <c r="DA92" s="97"/>
      <c r="DB92" s="97"/>
      <c r="DC92" s="97"/>
      <c r="DD92" s="97"/>
      <c r="DE92" s="97"/>
      <c r="DF92" s="97"/>
      <c r="DG92" s="97"/>
      <c r="DH92" s="97"/>
      <c r="DI92" s="97"/>
      <c r="DJ92" s="97"/>
      <c r="DK92" s="97"/>
      <c r="DL92" s="97"/>
      <c r="DM92" s="97"/>
      <c r="DN92" s="97"/>
      <c r="DO92" s="97"/>
      <c r="DP92" s="97"/>
      <c r="DQ92" s="97"/>
      <c r="DR92" s="97"/>
      <c r="DS92" s="97"/>
      <c r="DT92" s="97"/>
      <c r="DU92" s="97"/>
      <c r="DV92" s="97"/>
      <c r="DW92" s="97"/>
      <c r="DX92" s="97"/>
      <c r="DY92" s="97"/>
      <c r="DZ92" s="97"/>
      <c r="EA92" s="97"/>
      <c r="EB92" s="97"/>
      <c r="EC92" s="97"/>
      <c r="ED92" s="97"/>
      <c r="EE92" s="97"/>
      <c r="EF92" s="97"/>
      <c r="EG92" s="97"/>
      <c r="EH92" s="97"/>
      <c r="EI92" s="97"/>
      <c r="EJ92" s="97"/>
      <c r="EK92" s="97"/>
      <c r="EL92" s="97"/>
      <c r="EM92" s="97"/>
      <c r="EN92" s="97"/>
      <c r="EO92" s="97"/>
      <c r="EP92" s="97"/>
      <c r="EQ92" s="97"/>
      <c r="ER92" s="97"/>
      <c r="ES92" s="97"/>
      <c r="ET92" s="97"/>
      <c r="EU92" s="97"/>
      <c r="EV92" s="97"/>
      <c r="EW92" s="97"/>
      <c r="EX92" s="97"/>
      <c r="EY92" s="97"/>
      <c r="EZ92" s="97"/>
      <c r="FA92" s="97"/>
      <c r="FB92" s="97"/>
      <c r="FC92" s="97"/>
      <c r="FD92" s="97"/>
      <c r="FE92" s="97"/>
      <c r="FF92" s="97"/>
      <c r="FG92" s="97"/>
      <c r="FH92" s="97"/>
      <c r="FI92" s="97"/>
      <c r="FJ92" s="97"/>
      <c r="FK92" s="97"/>
      <c r="FL92" s="97"/>
      <c r="FM92" s="97"/>
      <c r="FN92" s="97"/>
      <c r="FO92" s="97"/>
      <c r="FP92" s="97"/>
      <c r="FQ92" s="97"/>
      <c r="FR92" s="97"/>
      <c r="FS92" s="97"/>
      <c r="FT92" s="97"/>
      <c r="FU92" s="97"/>
      <c r="FV92" s="97"/>
      <c r="FW92" s="97"/>
      <c r="FX92" s="97"/>
      <c r="FY92" s="97"/>
      <c r="FZ92" s="97"/>
      <c r="GA92" s="97"/>
      <c r="GB92" s="97"/>
      <c r="GC92" s="97"/>
      <c r="GD92" s="97"/>
      <c r="GE92" s="97"/>
      <c r="GF92" s="97"/>
      <c r="GG92" s="97"/>
      <c r="GH92" s="97"/>
      <c r="GI92" s="97"/>
      <c r="GJ92" s="97"/>
      <c r="GK92" s="97"/>
      <c r="GL92" s="97"/>
      <c r="GM92" s="97"/>
      <c r="GN92" s="97"/>
      <c r="GO92" s="97"/>
      <c r="GP92" s="97"/>
      <c r="GQ92" s="97"/>
      <c r="GR92" s="97"/>
      <c r="GS92" s="97"/>
      <c r="GT92" s="97"/>
      <c r="GU92" s="97"/>
      <c r="GV92" s="97"/>
      <c r="GW92" s="97"/>
      <c r="GX92" s="97"/>
      <c r="GY92" s="97"/>
      <c r="GZ92" s="97"/>
      <c r="HA92" s="97"/>
      <c r="HB92" s="97"/>
      <c r="HC92" s="97"/>
      <c r="HD92" s="97"/>
      <c r="HE92" s="97"/>
      <c r="HF92" s="97"/>
      <c r="HG92" s="97"/>
      <c r="HH92" s="97"/>
      <c r="HI92" s="97"/>
      <c r="HJ92" s="97"/>
      <c r="HK92" s="97"/>
      <c r="HL92" s="97"/>
      <c r="HM92" s="97"/>
      <c r="HN92" s="97"/>
      <c r="HO92" s="97"/>
      <c r="HP92" s="97"/>
      <c r="HQ92" s="97"/>
      <c r="HR92" s="97"/>
      <c r="HS92" s="97"/>
      <c r="HT92" s="97"/>
      <c r="HU92" s="97"/>
      <c r="HV92" s="97"/>
      <c r="HW92" s="97"/>
      <c r="HX92" s="97"/>
      <c r="HY92" s="97"/>
      <c r="HZ92" s="97"/>
      <c r="IA92" s="97"/>
      <c r="IB92" s="97"/>
      <c r="IC92" s="97"/>
      <c r="ID92" s="97"/>
      <c r="IE92" s="97"/>
      <c r="IF92" s="97"/>
      <c r="IG92" s="97"/>
      <c r="IH92" s="97"/>
      <c r="II92" s="97"/>
      <c r="IJ92" s="97"/>
      <c r="IK92" s="97"/>
      <c r="IL92" s="97"/>
      <c r="IM92" s="97"/>
      <c r="IN92" s="97"/>
      <c r="IO92" s="97"/>
      <c r="IP92" s="97"/>
      <c r="IQ92" s="97"/>
      <c r="IR92" s="97"/>
      <c r="IS92" s="97"/>
    </row>
    <row r="93" spans="1:253" hidden="1">
      <c r="A93" s="28"/>
      <c r="J93" s="87">
        <v>46</v>
      </c>
      <c r="K93" s="19" t="str">
        <f>'Data Export'!B47</f>
        <v/>
      </c>
      <c r="L93" s="88" t="str">
        <f>IF(K93="", "", 'Anti-Sweat Heaters'!L13)</f>
        <v/>
      </c>
      <c r="M93" s="22" t="str">
        <f>IF(K93="", "", 'Anti-Sweat Heaters'!M13)</f>
        <v/>
      </c>
      <c r="N93" s="6" t="str">
        <f>IF(K93="", "", IF('Anti-Sweat Heaters'!I13="", "",'Anti-Sweat Heaters'!I13 ))</f>
        <v/>
      </c>
      <c r="O93" s="83" t="str">
        <f>IF(K93="", "", 'Anti-Sweat Heaters'!N13)</f>
        <v/>
      </c>
      <c r="P93" s="6" t="str">
        <f t="shared" si="5"/>
        <v/>
      </c>
      <c r="Q93" s="97"/>
      <c r="R93" s="146">
        <v>57</v>
      </c>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c r="DK93" s="97"/>
      <c r="DL93" s="97"/>
      <c r="DM93" s="97"/>
      <c r="DN93" s="97"/>
      <c r="DO93" s="97"/>
      <c r="DP93" s="97"/>
      <c r="DQ93" s="97"/>
      <c r="DR93" s="97"/>
      <c r="DS93" s="97"/>
      <c r="DT93" s="97"/>
      <c r="DU93" s="97"/>
      <c r="DV93" s="97"/>
      <c r="DW93" s="97"/>
      <c r="DX93" s="97"/>
      <c r="DY93" s="97"/>
      <c r="DZ93" s="97"/>
      <c r="EA93" s="97"/>
      <c r="EB93" s="97"/>
      <c r="EC93" s="97"/>
      <c r="ED93" s="97"/>
      <c r="EE93" s="97"/>
      <c r="EF93" s="97"/>
      <c r="EG93" s="97"/>
      <c r="EH93" s="97"/>
      <c r="EI93" s="97"/>
      <c r="EJ93" s="97"/>
      <c r="EK93" s="97"/>
      <c r="EL93" s="97"/>
      <c r="EM93" s="97"/>
      <c r="EN93" s="97"/>
      <c r="EO93" s="97"/>
      <c r="EP93" s="97"/>
      <c r="EQ93" s="97"/>
      <c r="ER93" s="97"/>
      <c r="ES93" s="97"/>
      <c r="ET93" s="97"/>
      <c r="EU93" s="97"/>
      <c r="EV93" s="97"/>
      <c r="EW93" s="97"/>
      <c r="EX93" s="97"/>
      <c r="EY93" s="97"/>
      <c r="EZ93" s="97"/>
      <c r="FA93" s="97"/>
      <c r="FB93" s="97"/>
      <c r="FC93" s="97"/>
      <c r="FD93" s="97"/>
      <c r="FE93" s="97"/>
      <c r="FF93" s="97"/>
      <c r="FG93" s="97"/>
      <c r="FH93" s="97"/>
      <c r="FI93" s="97"/>
      <c r="FJ93" s="97"/>
      <c r="FK93" s="97"/>
      <c r="FL93" s="97"/>
      <c r="FM93" s="97"/>
      <c r="FN93" s="97"/>
      <c r="FO93" s="97"/>
      <c r="FP93" s="97"/>
      <c r="FQ93" s="97"/>
      <c r="FR93" s="97"/>
      <c r="FS93" s="97"/>
      <c r="FT93" s="97"/>
      <c r="FU93" s="97"/>
      <c r="FV93" s="97"/>
      <c r="FW93" s="97"/>
      <c r="FX93" s="97"/>
      <c r="FY93" s="97"/>
      <c r="FZ93" s="97"/>
      <c r="GA93" s="97"/>
      <c r="GB93" s="97"/>
      <c r="GC93" s="97"/>
      <c r="GD93" s="97"/>
      <c r="GE93" s="97"/>
      <c r="GF93" s="97"/>
      <c r="GG93" s="97"/>
      <c r="GH93" s="97"/>
      <c r="GI93" s="97"/>
      <c r="GJ93" s="97"/>
      <c r="GK93" s="97"/>
      <c r="GL93" s="97"/>
      <c r="GM93" s="97"/>
      <c r="GN93" s="97"/>
      <c r="GO93" s="97"/>
      <c r="GP93" s="97"/>
      <c r="GQ93" s="97"/>
      <c r="GR93" s="97"/>
      <c r="GS93" s="97"/>
      <c r="GT93" s="97"/>
      <c r="GU93" s="97"/>
      <c r="GV93" s="97"/>
      <c r="GW93" s="97"/>
      <c r="GX93" s="97"/>
      <c r="GY93" s="97"/>
      <c r="GZ93" s="97"/>
      <c r="HA93" s="97"/>
      <c r="HB93" s="97"/>
      <c r="HC93" s="97"/>
      <c r="HD93" s="97"/>
      <c r="HE93" s="97"/>
      <c r="HF93" s="97"/>
      <c r="HG93" s="97"/>
      <c r="HH93" s="97"/>
      <c r="HI93" s="97"/>
      <c r="HJ93" s="97"/>
      <c r="HK93" s="97"/>
      <c r="HL93" s="97"/>
      <c r="HM93" s="97"/>
      <c r="HN93" s="97"/>
      <c r="HO93" s="97"/>
      <c r="HP93" s="97"/>
      <c r="HQ93" s="97"/>
      <c r="HR93" s="97"/>
      <c r="HS93" s="97"/>
      <c r="HT93" s="97"/>
      <c r="HU93" s="97"/>
      <c r="HV93" s="97"/>
      <c r="HW93" s="97"/>
      <c r="HX93" s="97"/>
      <c r="HY93" s="97"/>
      <c r="HZ93" s="97"/>
      <c r="IA93" s="97"/>
      <c r="IB93" s="97"/>
      <c r="IC93" s="97"/>
      <c r="ID93" s="97"/>
      <c r="IE93" s="97"/>
      <c r="IF93" s="97"/>
      <c r="IG93" s="97"/>
      <c r="IH93" s="97"/>
      <c r="II93" s="97"/>
      <c r="IJ93" s="97"/>
      <c r="IK93" s="97"/>
      <c r="IL93" s="97"/>
      <c r="IM93" s="97"/>
      <c r="IN93" s="97"/>
      <c r="IO93" s="97"/>
      <c r="IP93" s="97"/>
      <c r="IQ93" s="97"/>
      <c r="IR93" s="97"/>
      <c r="IS93" s="97"/>
    </row>
    <row r="94" spans="1:253" hidden="1">
      <c r="A94" s="28"/>
      <c r="J94" s="87">
        <v>47</v>
      </c>
      <c r="K94" s="19" t="str">
        <f>'Data Export'!B48</f>
        <v/>
      </c>
      <c r="L94" s="88" t="str">
        <f>IF(K94="", "", 'Anti-Sweat Heaters'!L14)</f>
        <v/>
      </c>
      <c r="M94" s="22" t="str">
        <f>IF(K94="", "", 'Anti-Sweat Heaters'!M14)</f>
        <v/>
      </c>
      <c r="N94" s="6" t="str">
        <f>IF(K94="", "", IF('Anti-Sweat Heaters'!I14="", "", 1))</f>
        <v/>
      </c>
      <c r="O94" s="83" t="str">
        <f>IF(K94="", "", 'Anti-Sweat Heaters'!N14)</f>
        <v/>
      </c>
      <c r="P94" s="6" t="str">
        <f t="shared" si="5"/>
        <v/>
      </c>
      <c r="Q94" s="97"/>
      <c r="R94" s="146">
        <v>58</v>
      </c>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c r="CG94" s="97"/>
      <c r="CH94" s="97"/>
      <c r="CI94" s="97"/>
      <c r="CJ94" s="97"/>
      <c r="CK94" s="97"/>
      <c r="CL94" s="97"/>
      <c r="CM94" s="97"/>
      <c r="CN94" s="97"/>
      <c r="CO94" s="97"/>
      <c r="CP94" s="97"/>
      <c r="CQ94" s="97"/>
      <c r="CR94" s="97"/>
      <c r="CS94" s="97"/>
      <c r="CT94" s="97"/>
      <c r="CU94" s="97"/>
      <c r="CV94" s="97"/>
      <c r="CW94" s="97"/>
      <c r="CX94" s="97"/>
      <c r="CY94" s="97"/>
      <c r="CZ94" s="97"/>
      <c r="DA94" s="97"/>
      <c r="DB94" s="97"/>
      <c r="DC94" s="97"/>
      <c r="DD94" s="97"/>
      <c r="DE94" s="97"/>
      <c r="DF94" s="97"/>
      <c r="DG94" s="97"/>
      <c r="DH94" s="97"/>
      <c r="DI94" s="97"/>
      <c r="DJ94" s="97"/>
      <c r="DK94" s="97"/>
      <c r="DL94" s="97"/>
      <c r="DM94" s="97"/>
      <c r="DN94" s="97"/>
      <c r="DO94" s="97"/>
      <c r="DP94" s="97"/>
      <c r="DQ94" s="97"/>
      <c r="DR94" s="97"/>
      <c r="DS94" s="97"/>
      <c r="DT94" s="97"/>
      <c r="DU94" s="97"/>
      <c r="DV94" s="97"/>
      <c r="DW94" s="97"/>
      <c r="DX94" s="97"/>
      <c r="DY94" s="97"/>
      <c r="DZ94" s="97"/>
      <c r="EA94" s="97"/>
      <c r="EB94" s="97"/>
      <c r="EC94" s="97"/>
      <c r="ED94" s="97"/>
      <c r="EE94" s="97"/>
      <c r="EF94" s="97"/>
      <c r="EG94" s="97"/>
      <c r="EH94" s="97"/>
      <c r="EI94" s="97"/>
      <c r="EJ94" s="97"/>
      <c r="EK94" s="97"/>
      <c r="EL94" s="97"/>
      <c r="EM94" s="97"/>
      <c r="EN94" s="97"/>
      <c r="EO94" s="97"/>
      <c r="EP94" s="97"/>
      <c r="EQ94" s="97"/>
      <c r="ER94" s="97"/>
      <c r="ES94" s="97"/>
      <c r="ET94" s="97"/>
      <c r="EU94" s="97"/>
      <c r="EV94" s="97"/>
      <c r="EW94" s="97"/>
      <c r="EX94" s="97"/>
      <c r="EY94" s="97"/>
      <c r="EZ94" s="97"/>
      <c r="FA94" s="97"/>
      <c r="FB94" s="97"/>
      <c r="FC94" s="97"/>
      <c r="FD94" s="97"/>
      <c r="FE94" s="97"/>
      <c r="FF94" s="97"/>
      <c r="FG94" s="97"/>
      <c r="FH94" s="97"/>
      <c r="FI94" s="97"/>
      <c r="FJ94" s="97"/>
      <c r="FK94" s="97"/>
      <c r="FL94" s="97"/>
      <c r="FM94" s="97"/>
      <c r="FN94" s="97"/>
      <c r="FO94" s="97"/>
      <c r="FP94" s="97"/>
      <c r="FQ94" s="97"/>
      <c r="FR94" s="97"/>
      <c r="FS94" s="97"/>
      <c r="FT94" s="97"/>
      <c r="FU94" s="97"/>
      <c r="FV94" s="97"/>
      <c r="FW94" s="97"/>
      <c r="FX94" s="97"/>
      <c r="FY94" s="97"/>
      <c r="FZ94" s="97"/>
      <c r="GA94" s="97"/>
      <c r="GB94" s="97"/>
      <c r="GC94" s="97"/>
      <c r="GD94" s="97"/>
      <c r="GE94" s="97"/>
      <c r="GF94" s="97"/>
      <c r="GG94" s="97"/>
      <c r="GH94" s="97"/>
      <c r="GI94" s="97"/>
      <c r="GJ94" s="97"/>
      <c r="GK94" s="97"/>
      <c r="GL94" s="97"/>
      <c r="GM94" s="97"/>
      <c r="GN94" s="97"/>
      <c r="GO94" s="97"/>
      <c r="GP94" s="97"/>
      <c r="GQ94" s="97"/>
      <c r="GR94" s="97"/>
      <c r="GS94" s="97"/>
      <c r="GT94" s="97"/>
      <c r="GU94" s="97"/>
      <c r="GV94" s="97"/>
      <c r="GW94" s="97"/>
      <c r="GX94" s="97"/>
      <c r="GY94" s="97"/>
      <c r="GZ94" s="97"/>
      <c r="HA94" s="97"/>
      <c r="HB94" s="97"/>
      <c r="HC94" s="97"/>
      <c r="HD94" s="97"/>
      <c r="HE94" s="97"/>
      <c r="HF94" s="97"/>
      <c r="HG94" s="97"/>
      <c r="HH94" s="97"/>
      <c r="HI94" s="97"/>
      <c r="HJ94" s="97"/>
      <c r="HK94" s="97"/>
      <c r="HL94" s="97"/>
      <c r="HM94" s="97"/>
      <c r="HN94" s="97"/>
      <c r="HO94" s="97"/>
      <c r="HP94" s="97"/>
      <c r="HQ94" s="97"/>
      <c r="HR94" s="97"/>
      <c r="HS94" s="97"/>
      <c r="HT94" s="97"/>
      <c r="HU94" s="97"/>
      <c r="HV94" s="97"/>
      <c r="HW94" s="97"/>
      <c r="HX94" s="97"/>
      <c r="HY94" s="97"/>
      <c r="HZ94" s="97"/>
      <c r="IA94" s="97"/>
      <c r="IB94" s="97"/>
      <c r="IC94" s="97"/>
      <c r="ID94" s="97"/>
      <c r="IE94" s="97"/>
      <c r="IF94" s="97"/>
      <c r="IG94" s="97"/>
      <c r="IH94" s="97"/>
      <c r="II94" s="97"/>
      <c r="IJ94" s="97"/>
      <c r="IK94" s="97"/>
      <c r="IL94" s="97"/>
      <c r="IM94" s="97"/>
      <c r="IN94" s="97"/>
      <c r="IO94" s="97"/>
      <c r="IP94" s="97"/>
      <c r="IQ94" s="97"/>
      <c r="IR94" s="97"/>
      <c r="IS94" s="97"/>
    </row>
    <row r="95" spans="1:253" hidden="1">
      <c r="A95" s="28"/>
      <c r="J95" s="87">
        <v>48</v>
      </c>
      <c r="K95" s="19" t="str">
        <f>'Data Export'!B49</f>
        <v/>
      </c>
      <c r="L95" s="88" t="str">
        <f>IF(K95="", "", 'Anti-Sweat Heaters'!L15)</f>
        <v/>
      </c>
      <c r="M95" s="22" t="str">
        <f>IF(K95="", "", 'Anti-Sweat Heaters'!M15)</f>
        <v/>
      </c>
      <c r="N95" s="6" t="str">
        <f>IF(K95="", "", IF('Anti-Sweat Heaters'!I15="", "", 1))</f>
        <v/>
      </c>
      <c r="O95" s="83" t="str">
        <f>IF(K95="", "", 'Anti-Sweat Heaters'!N15)</f>
        <v/>
      </c>
      <c r="P95" s="6" t="str">
        <f t="shared" si="5"/>
        <v/>
      </c>
      <c r="Q95" s="97"/>
      <c r="R95" s="146">
        <v>59</v>
      </c>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c r="CG95" s="97"/>
      <c r="CH95" s="97"/>
      <c r="CI95" s="97"/>
      <c r="CJ95" s="97"/>
      <c r="CK95" s="97"/>
      <c r="CL95" s="97"/>
      <c r="CM95" s="97"/>
      <c r="CN95" s="97"/>
      <c r="CO95" s="97"/>
      <c r="CP95" s="97"/>
      <c r="CQ95" s="97"/>
      <c r="CR95" s="97"/>
      <c r="CS95" s="97"/>
      <c r="CT95" s="97"/>
      <c r="CU95" s="97"/>
      <c r="CV95" s="97"/>
      <c r="CW95" s="97"/>
      <c r="CX95" s="97"/>
      <c r="CY95" s="97"/>
      <c r="CZ95" s="97"/>
      <c r="DA95" s="97"/>
      <c r="DB95" s="97"/>
      <c r="DC95" s="97"/>
      <c r="DD95" s="97"/>
      <c r="DE95" s="97"/>
      <c r="DF95" s="97"/>
      <c r="DG95" s="97"/>
      <c r="DH95" s="97"/>
      <c r="DI95" s="97"/>
      <c r="DJ95" s="97"/>
      <c r="DK95" s="97"/>
      <c r="DL95" s="97"/>
      <c r="DM95" s="97"/>
      <c r="DN95" s="97"/>
      <c r="DO95" s="97"/>
      <c r="DP95" s="97"/>
      <c r="DQ95" s="97"/>
      <c r="DR95" s="97"/>
      <c r="DS95" s="97"/>
      <c r="DT95" s="97"/>
      <c r="DU95" s="97"/>
      <c r="DV95" s="97"/>
      <c r="DW95" s="97"/>
      <c r="DX95" s="97"/>
      <c r="DY95" s="97"/>
      <c r="DZ95" s="97"/>
      <c r="EA95" s="97"/>
      <c r="EB95" s="97"/>
      <c r="EC95" s="97"/>
      <c r="ED95" s="97"/>
      <c r="EE95" s="97"/>
      <c r="EF95" s="97"/>
      <c r="EG95" s="97"/>
      <c r="EH95" s="97"/>
      <c r="EI95" s="97"/>
      <c r="EJ95" s="97"/>
      <c r="EK95" s="97"/>
      <c r="EL95" s="97"/>
      <c r="EM95" s="97"/>
      <c r="EN95" s="97"/>
      <c r="EO95" s="97"/>
      <c r="EP95" s="97"/>
      <c r="EQ95" s="97"/>
      <c r="ER95" s="97"/>
      <c r="ES95" s="97"/>
      <c r="ET95" s="97"/>
      <c r="EU95" s="97"/>
      <c r="EV95" s="97"/>
      <c r="EW95" s="97"/>
      <c r="EX95" s="97"/>
      <c r="EY95" s="97"/>
      <c r="EZ95" s="97"/>
      <c r="FA95" s="97"/>
      <c r="FB95" s="97"/>
      <c r="FC95" s="97"/>
      <c r="FD95" s="97"/>
      <c r="FE95" s="97"/>
      <c r="FF95" s="97"/>
      <c r="FG95" s="97"/>
      <c r="FH95" s="97"/>
      <c r="FI95" s="97"/>
      <c r="FJ95" s="97"/>
      <c r="FK95" s="97"/>
      <c r="FL95" s="97"/>
      <c r="FM95" s="97"/>
      <c r="FN95" s="97"/>
      <c r="FO95" s="97"/>
      <c r="FP95" s="97"/>
      <c r="FQ95" s="97"/>
      <c r="FR95" s="97"/>
      <c r="FS95" s="97"/>
      <c r="FT95" s="97"/>
      <c r="FU95" s="97"/>
      <c r="FV95" s="97"/>
      <c r="FW95" s="97"/>
      <c r="FX95" s="97"/>
      <c r="FY95" s="97"/>
      <c r="FZ95" s="97"/>
      <c r="GA95" s="97"/>
      <c r="GB95" s="97"/>
      <c r="GC95" s="97"/>
      <c r="GD95" s="97"/>
      <c r="GE95" s="97"/>
      <c r="GF95" s="97"/>
      <c r="GG95" s="97"/>
      <c r="GH95" s="97"/>
      <c r="GI95" s="97"/>
      <c r="GJ95" s="97"/>
      <c r="GK95" s="97"/>
      <c r="GL95" s="97"/>
      <c r="GM95" s="97"/>
      <c r="GN95" s="97"/>
      <c r="GO95" s="97"/>
      <c r="GP95" s="97"/>
      <c r="GQ95" s="97"/>
      <c r="GR95" s="97"/>
      <c r="GS95" s="97"/>
      <c r="GT95" s="97"/>
      <c r="GU95" s="97"/>
      <c r="GV95" s="97"/>
      <c r="GW95" s="97"/>
      <c r="GX95" s="97"/>
      <c r="GY95" s="97"/>
      <c r="GZ95" s="97"/>
      <c r="HA95" s="97"/>
      <c r="HB95" s="97"/>
      <c r="HC95" s="97"/>
      <c r="HD95" s="97"/>
      <c r="HE95" s="97"/>
      <c r="HF95" s="97"/>
      <c r="HG95" s="97"/>
      <c r="HH95" s="97"/>
      <c r="HI95" s="97"/>
      <c r="HJ95" s="97"/>
      <c r="HK95" s="97"/>
      <c r="HL95" s="97"/>
      <c r="HM95" s="97"/>
      <c r="HN95" s="97"/>
      <c r="HO95" s="97"/>
      <c r="HP95" s="97"/>
      <c r="HQ95" s="97"/>
      <c r="HR95" s="97"/>
      <c r="HS95" s="97"/>
      <c r="HT95" s="97"/>
      <c r="HU95" s="97"/>
      <c r="HV95" s="97"/>
      <c r="HW95" s="97"/>
      <c r="HX95" s="97"/>
      <c r="HY95" s="97"/>
      <c r="HZ95" s="97"/>
      <c r="IA95" s="97"/>
      <c r="IB95" s="97"/>
      <c r="IC95" s="97"/>
      <c r="ID95" s="97"/>
      <c r="IE95" s="97"/>
      <c r="IF95" s="97"/>
      <c r="IG95" s="97"/>
      <c r="IH95" s="97"/>
      <c r="II95" s="97"/>
      <c r="IJ95" s="97"/>
      <c r="IK95" s="97"/>
      <c r="IL95" s="97"/>
      <c r="IM95" s="97"/>
      <c r="IN95" s="97"/>
      <c r="IO95" s="97"/>
      <c r="IP95" s="97"/>
      <c r="IQ95" s="97"/>
      <c r="IR95" s="97"/>
      <c r="IS95" s="97"/>
    </row>
    <row r="96" spans="1:253" hidden="1">
      <c r="A96" s="28"/>
      <c r="K96" s="84" t="s">
        <v>77</v>
      </c>
      <c r="L96" s="6">
        <f>SUM(L88:L95)</f>
        <v>0</v>
      </c>
      <c r="M96" s="90">
        <f>SUM(M88:M95)</f>
        <v>0</v>
      </c>
      <c r="N96" s="6">
        <f>SUM(N88:N95)</f>
        <v>0</v>
      </c>
      <c r="O96" s="83">
        <f>SUM(O88:O95)</f>
        <v>0</v>
      </c>
      <c r="Q96" s="97"/>
      <c r="R96" s="146">
        <v>60</v>
      </c>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c r="BZ96" s="97"/>
      <c r="CA96" s="97"/>
      <c r="CB96" s="97"/>
      <c r="CC96" s="97"/>
      <c r="CD96" s="97"/>
      <c r="CE96" s="97"/>
      <c r="CF96" s="97"/>
      <c r="CG96" s="97"/>
      <c r="CH96" s="97"/>
      <c r="CI96" s="97"/>
      <c r="CJ96" s="97"/>
      <c r="CK96" s="97"/>
      <c r="CL96" s="97"/>
      <c r="CM96" s="97"/>
      <c r="CN96" s="97"/>
      <c r="CO96" s="97"/>
      <c r="CP96" s="97"/>
      <c r="CQ96" s="97"/>
      <c r="CR96" s="97"/>
      <c r="CS96" s="97"/>
      <c r="CT96" s="97"/>
      <c r="CU96" s="97"/>
      <c r="CV96" s="97"/>
      <c r="CW96" s="97"/>
      <c r="CX96" s="97"/>
      <c r="CY96" s="97"/>
      <c r="CZ96" s="97"/>
      <c r="DA96" s="97"/>
      <c r="DB96" s="97"/>
      <c r="DC96" s="97"/>
      <c r="DD96" s="97"/>
      <c r="DE96" s="97"/>
      <c r="DF96" s="97"/>
      <c r="DG96" s="97"/>
      <c r="DH96" s="97"/>
      <c r="DI96" s="97"/>
      <c r="DJ96" s="97"/>
      <c r="DK96" s="97"/>
      <c r="DL96" s="97"/>
      <c r="DM96" s="97"/>
      <c r="DN96" s="97"/>
      <c r="DO96" s="97"/>
      <c r="DP96" s="97"/>
      <c r="DQ96" s="97"/>
      <c r="DR96" s="97"/>
      <c r="DS96" s="97"/>
      <c r="DT96" s="97"/>
      <c r="DU96" s="97"/>
      <c r="DV96" s="97"/>
      <c r="DW96" s="97"/>
      <c r="DX96" s="97"/>
      <c r="DY96" s="97"/>
      <c r="DZ96" s="97"/>
      <c r="EA96" s="97"/>
      <c r="EB96" s="97"/>
      <c r="EC96" s="97"/>
      <c r="ED96" s="97"/>
      <c r="EE96" s="97"/>
      <c r="EF96" s="97"/>
      <c r="EG96" s="97"/>
      <c r="EH96" s="97"/>
      <c r="EI96" s="97"/>
      <c r="EJ96" s="97"/>
      <c r="EK96" s="97"/>
      <c r="EL96" s="97"/>
      <c r="EM96" s="97"/>
      <c r="EN96" s="97"/>
      <c r="EO96" s="97"/>
      <c r="EP96" s="97"/>
      <c r="EQ96" s="97"/>
      <c r="ER96" s="97"/>
      <c r="ES96" s="97"/>
      <c r="ET96" s="97"/>
      <c r="EU96" s="97"/>
      <c r="EV96" s="97"/>
      <c r="EW96" s="97"/>
      <c r="EX96" s="97"/>
      <c r="EY96" s="97"/>
      <c r="EZ96" s="97"/>
      <c r="FA96" s="97"/>
      <c r="FB96" s="97"/>
      <c r="FC96" s="97"/>
      <c r="FD96" s="97"/>
      <c r="FE96" s="97"/>
      <c r="FF96" s="97"/>
      <c r="FG96" s="97"/>
      <c r="FH96" s="97"/>
      <c r="FI96" s="97"/>
      <c r="FJ96" s="97"/>
      <c r="FK96" s="97"/>
      <c r="FL96" s="97"/>
      <c r="FM96" s="97"/>
      <c r="FN96" s="97"/>
      <c r="FO96" s="97"/>
      <c r="FP96" s="97"/>
      <c r="FQ96" s="97"/>
      <c r="FR96" s="97"/>
      <c r="FS96" s="97"/>
      <c r="FT96" s="97"/>
      <c r="FU96" s="97"/>
      <c r="FV96" s="97"/>
      <c r="FW96" s="97"/>
      <c r="FX96" s="97"/>
      <c r="FY96" s="97"/>
      <c r="FZ96" s="97"/>
      <c r="GA96" s="97"/>
      <c r="GB96" s="97"/>
      <c r="GC96" s="97"/>
      <c r="GD96" s="97"/>
      <c r="GE96" s="97"/>
      <c r="GF96" s="97"/>
      <c r="GG96" s="97"/>
      <c r="GH96" s="97"/>
      <c r="GI96" s="97"/>
      <c r="GJ96" s="97"/>
      <c r="GK96" s="97"/>
      <c r="GL96" s="97"/>
      <c r="GM96" s="97"/>
      <c r="GN96" s="97"/>
      <c r="GO96" s="97"/>
      <c r="GP96" s="97"/>
      <c r="GQ96" s="97"/>
      <c r="GR96" s="97"/>
      <c r="GS96" s="97"/>
      <c r="GT96" s="97"/>
      <c r="GU96" s="97"/>
      <c r="GV96" s="97"/>
      <c r="GW96" s="97"/>
      <c r="GX96" s="97"/>
      <c r="GY96" s="97"/>
      <c r="GZ96" s="97"/>
      <c r="HA96" s="97"/>
      <c r="HB96" s="97"/>
      <c r="HC96" s="97"/>
      <c r="HD96" s="97"/>
      <c r="HE96" s="97"/>
      <c r="HF96" s="97"/>
      <c r="HG96" s="97"/>
      <c r="HH96" s="97"/>
      <c r="HI96" s="97"/>
      <c r="HJ96" s="97"/>
      <c r="HK96" s="97"/>
      <c r="HL96" s="97"/>
      <c r="HM96" s="97"/>
      <c r="HN96" s="97"/>
      <c r="HO96" s="97"/>
      <c r="HP96" s="97"/>
      <c r="HQ96" s="97"/>
      <c r="HR96" s="97"/>
      <c r="HS96" s="97"/>
      <c r="HT96" s="97"/>
      <c r="HU96" s="97"/>
      <c r="HV96" s="97"/>
      <c r="HW96" s="97"/>
      <c r="HX96" s="97"/>
      <c r="HY96" s="97"/>
      <c r="HZ96" s="97"/>
      <c r="IA96" s="97"/>
      <c r="IB96" s="97"/>
      <c r="IC96" s="97"/>
      <c r="ID96" s="97"/>
      <c r="IE96" s="97"/>
      <c r="IF96" s="97"/>
      <c r="IG96" s="97"/>
      <c r="IH96" s="97"/>
      <c r="II96" s="97"/>
      <c r="IJ96" s="97"/>
      <c r="IK96" s="97"/>
      <c r="IL96" s="97"/>
      <c r="IM96" s="97"/>
      <c r="IN96" s="97"/>
      <c r="IO96" s="97"/>
      <c r="IP96" s="97"/>
      <c r="IQ96" s="97"/>
      <c r="IR96" s="97"/>
      <c r="IS96" s="97"/>
    </row>
    <row r="97" spans="1:253" hidden="1">
      <c r="A97" s="28"/>
      <c r="J97" s="86" t="s">
        <v>73</v>
      </c>
      <c r="L97" s="37"/>
      <c r="M97" s="36"/>
      <c r="N97" s="34"/>
      <c r="O97" s="35"/>
      <c r="P97" s="82" t="s">
        <v>76</v>
      </c>
      <c r="Q97" s="97"/>
      <c r="R97" s="146">
        <v>61</v>
      </c>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c r="BN97" s="97"/>
      <c r="BO97" s="97"/>
      <c r="BP97" s="97"/>
      <c r="BQ97" s="97"/>
      <c r="BR97" s="97"/>
      <c r="BS97" s="97"/>
      <c r="BT97" s="97"/>
      <c r="BU97" s="97"/>
      <c r="BV97" s="97"/>
      <c r="BW97" s="97"/>
      <c r="BX97" s="97"/>
      <c r="BY97" s="97"/>
      <c r="BZ97" s="97"/>
      <c r="CA97" s="97"/>
      <c r="CB97" s="97"/>
      <c r="CC97" s="97"/>
      <c r="CD97" s="97"/>
      <c r="CE97" s="97"/>
      <c r="CF97" s="97"/>
      <c r="CG97" s="97"/>
      <c r="CH97" s="97"/>
      <c r="CI97" s="97"/>
      <c r="CJ97" s="97"/>
      <c r="CK97" s="97"/>
      <c r="CL97" s="97"/>
      <c r="CM97" s="97"/>
      <c r="CN97" s="97"/>
      <c r="CO97" s="97"/>
      <c r="CP97" s="97"/>
      <c r="CQ97" s="97"/>
      <c r="CR97" s="97"/>
      <c r="CS97" s="97"/>
      <c r="CT97" s="97"/>
      <c r="CU97" s="97"/>
      <c r="CV97" s="97"/>
      <c r="CW97" s="97"/>
      <c r="CX97" s="97"/>
      <c r="CY97" s="97"/>
      <c r="CZ97" s="97"/>
      <c r="DA97" s="97"/>
      <c r="DB97" s="97"/>
      <c r="DC97" s="97"/>
      <c r="DD97" s="97"/>
      <c r="DE97" s="97"/>
      <c r="DF97" s="97"/>
      <c r="DG97" s="97"/>
      <c r="DH97" s="97"/>
      <c r="DI97" s="97"/>
      <c r="DJ97" s="97"/>
      <c r="DK97" s="97"/>
      <c r="DL97" s="97"/>
      <c r="DM97" s="97"/>
      <c r="DN97" s="97"/>
      <c r="DO97" s="97"/>
      <c r="DP97" s="97"/>
      <c r="DQ97" s="97"/>
      <c r="DR97" s="97"/>
      <c r="DS97" s="97"/>
      <c r="DT97" s="97"/>
      <c r="DU97" s="97"/>
      <c r="DV97" s="97"/>
      <c r="DW97" s="97"/>
      <c r="DX97" s="97"/>
      <c r="DY97" s="97"/>
      <c r="DZ97" s="97"/>
      <c r="EA97" s="97"/>
      <c r="EB97" s="97"/>
      <c r="EC97" s="97"/>
      <c r="ED97" s="97"/>
      <c r="EE97" s="97"/>
      <c r="EF97" s="97"/>
      <c r="EG97" s="97"/>
      <c r="EH97" s="97"/>
      <c r="EI97" s="97"/>
      <c r="EJ97" s="97"/>
      <c r="EK97" s="97"/>
      <c r="EL97" s="97"/>
      <c r="EM97" s="97"/>
      <c r="EN97" s="97"/>
      <c r="EO97" s="97"/>
      <c r="EP97" s="97"/>
      <c r="EQ97" s="97"/>
      <c r="ER97" s="97"/>
      <c r="ES97" s="97"/>
      <c r="ET97" s="97"/>
      <c r="EU97" s="97"/>
      <c r="EV97" s="97"/>
      <c r="EW97" s="97"/>
      <c r="EX97" s="97"/>
      <c r="EY97" s="97"/>
      <c r="EZ97" s="97"/>
      <c r="FA97" s="97"/>
      <c r="FB97" s="97"/>
      <c r="FC97" s="97"/>
      <c r="FD97" s="97"/>
      <c r="FE97" s="97"/>
      <c r="FF97" s="97"/>
      <c r="FG97" s="97"/>
      <c r="FH97" s="97"/>
      <c r="FI97" s="97"/>
      <c r="FJ97" s="97"/>
      <c r="FK97" s="97"/>
      <c r="FL97" s="97"/>
      <c r="FM97" s="97"/>
      <c r="FN97" s="97"/>
      <c r="FO97" s="97"/>
      <c r="FP97" s="97"/>
      <c r="FQ97" s="97"/>
      <c r="FR97" s="97"/>
      <c r="FS97" s="97"/>
      <c r="FT97" s="97"/>
      <c r="FU97" s="97"/>
      <c r="FV97" s="97"/>
      <c r="FW97" s="97"/>
      <c r="FX97" s="97"/>
      <c r="FY97" s="97"/>
      <c r="FZ97" s="97"/>
      <c r="GA97" s="97"/>
      <c r="GB97" s="97"/>
      <c r="GC97" s="97"/>
      <c r="GD97" s="97"/>
      <c r="GE97" s="97"/>
      <c r="GF97" s="97"/>
      <c r="GG97" s="97"/>
      <c r="GH97" s="97"/>
      <c r="GI97" s="97"/>
      <c r="GJ97" s="97"/>
      <c r="GK97" s="97"/>
      <c r="GL97" s="97"/>
      <c r="GM97" s="97"/>
      <c r="GN97" s="97"/>
      <c r="GO97" s="97"/>
      <c r="GP97" s="97"/>
      <c r="GQ97" s="97"/>
      <c r="GR97" s="97"/>
      <c r="GS97" s="97"/>
      <c r="GT97" s="97"/>
      <c r="GU97" s="97"/>
      <c r="GV97" s="97"/>
      <c r="GW97" s="97"/>
      <c r="GX97" s="97"/>
      <c r="GY97" s="97"/>
      <c r="GZ97" s="97"/>
      <c r="HA97" s="97"/>
      <c r="HB97" s="97"/>
      <c r="HC97" s="97"/>
      <c r="HD97" s="97"/>
      <c r="HE97" s="97"/>
      <c r="HF97" s="97"/>
      <c r="HG97" s="97"/>
      <c r="HH97" s="97"/>
      <c r="HI97" s="97"/>
      <c r="HJ97" s="97"/>
      <c r="HK97" s="97"/>
      <c r="HL97" s="97"/>
      <c r="HM97" s="97"/>
      <c r="HN97" s="97"/>
      <c r="HO97" s="97"/>
      <c r="HP97" s="97"/>
      <c r="HQ97" s="97"/>
      <c r="HR97" s="97"/>
      <c r="HS97" s="97"/>
      <c r="HT97" s="97"/>
      <c r="HU97" s="97"/>
      <c r="HV97" s="97"/>
      <c r="HW97" s="97"/>
      <c r="HX97" s="97"/>
      <c r="HY97" s="97"/>
      <c r="HZ97" s="97"/>
      <c r="IA97" s="97"/>
      <c r="IB97" s="97"/>
      <c r="IC97" s="97"/>
      <c r="ID97" s="97"/>
      <c r="IE97" s="97"/>
      <c r="IF97" s="97"/>
      <c r="IG97" s="97"/>
      <c r="IH97" s="97"/>
      <c r="II97" s="97"/>
      <c r="IJ97" s="97"/>
      <c r="IK97" s="97"/>
      <c r="IL97" s="97"/>
      <c r="IM97" s="97"/>
      <c r="IN97" s="97"/>
      <c r="IO97" s="97"/>
      <c r="IP97" s="97"/>
      <c r="IQ97" s="97"/>
      <c r="IR97" s="97"/>
      <c r="IS97" s="97"/>
    </row>
    <row r="98" spans="1:253" hidden="1">
      <c r="A98" s="28"/>
      <c r="J98" s="87">
        <v>49</v>
      </c>
      <c r="K98" s="19" t="str">
        <f>'Data Export'!B50</f>
        <v/>
      </c>
      <c r="L98" s="22" t="str">
        <f>IF(K98="", "", 'Vending Controls'!L8)</f>
        <v/>
      </c>
      <c r="M98" s="22" t="str">
        <f>IF(K98="", "", 'Vending Controls'!M8)</f>
        <v/>
      </c>
      <c r="N98" s="6" t="str">
        <f>IF(K98="", "", 'Vending Controls'!J8)</f>
        <v/>
      </c>
      <c r="O98" s="83" t="str">
        <f>IF(K98="", "", 'Vending Controls'!N8)</f>
        <v/>
      </c>
      <c r="P98" s="6" t="str">
        <f>IF(K98="","",CONCATENATE($C$10,J98))</f>
        <v/>
      </c>
      <c r="Q98" s="97"/>
      <c r="R98" s="146">
        <v>62</v>
      </c>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c r="BZ98" s="97"/>
      <c r="CA98" s="97"/>
      <c r="CB98" s="97"/>
      <c r="CC98" s="97"/>
      <c r="CD98" s="97"/>
      <c r="CE98" s="97"/>
      <c r="CF98" s="97"/>
      <c r="CG98" s="97"/>
      <c r="CH98" s="97"/>
      <c r="CI98" s="97"/>
      <c r="CJ98" s="97"/>
      <c r="CK98" s="97"/>
      <c r="CL98" s="97"/>
      <c r="CM98" s="97"/>
      <c r="CN98" s="97"/>
      <c r="CO98" s="97"/>
      <c r="CP98" s="97"/>
      <c r="CQ98" s="97"/>
      <c r="CR98" s="97"/>
      <c r="CS98" s="97"/>
      <c r="CT98" s="97"/>
      <c r="CU98" s="97"/>
      <c r="CV98" s="97"/>
      <c r="CW98" s="97"/>
      <c r="CX98" s="97"/>
      <c r="CY98" s="97"/>
      <c r="CZ98" s="97"/>
      <c r="DA98" s="97"/>
      <c r="DB98" s="97"/>
      <c r="DC98" s="97"/>
      <c r="DD98" s="97"/>
      <c r="DE98" s="97"/>
      <c r="DF98" s="97"/>
      <c r="DG98" s="97"/>
      <c r="DH98" s="97"/>
      <c r="DI98" s="97"/>
      <c r="DJ98" s="97"/>
      <c r="DK98" s="97"/>
      <c r="DL98" s="97"/>
      <c r="DM98" s="97"/>
      <c r="DN98" s="97"/>
      <c r="DO98" s="97"/>
      <c r="DP98" s="97"/>
      <c r="DQ98" s="97"/>
      <c r="DR98" s="97"/>
      <c r="DS98" s="97"/>
      <c r="DT98" s="97"/>
      <c r="DU98" s="97"/>
      <c r="DV98" s="97"/>
      <c r="DW98" s="97"/>
      <c r="DX98" s="97"/>
      <c r="DY98" s="97"/>
      <c r="DZ98" s="97"/>
      <c r="EA98" s="97"/>
      <c r="EB98" s="97"/>
      <c r="EC98" s="97"/>
      <c r="ED98" s="97"/>
      <c r="EE98" s="97"/>
      <c r="EF98" s="97"/>
      <c r="EG98" s="97"/>
      <c r="EH98" s="97"/>
      <c r="EI98" s="97"/>
      <c r="EJ98" s="97"/>
      <c r="EK98" s="97"/>
      <c r="EL98" s="97"/>
      <c r="EM98" s="97"/>
      <c r="EN98" s="97"/>
      <c r="EO98" s="97"/>
      <c r="EP98" s="97"/>
      <c r="EQ98" s="97"/>
      <c r="ER98" s="97"/>
      <c r="ES98" s="97"/>
      <c r="ET98" s="97"/>
      <c r="EU98" s="97"/>
      <c r="EV98" s="97"/>
      <c r="EW98" s="97"/>
      <c r="EX98" s="97"/>
      <c r="EY98" s="97"/>
      <c r="EZ98" s="97"/>
      <c r="FA98" s="97"/>
      <c r="FB98" s="97"/>
      <c r="FC98" s="97"/>
      <c r="FD98" s="97"/>
      <c r="FE98" s="97"/>
      <c r="FF98" s="97"/>
      <c r="FG98" s="97"/>
      <c r="FH98" s="97"/>
      <c r="FI98" s="97"/>
      <c r="FJ98" s="97"/>
      <c r="FK98" s="97"/>
      <c r="FL98" s="97"/>
      <c r="FM98" s="97"/>
      <c r="FN98" s="97"/>
      <c r="FO98" s="97"/>
      <c r="FP98" s="97"/>
      <c r="FQ98" s="97"/>
      <c r="FR98" s="97"/>
      <c r="FS98" s="97"/>
      <c r="FT98" s="97"/>
      <c r="FU98" s="97"/>
      <c r="FV98" s="97"/>
      <c r="FW98" s="97"/>
      <c r="FX98" s="97"/>
      <c r="FY98" s="97"/>
      <c r="FZ98" s="97"/>
      <c r="GA98" s="97"/>
      <c r="GB98" s="97"/>
      <c r="GC98" s="97"/>
      <c r="GD98" s="97"/>
      <c r="GE98" s="97"/>
      <c r="GF98" s="97"/>
      <c r="GG98" s="97"/>
      <c r="GH98" s="97"/>
      <c r="GI98" s="97"/>
      <c r="GJ98" s="97"/>
      <c r="GK98" s="97"/>
      <c r="GL98" s="97"/>
      <c r="GM98" s="97"/>
      <c r="GN98" s="97"/>
      <c r="GO98" s="97"/>
      <c r="GP98" s="97"/>
      <c r="GQ98" s="97"/>
      <c r="GR98" s="97"/>
      <c r="GS98" s="97"/>
      <c r="GT98" s="97"/>
      <c r="GU98" s="97"/>
      <c r="GV98" s="97"/>
      <c r="GW98" s="97"/>
      <c r="GX98" s="97"/>
      <c r="GY98" s="97"/>
      <c r="GZ98" s="97"/>
      <c r="HA98" s="97"/>
      <c r="HB98" s="97"/>
      <c r="HC98" s="97"/>
      <c r="HD98" s="97"/>
      <c r="HE98" s="97"/>
      <c r="HF98" s="97"/>
      <c r="HG98" s="97"/>
      <c r="HH98" s="97"/>
      <c r="HI98" s="97"/>
      <c r="HJ98" s="97"/>
      <c r="HK98" s="97"/>
      <c r="HL98" s="97"/>
      <c r="HM98" s="97"/>
      <c r="HN98" s="97"/>
      <c r="HO98" s="97"/>
      <c r="HP98" s="97"/>
      <c r="HQ98" s="97"/>
      <c r="HR98" s="97"/>
      <c r="HS98" s="97"/>
      <c r="HT98" s="97"/>
      <c r="HU98" s="97"/>
      <c r="HV98" s="97"/>
      <c r="HW98" s="97"/>
      <c r="HX98" s="97"/>
      <c r="HY98" s="97"/>
      <c r="HZ98" s="97"/>
      <c r="IA98" s="97"/>
      <c r="IB98" s="97"/>
      <c r="IC98" s="97"/>
      <c r="ID98" s="97"/>
      <c r="IE98" s="97"/>
      <c r="IF98" s="97"/>
      <c r="IG98" s="97"/>
      <c r="IH98" s="97"/>
      <c r="II98" s="97"/>
      <c r="IJ98" s="97"/>
      <c r="IK98" s="97"/>
      <c r="IL98" s="97"/>
      <c r="IM98" s="97"/>
      <c r="IN98" s="97"/>
      <c r="IO98" s="97"/>
      <c r="IP98" s="97"/>
      <c r="IQ98" s="97"/>
      <c r="IR98" s="97"/>
      <c r="IS98" s="97"/>
    </row>
    <row r="99" spans="1:253" hidden="1">
      <c r="A99" s="28"/>
      <c r="J99" s="87">
        <v>50</v>
      </c>
      <c r="K99" s="19" t="str">
        <f>'Data Export'!B51</f>
        <v/>
      </c>
      <c r="L99" s="22" t="str">
        <f>IF(K99="", "", 'Vending Controls'!L9)</f>
        <v/>
      </c>
      <c r="M99" s="22" t="str">
        <f>IF(K99="", "", 'Vending Controls'!M9)</f>
        <v/>
      </c>
      <c r="N99" s="6" t="str">
        <f>IF(K99="", "", 'Vending Controls'!J9)</f>
        <v/>
      </c>
      <c r="O99" s="83" t="str">
        <f>IF(K99="", "", 'Vending Controls'!N9)</f>
        <v/>
      </c>
      <c r="P99" s="6" t="str">
        <f t="shared" ref="P99:P105" si="6">IF(K99="","",CONCATENATE($C$10,J99))</f>
        <v/>
      </c>
      <c r="Q99" s="97"/>
      <c r="R99" s="146">
        <v>63</v>
      </c>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97"/>
      <c r="BS99" s="97"/>
      <c r="BT99" s="97"/>
      <c r="BU99" s="97"/>
      <c r="BV99" s="97"/>
      <c r="BW99" s="97"/>
      <c r="BX99" s="97"/>
      <c r="BY99" s="97"/>
      <c r="BZ99" s="97"/>
      <c r="CA99" s="97"/>
      <c r="CB99" s="97"/>
      <c r="CC99" s="97"/>
      <c r="CD99" s="97"/>
      <c r="CE99" s="97"/>
      <c r="CF99" s="97"/>
      <c r="CG99" s="97"/>
      <c r="CH99" s="97"/>
      <c r="CI99" s="97"/>
      <c r="CJ99" s="97"/>
      <c r="CK99" s="97"/>
      <c r="CL99" s="97"/>
      <c r="CM99" s="97"/>
      <c r="CN99" s="97"/>
      <c r="CO99" s="97"/>
      <c r="CP99" s="97"/>
      <c r="CQ99" s="97"/>
      <c r="CR99" s="97"/>
      <c r="CS99" s="97"/>
      <c r="CT99" s="97"/>
      <c r="CU99" s="97"/>
      <c r="CV99" s="97"/>
      <c r="CW99" s="97"/>
      <c r="CX99" s="97"/>
      <c r="CY99" s="97"/>
      <c r="CZ99" s="97"/>
      <c r="DA99" s="97"/>
      <c r="DB99" s="97"/>
      <c r="DC99" s="97"/>
      <c r="DD99" s="97"/>
      <c r="DE99" s="97"/>
      <c r="DF99" s="97"/>
      <c r="DG99" s="97"/>
      <c r="DH99" s="97"/>
      <c r="DI99" s="97"/>
      <c r="DJ99" s="97"/>
      <c r="DK99" s="97"/>
      <c r="DL99" s="97"/>
      <c r="DM99" s="97"/>
      <c r="DN99" s="97"/>
      <c r="DO99" s="97"/>
      <c r="DP99" s="97"/>
      <c r="DQ99" s="97"/>
      <c r="DR99" s="97"/>
      <c r="DS99" s="97"/>
      <c r="DT99" s="97"/>
      <c r="DU99" s="97"/>
      <c r="DV99" s="97"/>
      <c r="DW99" s="97"/>
      <c r="DX99" s="97"/>
      <c r="DY99" s="97"/>
      <c r="DZ99" s="97"/>
      <c r="EA99" s="97"/>
      <c r="EB99" s="97"/>
      <c r="EC99" s="97"/>
      <c r="ED99" s="97"/>
      <c r="EE99" s="97"/>
      <c r="EF99" s="97"/>
      <c r="EG99" s="97"/>
      <c r="EH99" s="97"/>
      <c r="EI99" s="97"/>
      <c r="EJ99" s="97"/>
      <c r="EK99" s="97"/>
      <c r="EL99" s="97"/>
      <c r="EM99" s="97"/>
      <c r="EN99" s="97"/>
      <c r="EO99" s="97"/>
      <c r="EP99" s="97"/>
      <c r="EQ99" s="97"/>
      <c r="ER99" s="97"/>
      <c r="ES99" s="97"/>
      <c r="ET99" s="97"/>
      <c r="EU99" s="97"/>
      <c r="EV99" s="97"/>
      <c r="EW99" s="97"/>
      <c r="EX99" s="97"/>
      <c r="EY99" s="97"/>
      <c r="EZ99" s="97"/>
      <c r="FA99" s="97"/>
      <c r="FB99" s="97"/>
      <c r="FC99" s="97"/>
      <c r="FD99" s="97"/>
      <c r="FE99" s="97"/>
      <c r="FF99" s="97"/>
      <c r="FG99" s="97"/>
      <c r="FH99" s="97"/>
      <c r="FI99" s="97"/>
      <c r="FJ99" s="97"/>
      <c r="FK99" s="97"/>
      <c r="FL99" s="97"/>
      <c r="FM99" s="97"/>
      <c r="FN99" s="97"/>
      <c r="FO99" s="97"/>
      <c r="FP99" s="97"/>
      <c r="FQ99" s="97"/>
      <c r="FR99" s="97"/>
      <c r="FS99" s="97"/>
      <c r="FT99" s="97"/>
      <c r="FU99" s="97"/>
      <c r="FV99" s="97"/>
      <c r="FW99" s="97"/>
      <c r="FX99" s="97"/>
      <c r="FY99" s="97"/>
      <c r="FZ99" s="97"/>
      <c r="GA99" s="97"/>
      <c r="GB99" s="97"/>
      <c r="GC99" s="97"/>
      <c r="GD99" s="97"/>
      <c r="GE99" s="97"/>
      <c r="GF99" s="97"/>
      <c r="GG99" s="97"/>
      <c r="GH99" s="97"/>
      <c r="GI99" s="97"/>
      <c r="GJ99" s="97"/>
      <c r="GK99" s="97"/>
      <c r="GL99" s="97"/>
      <c r="GM99" s="97"/>
      <c r="GN99" s="97"/>
      <c r="GO99" s="97"/>
      <c r="GP99" s="97"/>
      <c r="GQ99" s="97"/>
      <c r="GR99" s="97"/>
      <c r="GS99" s="97"/>
      <c r="GT99" s="97"/>
      <c r="GU99" s="97"/>
      <c r="GV99" s="97"/>
      <c r="GW99" s="97"/>
      <c r="GX99" s="97"/>
      <c r="GY99" s="97"/>
      <c r="GZ99" s="97"/>
      <c r="HA99" s="97"/>
      <c r="HB99" s="97"/>
      <c r="HC99" s="97"/>
      <c r="HD99" s="97"/>
      <c r="HE99" s="97"/>
      <c r="HF99" s="97"/>
      <c r="HG99" s="97"/>
      <c r="HH99" s="97"/>
      <c r="HI99" s="97"/>
      <c r="HJ99" s="97"/>
      <c r="HK99" s="97"/>
      <c r="HL99" s="97"/>
      <c r="HM99" s="97"/>
      <c r="HN99" s="97"/>
      <c r="HO99" s="97"/>
      <c r="HP99" s="97"/>
      <c r="HQ99" s="97"/>
      <c r="HR99" s="97"/>
      <c r="HS99" s="97"/>
      <c r="HT99" s="97"/>
      <c r="HU99" s="97"/>
      <c r="HV99" s="97"/>
      <c r="HW99" s="97"/>
      <c r="HX99" s="97"/>
      <c r="HY99" s="97"/>
      <c r="HZ99" s="97"/>
      <c r="IA99" s="97"/>
      <c r="IB99" s="97"/>
      <c r="IC99" s="97"/>
      <c r="ID99" s="97"/>
      <c r="IE99" s="97"/>
      <c r="IF99" s="97"/>
      <c r="IG99" s="97"/>
      <c r="IH99" s="97"/>
      <c r="II99" s="97"/>
      <c r="IJ99" s="97"/>
      <c r="IK99" s="97"/>
      <c r="IL99" s="97"/>
      <c r="IM99" s="97"/>
      <c r="IN99" s="97"/>
      <c r="IO99" s="97"/>
      <c r="IP99" s="97"/>
      <c r="IQ99" s="97"/>
      <c r="IR99" s="97"/>
      <c r="IS99" s="97"/>
    </row>
    <row r="100" spans="1:253" hidden="1">
      <c r="A100" s="28"/>
      <c r="J100" s="87">
        <v>51</v>
      </c>
      <c r="K100" s="19" t="str">
        <f>'Data Export'!B52</f>
        <v/>
      </c>
      <c r="L100" s="22" t="str">
        <f>IF(K100="", "", 'Vending Controls'!L10)</f>
        <v/>
      </c>
      <c r="M100" s="22" t="str">
        <f>IF(K100="", "", 'Vending Controls'!M10)</f>
        <v/>
      </c>
      <c r="N100" s="6" t="str">
        <f>IF(K100="", "", 'Vending Controls'!J10)</f>
        <v/>
      </c>
      <c r="O100" s="83" t="str">
        <f>IF(K100="", "", 'Vending Controls'!N10)</f>
        <v/>
      </c>
      <c r="P100" s="6" t="str">
        <f t="shared" si="6"/>
        <v/>
      </c>
      <c r="Q100" s="97"/>
      <c r="R100" s="146">
        <v>64</v>
      </c>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97"/>
      <c r="BS100" s="97"/>
      <c r="BT100" s="97"/>
      <c r="BU100" s="97"/>
      <c r="BV100" s="97"/>
      <c r="BW100" s="97"/>
      <c r="BX100" s="97"/>
      <c r="BY100" s="97"/>
      <c r="BZ100" s="97"/>
      <c r="CA100" s="97"/>
      <c r="CB100" s="97"/>
      <c r="CC100" s="97"/>
      <c r="CD100" s="97"/>
      <c r="CE100" s="97"/>
      <c r="CF100" s="97"/>
      <c r="CG100" s="97"/>
      <c r="CH100" s="97"/>
      <c r="CI100" s="97"/>
      <c r="CJ100" s="97"/>
      <c r="CK100" s="97"/>
      <c r="CL100" s="97"/>
      <c r="CM100" s="97"/>
      <c r="CN100" s="97"/>
      <c r="CO100" s="97"/>
      <c r="CP100" s="97"/>
      <c r="CQ100" s="97"/>
      <c r="CR100" s="97"/>
      <c r="CS100" s="97"/>
      <c r="CT100" s="97"/>
      <c r="CU100" s="97"/>
      <c r="CV100" s="97"/>
      <c r="CW100" s="97"/>
      <c r="CX100" s="97"/>
      <c r="CY100" s="97"/>
      <c r="CZ100" s="97"/>
      <c r="DA100" s="97"/>
      <c r="DB100" s="97"/>
      <c r="DC100" s="97"/>
      <c r="DD100" s="97"/>
      <c r="DE100" s="97"/>
      <c r="DF100" s="97"/>
      <c r="DG100" s="97"/>
      <c r="DH100" s="97"/>
      <c r="DI100" s="97"/>
      <c r="DJ100" s="97"/>
      <c r="DK100" s="97"/>
      <c r="DL100" s="97"/>
      <c r="DM100" s="97"/>
      <c r="DN100" s="97"/>
      <c r="DO100" s="97"/>
      <c r="DP100" s="97"/>
      <c r="DQ100" s="97"/>
      <c r="DR100" s="97"/>
      <c r="DS100" s="97"/>
      <c r="DT100" s="97"/>
      <c r="DU100" s="97"/>
      <c r="DV100" s="97"/>
      <c r="DW100" s="97"/>
      <c r="DX100" s="97"/>
      <c r="DY100" s="97"/>
      <c r="DZ100" s="97"/>
      <c r="EA100" s="97"/>
      <c r="EB100" s="97"/>
      <c r="EC100" s="97"/>
      <c r="ED100" s="97"/>
      <c r="EE100" s="97"/>
      <c r="EF100" s="97"/>
      <c r="EG100" s="97"/>
      <c r="EH100" s="97"/>
      <c r="EI100" s="97"/>
      <c r="EJ100" s="97"/>
      <c r="EK100" s="97"/>
      <c r="EL100" s="97"/>
      <c r="EM100" s="97"/>
      <c r="EN100" s="97"/>
      <c r="EO100" s="97"/>
      <c r="EP100" s="97"/>
      <c r="EQ100" s="97"/>
      <c r="ER100" s="97"/>
      <c r="ES100" s="97"/>
      <c r="ET100" s="97"/>
      <c r="EU100" s="97"/>
      <c r="EV100" s="97"/>
      <c r="EW100" s="97"/>
      <c r="EX100" s="97"/>
      <c r="EY100" s="97"/>
      <c r="EZ100" s="97"/>
      <c r="FA100" s="97"/>
      <c r="FB100" s="97"/>
      <c r="FC100" s="97"/>
      <c r="FD100" s="97"/>
      <c r="FE100" s="97"/>
      <c r="FF100" s="97"/>
      <c r="FG100" s="97"/>
      <c r="FH100" s="97"/>
      <c r="FI100" s="97"/>
      <c r="FJ100" s="97"/>
      <c r="FK100" s="97"/>
      <c r="FL100" s="97"/>
      <c r="FM100" s="97"/>
      <c r="FN100" s="97"/>
      <c r="FO100" s="97"/>
      <c r="FP100" s="97"/>
      <c r="FQ100" s="97"/>
      <c r="FR100" s="97"/>
      <c r="FS100" s="97"/>
      <c r="FT100" s="97"/>
      <c r="FU100" s="97"/>
      <c r="FV100" s="97"/>
      <c r="FW100" s="97"/>
      <c r="FX100" s="97"/>
      <c r="FY100" s="97"/>
      <c r="FZ100" s="97"/>
      <c r="GA100" s="97"/>
      <c r="GB100" s="97"/>
      <c r="GC100" s="97"/>
      <c r="GD100" s="97"/>
      <c r="GE100" s="97"/>
      <c r="GF100" s="97"/>
      <c r="GG100" s="97"/>
      <c r="GH100" s="97"/>
      <c r="GI100" s="97"/>
      <c r="GJ100" s="97"/>
      <c r="GK100" s="97"/>
      <c r="GL100" s="97"/>
      <c r="GM100" s="97"/>
      <c r="GN100" s="97"/>
      <c r="GO100" s="97"/>
      <c r="GP100" s="97"/>
      <c r="GQ100" s="97"/>
      <c r="GR100" s="97"/>
      <c r="GS100" s="97"/>
      <c r="GT100" s="97"/>
      <c r="GU100" s="97"/>
      <c r="GV100" s="97"/>
      <c r="GW100" s="97"/>
      <c r="GX100" s="97"/>
      <c r="GY100" s="97"/>
      <c r="GZ100" s="97"/>
      <c r="HA100" s="97"/>
      <c r="HB100" s="97"/>
      <c r="HC100" s="97"/>
      <c r="HD100" s="97"/>
      <c r="HE100" s="97"/>
      <c r="HF100" s="97"/>
      <c r="HG100" s="97"/>
      <c r="HH100" s="97"/>
      <c r="HI100" s="97"/>
      <c r="HJ100" s="97"/>
      <c r="HK100" s="97"/>
      <c r="HL100" s="97"/>
      <c r="HM100" s="97"/>
      <c r="HN100" s="97"/>
      <c r="HO100" s="97"/>
      <c r="HP100" s="97"/>
      <c r="HQ100" s="97"/>
      <c r="HR100" s="97"/>
      <c r="HS100" s="97"/>
      <c r="HT100" s="97"/>
      <c r="HU100" s="97"/>
      <c r="HV100" s="97"/>
      <c r="HW100" s="97"/>
      <c r="HX100" s="97"/>
      <c r="HY100" s="97"/>
      <c r="HZ100" s="97"/>
      <c r="IA100" s="97"/>
      <c r="IB100" s="97"/>
      <c r="IC100" s="97"/>
      <c r="ID100" s="97"/>
      <c r="IE100" s="97"/>
      <c r="IF100" s="97"/>
      <c r="IG100" s="97"/>
      <c r="IH100" s="97"/>
      <c r="II100" s="97"/>
      <c r="IJ100" s="97"/>
      <c r="IK100" s="97"/>
      <c r="IL100" s="97"/>
      <c r="IM100" s="97"/>
      <c r="IN100" s="97"/>
      <c r="IO100" s="97"/>
      <c r="IP100" s="97"/>
      <c r="IQ100" s="97"/>
      <c r="IR100" s="97"/>
      <c r="IS100" s="97"/>
    </row>
    <row r="101" spans="1:253" hidden="1">
      <c r="A101" s="28"/>
      <c r="J101" s="87">
        <v>52</v>
      </c>
      <c r="K101" s="19" t="str">
        <f>'Data Export'!B53</f>
        <v/>
      </c>
      <c r="L101" s="22" t="str">
        <f>IF(K101="", "", 'Vending Controls'!L11)</f>
        <v/>
      </c>
      <c r="M101" s="22" t="str">
        <f>IF(K101="", "", 'Vending Controls'!M11)</f>
        <v/>
      </c>
      <c r="N101" s="6" t="str">
        <f>IF(K101="", "", 'Vending Controls'!J11)</f>
        <v/>
      </c>
      <c r="O101" s="83" t="str">
        <f>IF(K101="", "", 'Vending Controls'!N11)</f>
        <v/>
      </c>
      <c r="P101" s="6" t="str">
        <f t="shared" si="6"/>
        <v/>
      </c>
      <c r="Q101" s="97"/>
      <c r="R101" s="146">
        <v>65</v>
      </c>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7"/>
      <c r="CF101" s="97"/>
      <c r="CG101" s="97"/>
      <c r="CH101" s="97"/>
      <c r="CI101" s="97"/>
      <c r="CJ101" s="97"/>
      <c r="CK101" s="97"/>
      <c r="CL101" s="97"/>
      <c r="CM101" s="97"/>
      <c r="CN101" s="97"/>
      <c r="CO101" s="97"/>
      <c r="CP101" s="97"/>
      <c r="CQ101" s="97"/>
      <c r="CR101" s="97"/>
      <c r="CS101" s="97"/>
      <c r="CT101" s="97"/>
      <c r="CU101" s="97"/>
      <c r="CV101" s="97"/>
      <c r="CW101" s="97"/>
      <c r="CX101" s="97"/>
      <c r="CY101" s="97"/>
      <c r="CZ101" s="97"/>
      <c r="DA101" s="97"/>
      <c r="DB101" s="97"/>
      <c r="DC101" s="97"/>
      <c r="DD101" s="97"/>
      <c r="DE101" s="97"/>
      <c r="DF101" s="97"/>
      <c r="DG101" s="97"/>
      <c r="DH101" s="97"/>
      <c r="DI101" s="97"/>
      <c r="DJ101" s="97"/>
      <c r="DK101" s="97"/>
      <c r="DL101" s="97"/>
      <c r="DM101" s="97"/>
      <c r="DN101" s="97"/>
      <c r="DO101" s="97"/>
      <c r="DP101" s="97"/>
      <c r="DQ101" s="97"/>
      <c r="DR101" s="97"/>
      <c r="DS101" s="97"/>
      <c r="DT101" s="97"/>
      <c r="DU101" s="97"/>
      <c r="DV101" s="97"/>
      <c r="DW101" s="97"/>
      <c r="DX101" s="97"/>
      <c r="DY101" s="97"/>
      <c r="DZ101" s="97"/>
      <c r="EA101" s="97"/>
      <c r="EB101" s="97"/>
      <c r="EC101" s="97"/>
      <c r="ED101" s="97"/>
      <c r="EE101" s="97"/>
      <c r="EF101" s="97"/>
      <c r="EG101" s="97"/>
      <c r="EH101" s="97"/>
      <c r="EI101" s="97"/>
      <c r="EJ101" s="97"/>
      <c r="EK101" s="97"/>
      <c r="EL101" s="97"/>
      <c r="EM101" s="97"/>
      <c r="EN101" s="97"/>
      <c r="EO101" s="97"/>
      <c r="EP101" s="97"/>
      <c r="EQ101" s="97"/>
      <c r="ER101" s="97"/>
      <c r="ES101" s="97"/>
      <c r="ET101" s="97"/>
      <c r="EU101" s="97"/>
      <c r="EV101" s="97"/>
      <c r="EW101" s="97"/>
      <c r="EX101" s="97"/>
      <c r="EY101" s="97"/>
      <c r="EZ101" s="97"/>
      <c r="FA101" s="97"/>
      <c r="FB101" s="97"/>
      <c r="FC101" s="97"/>
      <c r="FD101" s="97"/>
      <c r="FE101" s="97"/>
      <c r="FF101" s="97"/>
      <c r="FG101" s="97"/>
      <c r="FH101" s="97"/>
      <c r="FI101" s="97"/>
      <c r="FJ101" s="97"/>
      <c r="FK101" s="97"/>
      <c r="FL101" s="97"/>
      <c r="FM101" s="97"/>
      <c r="FN101" s="97"/>
      <c r="FO101" s="97"/>
      <c r="FP101" s="97"/>
      <c r="FQ101" s="97"/>
      <c r="FR101" s="97"/>
      <c r="FS101" s="97"/>
      <c r="FT101" s="97"/>
      <c r="FU101" s="97"/>
      <c r="FV101" s="97"/>
      <c r="FW101" s="97"/>
      <c r="FX101" s="97"/>
      <c r="FY101" s="97"/>
      <c r="FZ101" s="97"/>
      <c r="GA101" s="97"/>
      <c r="GB101" s="97"/>
      <c r="GC101" s="97"/>
      <c r="GD101" s="97"/>
      <c r="GE101" s="97"/>
      <c r="GF101" s="97"/>
      <c r="GG101" s="97"/>
      <c r="GH101" s="97"/>
      <c r="GI101" s="97"/>
      <c r="GJ101" s="97"/>
      <c r="GK101" s="97"/>
      <c r="GL101" s="97"/>
      <c r="GM101" s="97"/>
      <c r="GN101" s="97"/>
      <c r="GO101" s="97"/>
      <c r="GP101" s="97"/>
      <c r="GQ101" s="97"/>
      <c r="GR101" s="97"/>
      <c r="GS101" s="97"/>
      <c r="GT101" s="97"/>
      <c r="GU101" s="97"/>
      <c r="GV101" s="97"/>
      <c r="GW101" s="97"/>
      <c r="GX101" s="97"/>
      <c r="GY101" s="97"/>
      <c r="GZ101" s="97"/>
      <c r="HA101" s="97"/>
      <c r="HB101" s="97"/>
      <c r="HC101" s="97"/>
      <c r="HD101" s="97"/>
      <c r="HE101" s="97"/>
      <c r="HF101" s="97"/>
      <c r="HG101" s="97"/>
      <c r="HH101" s="97"/>
      <c r="HI101" s="97"/>
      <c r="HJ101" s="97"/>
      <c r="HK101" s="97"/>
      <c r="HL101" s="97"/>
      <c r="HM101" s="97"/>
      <c r="HN101" s="97"/>
      <c r="HO101" s="97"/>
      <c r="HP101" s="97"/>
      <c r="HQ101" s="97"/>
      <c r="HR101" s="97"/>
      <c r="HS101" s="97"/>
      <c r="HT101" s="97"/>
      <c r="HU101" s="97"/>
      <c r="HV101" s="97"/>
      <c r="HW101" s="97"/>
      <c r="HX101" s="97"/>
      <c r="HY101" s="97"/>
      <c r="HZ101" s="97"/>
      <c r="IA101" s="97"/>
      <c r="IB101" s="97"/>
      <c r="IC101" s="97"/>
      <c r="ID101" s="97"/>
      <c r="IE101" s="97"/>
      <c r="IF101" s="97"/>
      <c r="IG101" s="97"/>
      <c r="IH101" s="97"/>
      <c r="II101" s="97"/>
      <c r="IJ101" s="97"/>
      <c r="IK101" s="97"/>
      <c r="IL101" s="97"/>
      <c r="IM101" s="97"/>
      <c r="IN101" s="97"/>
      <c r="IO101" s="97"/>
      <c r="IP101" s="97"/>
      <c r="IQ101" s="97"/>
      <c r="IR101" s="97"/>
      <c r="IS101" s="97"/>
    </row>
    <row r="102" spans="1:253" hidden="1">
      <c r="A102" s="28"/>
      <c r="J102" s="87">
        <v>53</v>
      </c>
      <c r="K102" s="19" t="str">
        <f>'Data Export'!B54</f>
        <v/>
      </c>
      <c r="L102" s="22" t="str">
        <f>IF(K102="", "", 'Vending Controls'!L12)</f>
        <v/>
      </c>
      <c r="M102" s="22" t="str">
        <f>IF(K102="", "", 'Vending Controls'!M12)</f>
        <v/>
      </c>
      <c r="N102" s="6" t="str">
        <f>IF(K102="", "", 'Vending Controls'!J12)</f>
        <v/>
      </c>
      <c r="O102" s="83" t="str">
        <f>IF(K102="", "", 'Vending Controls'!N12)</f>
        <v/>
      </c>
      <c r="P102" s="6" t="str">
        <f t="shared" si="6"/>
        <v/>
      </c>
      <c r="Q102" s="97"/>
      <c r="R102" s="146">
        <v>66</v>
      </c>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7"/>
      <c r="CF102" s="97"/>
      <c r="CG102" s="97"/>
      <c r="CH102" s="97"/>
      <c r="CI102" s="97"/>
      <c r="CJ102" s="97"/>
      <c r="CK102" s="97"/>
      <c r="CL102" s="97"/>
      <c r="CM102" s="97"/>
      <c r="CN102" s="97"/>
      <c r="CO102" s="97"/>
      <c r="CP102" s="97"/>
      <c r="CQ102" s="97"/>
      <c r="CR102" s="97"/>
      <c r="CS102" s="97"/>
      <c r="CT102" s="97"/>
      <c r="CU102" s="97"/>
      <c r="CV102" s="97"/>
      <c r="CW102" s="97"/>
      <c r="CX102" s="97"/>
      <c r="CY102" s="97"/>
      <c r="CZ102" s="97"/>
      <c r="DA102" s="97"/>
      <c r="DB102" s="97"/>
      <c r="DC102" s="97"/>
      <c r="DD102" s="97"/>
      <c r="DE102" s="97"/>
      <c r="DF102" s="97"/>
      <c r="DG102" s="97"/>
      <c r="DH102" s="97"/>
      <c r="DI102" s="97"/>
      <c r="DJ102" s="97"/>
      <c r="DK102" s="97"/>
      <c r="DL102" s="97"/>
      <c r="DM102" s="97"/>
      <c r="DN102" s="97"/>
      <c r="DO102" s="97"/>
      <c r="DP102" s="97"/>
      <c r="DQ102" s="97"/>
      <c r="DR102" s="97"/>
      <c r="DS102" s="97"/>
      <c r="DT102" s="97"/>
      <c r="DU102" s="97"/>
      <c r="DV102" s="97"/>
      <c r="DW102" s="97"/>
      <c r="DX102" s="97"/>
      <c r="DY102" s="97"/>
      <c r="DZ102" s="97"/>
      <c r="EA102" s="97"/>
      <c r="EB102" s="97"/>
      <c r="EC102" s="97"/>
      <c r="ED102" s="97"/>
      <c r="EE102" s="97"/>
      <c r="EF102" s="97"/>
      <c r="EG102" s="97"/>
      <c r="EH102" s="97"/>
      <c r="EI102" s="97"/>
      <c r="EJ102" s="97"/>
      <c r="EK102" s="97"/>
      <c r="EL102" s="97"/>
      <c r="EM102" s="97"/>
      <c r="EN102" s="97"/>
      <c r="EO102" s="97"/>
      <c r="EP102" s="97"/>
      <c r="EQ102" s="97"/>
      <c r="ER102" s="97"/>
      <c r="ES102" s="97"/>
      <c r="ET102" s="97"/>
      <c r="EU102" s="97"/>
      <c r="EV102" s="97"/>
      <c r="EW102" s="97"/>
      <c r="EX102" s="97"/>
      <c r="EY102" s="97"/>
      <c r="EZ102" s="97"/>
      <c r="FA102" s="97"/>
      <c r="FB102" s="97"/>
      <c r="FC102" s="97"/>
      <c r="FD102" s="97"/>
      <c r="FE102" s="97"/>
      <c r="FF102" s="97"/>
      <c r="FG102" s="97"/>
      <c r="FH102" s="97"/>
      <c r="FI102" s="97"/>
      <c r="FJ102" s="97"/>
      <c r="FK102" s="97"/>
      <c r="FL102" s="97"/>
      <c r="FM102" s="97"/>
      <c r="FN102" s="97"/>
      <c r="FO102" s="97"/>
      <c r="FP102" s="97"/>
      <c r="FQ102" s="97"/>
      <c r="FR102" s="97"/>
      <c r="FS102" s="97"/>
      <c r="FT102" s="97"/>
      <c r="FU102" s="97"/>
      <c r="FV102" s="97"/>
      <c r="FW102" s="97"/>
      <c r="FX102" s="97"/>
      <c r="FY102" s="97"/>
      <c r="FZ102" s="97"/>
      <c r="GA102" s="97"/>
      <c r="GB102" s="97"/>
      <c r="GC102" s="97"/>
      <c r="GD102" s="97"/>
      <c r="GE102" s="97"/>
      <c r="GF102" s="97"/>
      <c r="GG102" s="97"/>
      <c r="GH102" s="97"/>
      <c r="GI102" s="97"/>
      <c r="GJ102" s="97"/>
      <c r="GK102" s="97"/>
      <c r="GL102" s="97"/>
      <c r="GM102" s="97"/>
      <c r="GN102" s="97"/>
      <c r="GO102" s="97"/>
      <c r="GP102" s="97"/>
      <c r="GQ102" s="97"/>
      <c r="GR102" s="97"/>
      <c r="GS102" s="97"/>
      <c r="GT102" s="97"/>
      <c r="GU102" s="97"/>
      <c r="GV102" s="97"/>
      <c r="GW102" s="97"/>
      <c r="GX102" s="97"/>
      <c r="GY102" s="97"/>
      <c r="GZ102" s="97"/>
      <c r="HA102" s="97"/>
      <c r="HB102" s="97"/>
      <c r="HC102" s="97"/>
      <c r="HD102" s="97"/>
      <c r="HE102" s="97"/>
      <c r="HF102" s="97"/>
      <c r="HG102" s="97"/>
      <c r="HH102" s="97"/>
      <c r="HI102" s="97"/>
      <c r="HJ102" s="97"/>
      <c r="HK102" s="97"/>
      <c r="HL102" s="97"/>
      <c r="HM102" s="97"/>
      <c r="HN102" s="97"/>
      <c r="HO102" s="97"/>
      <c r="HP102" s="97"/>
      <c r="HQ102" s="97"/>
      <c r="HR102" s="97"/>
      <c r="HS102" s="97"/>
      <c r="HT102" s="97"/>
      <c r="HU102" s="97"/>
      <c r="HV102" s="97"/>
      <c r="HW102" s="97"/>
      <c r="HX102" s="97"/>
      <c r="HY102" s="97"/>
      <c r="HZ102" s="97"/>
      <c r="IA102" s="97"/>
      <c r="IB102" s="97"/>
      <c r="IC102" s="97"/>
      <c r="ID102" s="97"/>
      <c r="IE102" s="97"/>
      <c r="IF102" s="97"/>
      <c r="IG102" s="97"/>
      <c r="IH102" s="97"/>
      <c r="II102" s="97"/>
      <c r="IJ102" s="97"/>
      <c r="IK102" s="97"/>
      <c r="IL102" s="97"/>
      <c r="IM102" s="97"/>
      <c r="IN102" s="97"/>
      <c r="IO102" s="97"/>
      <c r="IP102" s="97"/>
      <c r="IQ102" s="97"/>
      <c r="IR102" s="97"/>
      <c r="IS102" s="97"/>
    </row>
    <row r="103" spans="1:253" hidden="1">
      <c r="A103" s="28"/>
      <c r="J103" s="87">
        <v>54</v>
      </c>
      <c r="K103" s="19" t="str">
        <f>'Data Export'!B55</f>
        <v/>
      </c>
      <c r="L103" s="22" t="str">
        <f>IF(K103="", "", 'Vending Controls'!L13)</f>
        <v/>
      </c>
      <c r="M103" s="22" t="str">
        <f>IF(K103="", "", 'Vending Controls'!M13)</f>
        <v/>
      </c>
      <c r="N103" s="6" t="str">
        <f>IF(K103="", "", 'Vending Controls'!J13)</f>
        <v/>
      </c>
      <c r="O103" s="83" t="str">
        <f>IF(K103="", "", 'Vending Controls'!N13)</f>
        <v/>
      </c>
      <c r="P103" s="6" t="str">
        <f t="shared" si="6"/>
        <v/>
      </c>
      <c r="Q103" s="97"/>
      <c r="R103" s="146">
        <v>67</v>
      </c>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7"/>
      <c r="CF103" s="97"/>
      <c r="CG103" s="97"/>
      <c r="CH103" s="97"/>
      <c r="CI103" s="97"/>
      <c r="CJ103" s="97"/>
      <c r="CK103" s="97"/>
      <c r="CL103" s="97"/>
      <c r="CM103" s="97"/>
      <c r="CN103" s="97"/>
      <c r="CO103" s="97"/>
      <c r="CP103" s="97"/>
      <c r="CQ103" s="97"/>
      <c r="CR103" s="97"/>
      <c r="CS103" s="97"/>
      <c r="CT103" s="97"/>
      <c r="CU103" s="97"/>
      <c r="CV103" s="97"/>
      <c r="CW103" s="97"/>
      <c r="CX103" s="97"/>
      <c r="CY103" s="97"/>
      <c r="CZ103" s="97"/>
      <c r="DA103" s="97"/>
      <c r="DB103" s="97"/>
      <c r="DC103" s="97"/>
      <c r="DD103" s="97"/>
      <c r="DE103" s="97"/>
      <c r="DF103" s="97"/>
      <c r="DG103" s="97"/>
      <c r="DH103" s="97"/>
      <c r="DI103" s="97"/>
      <c r="DJ103" s="97"/>
      <c r="DK103" s="97"/>
      <c r="DL103" s="97"/>
      <c r="DM103" s="97"/>
      <c r="DN103" s="97"/>
      <c r="DO103" s="97"/>
      <c r="DP103" s="97"/>
      <c r="DQ103" s="97"/>
      <c r="DR103" s="97"/>
      <c r="DS103" s="97"/>
      <c r="DT103" s="97"/>
      <c r="DU103" s="97"/>
      <c r="DV103" s="97"/>
      <c r="DW103" s="97"/>
      <c r="DX103" s="97"/>
      <c r="DY103" s="97"/>
      <c r="DZ103" s="97"/>
      <c r="EA103" s="97"/>
      <c r="EB103" s="97"/>
      <c r="EC103" s="97"/>
      <c r="ED103" s="97"/>
      <c r="EE103" s="97"/>
      <c r="EF103" s="97"/>
      <c r="EG103" s="97"/>
      <c r="EH103" s="97"/>
      <c r="EI103" s="97"/>
      <c r="EJ103" s="97"/>
      <c r="EK103" s="97"/>
      <c r="EL103" s="97"/>
      <c r="EM103" s="97"/>
      <c r="EN103" s="97"/>
      <c r="EO103" s="97"/>
      <c r="EP103" s="97"/>
      <c r="EQ103" s="97"/>
      <c r="ER103" s="97"/>
      <c r="ES103" s="97"/>
      <c r="ET103" s="97"/>
      <c r="EU103" s="97"/>
      <c r="EV103" s="97"/>
      <c r="EW103" s="97"/>
      <c r="EX103" s="97"/>
      <c r="EY103" s="97"/>
      <c r="EZ103" s="97"/>
      <c r="FA103" s="97"/>
      <c r="FB103" s="97"/>
      <c r="FC103" s="97"/>
      <c r="FD103" s="97"/>
      <c r="FE103" s="97"/>
      <c r="FF103" s="97"/>
      <c r="FG103" s="97"/>
      <c r="FH103" s="97"/>
      <c r="FI103" s="97"/>
      <c r="FJ103" s="97"/>
      <c r="FK103" s="97"/>
      <c r="FL103" s="97"/>
      <c r="FM103" s="97"/>
      <c r="FN103" s="97"/>
      <c r="FO103" s="97"/>
      <c r="FP103" s="97"/>
      <c r="FQ103" s="97"/>
      <c r="FR103" s="97"/>
      <c r="FS103" s="97"/>
      <c r="FT103" s="97"/>
      <c r="FU103" s="97"/>
      <c r="FV103" s="97"/>
      <c r="FW103" s="97"/>
      <c r="FX103" s="97"/>
      <c r="FY103" s="97"/>
      <c r="FZ103" s="97"/>
      <c r="GA103" s="97"/>
      <c r="GB103" s="97"/>
      <c r="GC103" s="97"/>
      <c r="GD103" s="97"/>
      <c r="GE103" s="97"/>
      <c r="GF103" s="97"/>
      <c r="GG103" s="97"/>
      <c r="GH103" s="97"/>
      <c r="GI103" s="97"/>
      <c r="GJ103" s="97"/>
      <c r="GK103" s="97"/>
      <c r="GL103" s="97"/>
      <c r="GM103" s="97"/>
      <c r="GN103" s="97"/>
      <c r="GO103" s="97"/>
      <c r="GP103" s="97"/>
      <c r="GQ103" s="97"/>
      <c r="GR103" s="97"/>
      <c r="GS103" s="97"/>
      <c r="GT103" s="97"/>
      <c r="GU103" s="97"/>
      <c r="GV103" s="97"/>
      <c r="GW103" s="97"/>
      <c r="GX103" s="97"/>
      <c r="GY103" s="97"/>
      <c r="GZ103" s="97"/>
      <c r="HA103" s="97"/>
      <c r="HB103" s="97"/>
      <c r="HC103" s="97"/>
      <c r="HD103" s="97"/>
      <c r="HE103" s="97"/>
      <c r="HF103" s="97"/>
      <c r="HG103" s="97"/>
      <c r="HH103" s="97"/>
      <c r="HI103" s="97"/>
      <c r="HJ103" s="97"/>
      <c r="HK103" s="97"/>
      <c r="HL103" s="97"/>
      <c r="HM103" s="97"/>
      <c r="HN103" s="97"/>
      <c r="HO103" s="97"/>
      <c r="HP103" s="97"/>
      <c r="HQ103" s="97"/>
      <c r="HR103" s="97"/>
      <c r="HS103" s="97"/>
      <c r="HT103" s="97"/>
      <c r="HU103" s="97"/>
      <c r="HV103" s="97"/>
      <c r="HW103" s="97"/>
      <c r="HX103" s="97"/>
      <c r="HY103" s="97"/>
      <c r="HZ103" s="97"/>
      <c r="IA103" s="97"/>
      <c r="IB103" s="97"/>
      <c r="IC103" s="97"/>
      <c r="ID103" s="97"/>
      <c r="IE103" s="97"/>
      <c r="IF103" s="97"/>
      <c r="IG103" s="97"/>
      <c r="IH103" s="97"/>
      <c r="II103" s="97"/>
      <c r="IJ103" s="97"/>
      <c r="IK103" s="97"/>
      <c r="IL103" s="97"/>
      <c r="IM103" s="97"/>
      <c r="IN103" s="97"/>
      <c r="IO103" s="97"/>
      <c r="IP103" s="97"/>
      <c r="IQ103" s="97"/>
      <c r="IR103" s="97"/>
      <c r="IS103" s="97"/>
    </row>
    <row r="104" spans="1:253" hidden="1">
      <c r="A104" s="28"/>
      <c r="J104" s="87">
        <v>55</v>
      </c>
      <c r="K104" s="19" t="str">
        <f>'Data Export'!B56</f>
        <v/>
      </c>
      <c r="L104" s="22" t="str">
        <f>IF(K104="", "", 'Vending Controls'!L14)</f>
        <v/>
      </c>
      <c r="M104" s="22" t="str">
        <f>IF(K104="", "", 'Vending Controls'!M14)</f>
        <v/>
      </c>
      <c r="N104" s="6" t="str">
        <f>IF(K104="", "", 'Vending Controls'!J14)</f>
        <v/>
      </c>
      <c r="O104" s="83" t="str">
        <f>IF(K104="", "", 'Vending Controls'!N14)</f>
        <v/>
      </c>
      <c r="P104" s="6" t="str">
        <f t="shared" si="6"/>
        <v/>
      </c>
      <c r="Q104" s="97"/>
      <c r="R104" s="146">
        <v>68</v>
      </c>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c r="BN104" s="97"/>
      <c r="BO104" s="97"/>
      <c r="BP104" s="97"/>
      <c r="BQ104" s="97"/>
      <c r="BR104" s="97"/>
      <c r="BS104" s="97"/>
      <c r="BT104" s="97"/>
      <c r="BU104" s="97"/>
      <c r="BV104" s="97"/>
      <c r="BW104" s="97"/>
      <c r="BX104" s="97"/>
      <c r="BY104" s="97"/>
      <c r="BZ104" s="97"/>
      <c r="CA104" s="97"/>
      <c r="CB104" s="97"/>
      <c r="CC104" s="97"/>
      <c r="CD104" s="97"/>
      <c r="CE104" s="97"/>
      <c r="CF104" s="97"/>
      <c r="CG104" s="97"/>
      <c r="CH104" s="97"/>
      <c r="CI104" s="97"/>
      <c r="CJ104" s="97"/>
      <c r="CK104" s="97"/>
      <c r="CL104" s="97"/>
      <c r="CM104" s="97"/>
      <c r="CN104" s="97"/>
      <c r="CO104" s="97"/>
      <c r="CP104" s="97"/>
      <c r="CQ104" s="97"/>
      <c r="CR104" s="97"/>
      <c r="CS104" s="97"/>
      <c r="CT104" s="97"/>
      <c r="CU104" s="97"/>
      <c r="CV104" s="97"/>
      <c r="CW104" s="97"/>
      <c r="CX104" s="97"/>
      <c r="CY104" s="97"/>
      <c r="CZ104" s="97"/>
      <c r="DA104" s="97"/>
      <c r="DB104" s="97"/>
      <c r="DC104" s="97"/>
      <c r="DD104" s="97"/>
      <c r="DE104" s="97"/>
      <c r="DF104" s="97"/>
      <c r="DG104" s="97"/>
      <c r="DH104" s="97"/>
      <c r="DI104" s="97"/>
      <c r="DJ104" s="97"/>
      <c r="DK104" s="97"/>
      <c r="DL104" s="97"/>
      <c r="DM104" s="97"/>
      <c r="DN104" s="97"/>
      <c r="DO104" s="97"/>
      <c r="DP104" s="97"/>
      <c r="DQ104" s="97"/>
      <c r="DR104" s="97"/>
      <c r="DS104" s="97"/>
      <c r="DT104" s="97"/>
      <c r="DU104" s="97"/>
      <c r="DV104" s="97"/>
      <c r="DW104" s="97"/>
      <c r="DX104" s="97"/>
      <c r="DY104" s="97"/>
      <c r="DZ104" s="97"/>
      <c r="EA104" s="97"/>
      <c r="EB104" s="97"/>
      <c r="EC104" s="97"/>
      <c r="ED104" s="97"/>
      <c r="EE104" s="97"/>
      <c r="EF104" s="97"/>
      <c r="EG104" s="97"/>
      <c r="EH104" s="97"/>
      <c r="EI104" s="97"/>
      <c r="EJ104" s="97"/>
      <c r="EK104" s="97"/>
      <c r="EL104" s="97"/>
      <c r="EM104" s="97"/>
      <c r="EN104" s="97"/>
      <c r="EO104" s="97"/>
      <c r="EP104" s="97"/>
      <c r="EQ104" s="97"/>
      <c r="ER104" s="97"/>
      <c r="ES104" s="97"/>
      <c r="ET104" s="97"/>
      <c r="EU104" s="97"/>
      <c r="EV104" s="97"/>
      <c r="EW104" s="97"/>
      <c r="EX104" s="97"/>
      <c r="EY104" s="97"/>
      <c r="EZ104" s="97"/>
      <c r="FA104" s="97"/>
      <c r="FB104" s="97"/>
      <c r="FC104" s="97"/>
      <c r="FD104" s="97"/>
      <c r="FE104" s="97"/>
      <c r="FF104" s="97"/>
      <c r="FG104" s="97"/>
      <c r="FH104" s="97"/>
      <c r="FI104" s="97"/>
      <c r="FJ104" s="97"/>
      <c r="FK104" s="97"/>
      <c r="FL104" s="97"/>
      <c r="FM104" s="97"/>
      <c r="FN104" s="97"/>
      <c r="FO104" s="97"/>
      <c r="FP104" s="97"/>
      <c r="FQ104" s="97"/>
      <c r="FR104" s="97"/>
      <c r="FS104" s="97"/>
      <c r="FT104" s="97"/>
      <c r="FU104" s="97"/>
      <c r="FV104" s="97"/>
      <c r="FW104" s="97"/>
      <c r="FX104" s="97"/>
      <c r="FY104" s="97"/>
      <c r="FZ104" s="97"/>
      <c r="GA104" s="97"/>
      <c r="GB104" s="97"/>
      <c r="GC104" s="97"/>
      <c r="GD104" s="97"/>
      <c r="GE104" s="97"/>
      <c r="GF104" s="97"/>
      <c r="GG104" s="97"/>
      <c r="GH104" s="97"/>
      <c r="GI104" s="97"/>
      <c r="GJ104" s="97"/>
      <c r="GK104" s="97"/>
      <c r="GL104" s="97"/>
      <c r="GM104" s="97"/>
      <c r="GN104" s="97"/>
      <c r="GO104" s="97"/>
      <c r="GP104" s="97"/>
      <c r="GQ104" s="97"/>
      <c r="GR104" s="97"/>
      <c r="GS104" s="97"/>
      <c r="GT104" s="97"/>
      <c r="GU104" s="97"/>
      <c r="GV104" s="97"/>
      <c r="GW104" s="97"/>
      <c r="GX104" s="97"/>
      <c r="GY104" s="97"/>
      <c r="GZ104" s="97"/>
      <c r="HA104" s="97"/>
      <c r="HB104" s="97"/>
      <c r="HC104" s="97"/>
      <c r="HD104" s="97"/>
      <c r="HE104" s="97"/>
      <c r="HF104" s="97"/>
      <c r="HG104" s="97"/>
      <c r="HH104" s="97"/>
      <c r="HI104" s="97"/>
      <c r="HJ104" s="97"/>
      <c r="HK104" s="97"/>
      <c r="HL104" s="97"/>
      <c r="HM104" s="97"/>
      <c r="HN104" s="97"/>
      <c r="HO104" s="97"/>
      <c r="HP104" s="97"/>
      <c r="HQ104" s="97"/>
      <c r="HR104" s="97"/>
      <c r="HS104" s="97"/>
      <c r="HT104" s="97"/>
      <c r="HU104" s="97"/>
      <c r="HV104" s="97"/>
      <c r="HW104" s="97"/>
      <c r="HX104" s="97"/>
      <c r="HY104" s="97"/>
      <c r="HZ104" s="97"/>
      <c r="IA104" s="97"/>
      <c r="IB104" s="97"/>
      <c r="IC104" s="97"/>
      <c r="ID104" s="97"/>
      <c r="IE104" s="97"/>
      <c r="IF104" s="97"/>
      <c r="IG104" s="97"/>
      <c r="IH104" s="97"/>
      <c r="II104" s="97"/>
      <c r="IJ104" s="97"/>
      <c r="IK104" s="97"/>
      <c r="IL104" s="97"/>
      <c r="IM104" s="97"/>
      <c r="IN104" s="97"/>
      <c r="IO104" s="97"/>
      <c r="IP104" s="97"/>
      <c r="IQ104" s="97"/>
      <c r="IR104" s="97"/>
      <c r="IS104" s="97"/>
    </row>
    <row r="105" spans="1:253" hidden="1">
      <c r="A105" s="28"/>
      <c r="J105" s="87">
        <v>56</v>
      </c>
      <c r="K105" s="19" t="str">
        <f>'Data Export'!B57</f>
        <v/>
      </c>
      <c r="L105" s="22" t="str">
        <f>IF(K105="", "", 'Vending Controls'!L15)</f>
        <v/>
      </c>
      <c r="M105" s="22" t="str">
        <f>IF(K105="", "", 'Vending Controls'!M15)</f>
        <v/>
      </c>
      <c r="N105" s="6" t="str">
        <f>IF(K105="", "", 'Vending Controls'!J15)</f>
        <v/>
      </c>
      <c r="O105" s="83" t="str">
        <f>IF(K105="", "", 'Vending Controls'!N15)</f>
        <v/>
      </c>
      <c r="P105" s="6" t="str">
        <f t="shared" si="6"/>
        <v/>
      </c>
      <c r="Q105" s="97"/>
      <c r="R105" s="146">
        <v>69</v>
      </c>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97"/>
      <c r="CD105" s="97"/>
      <c r="CE105" s="97"/>
      <c r="CF105" s="97"/>
      <c r="CG105" s="97"/>
      <c r="CH105" s="97"/>
      <c r="CI105" s="97"/>
      <c r="CJ105" s="97"/>
      <c r="CK105" s="97"/>
      <c r="CL105" s="97"/>
      <c r="CM105" s="97"/>
      <c r="CN105" s="97"/>
      <c r="CO105" s="97"/>
      <c r="CP105" s="97"/>
      <c r="CQ105" s="97"/>
      <c r="CR105" s="97"/>
      <c r="CS105" s="97"/>
      <c r="CT105" s="97"/>
      <c r="CU105" s="97"/>
      <c r="CV105" s="97"/>
      <c r="CW105" s="97"/>
      <c r="CX105" s="97"/>
      <c r="CY105" s="97"/>
      <c r="CZ105" s="97"/>
      <c r="DA105" s="97"/>
      <c r="DB105" s="97"/>
      <c r="DC105" s="97"/>
      <c r="DD105" s="97"/>
      <c r="DE105" s="97"/>
      <c r="DF105" s="97"/>
      <c r="DG105" s="97"/>
      <c r="DH105" s="97"/>
      <c r="DI105" s="97"/>
      <c r="DJ105" s="97"/>
      <c r="DK105" s="97"/>
      <c r="DL105" s="97"/>
      <c r="DM105" s="97"/>
      <c r="DN105" s="97"/>
      <c r="DO105" s="97"/>
      <c r="DP105" s="97"/>
      <c r="DQ105" s="97"/>
      <c r="DR105" s="97"/>
      <c r="DS105" s="97"/>
      <c r="DT105" s="97"/>
      <c r="DU105" s="97"/>
      <c r="DV105" s="97"/>
      <c r="DW105" s="97"/>
      <c r="DX105" s="97"/>
      <c r="DY105" s="97"/>
      <c r="DZ105" s="97"/>
      <c r="EA105" s="97"/>
      <c r="EB105" s="97"/>
      <c r="EC105" s="97"/>
      <c r="ED105" s="97"/>
      <c r="EE105" s="97"/>
      <c r="EF105" s="97"/>
      <c r="EG105" s="97"/>
      <c r="EH105" s="97"/>
      <c r="EI105" s="97"/>
      <c r="EJ105" s="97"/>
      <c r="EK105" s="97"/>
      <c r="EL105" s="97"/>
      <c r="EM105" s="97"/>
      <c r="EN105" s="97"/>
      <c r="EO105" s="97"/>
      <c r="EP105" s="97"/>
      <c r="EQ105" s="97"/>
      <c r="ER105" s="97"/>
      <c r="ES105" s="97"/>
      <c r="ET105" s="97"/>
      <c r="EU105" s="97"/>
      <c r="EV105" s="97"/>
      <c r="EW105" s="97"/>
      <c r="EX105" s="97"/>
      <c r="EY105" s="97"/>
      <c r="EZ105" s="97"/>
      <c r="FA105" s="97"/>
      <c r="FB105" s="97"/>
      <c r="FC105" s="97"/>
      <c r="FD105" s="97"/>
      <c r="FE105" s="97"/>
      <c r="FF105" s="97"/>
      <c r="FG105" s="97"/>
      <c r="FH105" s="97"/>
      <c r="FI105" s="97"/>
      <c r="FJ105" s="97"/>
      <c r="FK105" s="97"/>
      <c r="FL105" s="97"/>
      <c r="FM105" s="97"/>
      <c r="FN105" s="97"/>
      <c r="FO105" s="97"/>
      <c r="FP105" s="97"/>
      <c r="FQ105" s="97"/>
      <c r="FR105" s="97"/>
      <c r="FS105" s="97"/>
      <c r="FT105" s="97"/>
      <c r="FU105" s="97"/>
      <c r="FV105" s="97"/>
      <c r="FW105" s="97"/>
      <c r="FX105" s="97"/>
      <c r="FY105" s="97"/>
      <c r="FZ105" s="97"/>
      <c r="GA105" s="97"/>
      <c r="GB105" s="97"/>
      <c r="GC105" s="97"/>
      <c r="GD105" s="97"/>
      <c r="GE105" s="97"/>
      <c r="GF105" s="97"/>
      <c r="GG105" s="97"/>
      <c r="GH105" s="97"/>
      <c r="GI105" s="97"/>
      <c r="GJ105" s="97"/>
      <c r="GK105" s="97"/>
      <c r="GL105" s="97"/>
      <c r="GM105" s="97"/>
      <c r="GN105" s="97"/>
      <c r="GO105" s="97"/>
      <c r="GP105" s="97"/>
      <c r="GQ105" s="97"/>
      <c r="GR105" s="97"/>
      <c r="GS105" s="97"/>
      <c r="GT105" s="97"/>
      <c r="GU105" s="97"/>
      <c r="GV105" s="97"/>
      <c r="GW105" s="97"/>
      <c r="GX105" s="97"/>
      <c r="GY105" s="97"/>
      <c r="GZ105" s="97"/>
      <c r="HA105" s="97"/>
      <c r="HB105" s="97"/>
      <c r="HC105" s="97"/>
      <c r="HD105" s="97"/>
      <c r="HE105" s="97"/>
      <c r="HF105" s="97"/>
      <c r="HG105" s="97"/>
      <c r="HH105" s="97"/>
      <c r="HI105" s="97"/>
      <c r="HJ105" s="97"/>
      <c r="HK105" s="97"/>
      <c r="HL105" s="97"/>
      <c r="HM105" s="97"/>
      <c r="HN105" s="97"/>
      <c r="HO105" s="97"/>
      <c r="HP105" s="97"/>
      <c r="HQ105" s="97"/>
      <c r="HR105" s="97"/>
      <c r="HS105" s="97"/>
      <c r="HT105" s="97"/>
      <c r="HU105" s="97"/>
      <c r="HV105" s="97"/>
      <c r="HW105" s="97"/>
      <c r="HX105" s="97"/>
      <c r="HY105" s="97"/>
      <c r="HZ105" s="97"/>
      <c r="IA105" s="97"/>
      <c r="IB105" s="97"/>
      <c r="IC105" s="97"/>
      <c r="ID105" s="97"/>
      <c r="IE105" s="97"/>
      <c r="IF105" s="97"/>
      <c r="IG105" s="97"/>
      <c r="IH105" s="97"/>
      <c r="II105" s="97"/>
      <c r="IJ105" s="97"/>
      <c r="IK105" s="97"/>
      <c r="IL105" s="97"/>
      <c r="IM105" s="97"/>
      <c r="IN105" s="97"/>
      <c r="IO105" s="97"/>
      <c r="IP105" s="97"/>
      <c r="IQ105" s="97"/>
      <c r="IR105" s="97"/>
      <c r="IS105" s="97"/>
    </row>
    <row r="106" spans="1:253" hidden="1">
      <c r="A106" s="28"/>
      <c r="K106" s="84" t="s">
        <v>77</v>
      </c>
      <c r="L106" s="22">
        <f>SUM(L98:L105)</f>
        <v>0</v>
      </c>
      <c r="M106" s="90">
        <f>SUM(M98:M105)</f>
        <v>0</v>
      </c>
      <c r="N106" s="6">
        <f>SUM(N98:N105)</f>
        <v>0</v>
      </c>
      <c r="O106" s="83">
        <f>SUM(O98:O105)</f>
        <v>0</v>
      </c>
      <c r="Q106" s="97"/>
      <c r="R106" s="146">
        <v>70</v>
      </c>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97"/>
      <c r="BR106" s="97"/>
      <c r="BS106" s="97"/>
      <c r="BT106" s="97"/>
      <c r="BU106" s="97"/>
      <c r="BV106" s="97"/>
      <c r="BW106" s="97"/>
      <c r="BX106" s="97"/>
      <c r="BY106" s="97"/>
      <c r="BZ106" s="97"/>
      <c r="CA106" s="97"/>
      <c r="CB106" s="97"/>
      <c r="CC106" s="97"/>
      <c r="CD106" s="97"/>
      <c r="CE106" s="97"/>
      <c r="CF106" s="97"/>
      <c r="CG106" s="97"/>
      <c r="CH106" s="97"/>
      <c r="CI106" s="97"/>
      <c r="CJ106" s="97"/>
      <c r="CK106" s="97"/>
      <c r="CL106" s="97"/>
      <c r="CM106" s="97"/>
      <c r="CN106" s="97"/>
      <c r="CO106" s="97"/>
      <c r="CP106" s="97"/>
      <c r="CQ106" s="97"/>
      <c r="CR106" s="97"/>
      <c r="CS106" s="97"/>
      <c r="CT106" s="97"/>
      <c r="CU106" s="97"/>
      <c r="CV106" s="97"/>
      <c r="CW106" s="97"/>
      <c r="CX106" s="97"/>
      <c r="CY106" s="97"/>
      <c r="CZ106" s="97"/>
      <c r="DA106" s="97"/>
      <c r="DB106" s="97"/>
      <c r="DC106" s="97"/>
      <c r="DD106" s="97"/>
      <c r="DE106" s="97"/>
      <c r="DF106" s="97"/>
      <c r="DG106" s="97"/>
      <c r="DH106" s="97"/>
      <c r="DI106" s="97"/>
      <c r="DJ106" s="97"/>
      <c r="DK106" s="97"/>
      <c r="DL106" s="97"/>
      <c r="DM106" s="97"/>
      <c r="DN106" s="97"/>
      <c r="DO106" s="97"/>
      <c r="DP106" s="97"/>
      <c r="DQ106" s="97"/>
      <c r="DR106" s="97"/>
      <c r="DS106" s="97"/>
      <c r="DT106" s="97"/>
      <c r="DU106" s="97"/>
      <c r="DV106" s="97"/>
      <c r="DW106" s="97"/>
      <c r="DX106" s="97"/>
      <c r="DY106" s="97"/>
      <c r="DZ106" s="97"/>
      <c r="EA106" s="97"/>
      <c r="EB106" s="97"/>
      <c r="EC106" s="97"/>
      <c r="ED106" s="97"/>
      <c r="EE106" s="97"/>
      <c r="EF106" s="97"/>
      <c r="EG106" s="97"/>
      <c r="EH106" s="97"/>
      <c r="EI106" s="97"/>
      <c r="EJ106" s="97"/>
      <c r="EK106" s="97"/>
      <c r="EL106" s="97"/>
      <c r="EM106" s="97"/>
      <c r="EN106" s="97"/>
      <c r="EO106" s="97"/>
      <c r="EP106" s="97"/>
      <c r="EQ106" s="97"/>
      <c r="ER106" s="97"/>
      <c r="ES106" s="97"/>
      <c r="ET106" s="97"/>
      <c r="EU106" s="97"/>
      <c r="EV106" s="97"/>
      <c r="EW106" s="97"/>
      <c r="EX106" s="97"/>
      <c r="EY106" s="97"/>
      <c r="EZ106" s="97"/>
      <c r="FA106" s="97"/>
      <c r="FB106" s="97"/>
      <c r="FC106" s="97"/>
      <c r="FD106" s="97"/>
      <c r="FE106" s="97"/>
      <c r="FF106" s="97"/>
      <c r="FG106" s="97"/>
      <c r="FH106" s="97"/>
      <c r="FI106" s="97"/>
      <c r="FJ106" s="97"/>
      <c r="FK106" s="97"/>
      <c r="FL106" s="97"/>
      <c r="FM106" s="97"/>
      <c r="FN106" s="97"/>
      <c r="FO106" s="97"/>
      <c r="FP106" s="97"/>
      <c r="FQ106" s="97"/>
      <c r="FR106" s="97"/>
      <c r="FS106" s="97"/>
      <c r="FT106" s="97"/>
      <c r="FU106" s="97"/>
      <c r="FV106" s="97"/>
      <c r="FW106" s="97"/>
      <c r="FX106" s="97"/>
      <c r="FY106" s="97"/>
      <c r="FZ106" s="97"/>
      <c r="GA106" s="97"/>
      <c r="GB106" s="97"/>
      <c r="GC106" s="97"/>
      <c r="GD106" s="97"/>
      <c r="GE106" s="97"/>
      <c r="GF106" s="97"/>
      <c r="GG106" s="97"/>
      <c r="GH106" s="97"/>
      <c r="GI106" s="97"/>
      <c r="GJ106" s="97"/>
      <c r="GK106" s="97"/>
      <c r="GL106" s="97"/>
      <c r="GM106" s="97"/>
      <c r="GN106" s="97"/>
      <c r="GO106" s="97"/>
      <c r="GP106" s="97"/>
      <c r="GQ106" s="97"/>
      <c r="GR106" s="97"/>
      <c r="GS106" s="97"/>
      <c r="GT106" s="97"/>
      <c r="GU106" s="97"/>
      <c r="GV106" s="97"/>
      <c r="GW106" s="97"/>
      <c r="GX106" s="97"/>
      <c r="GY106" s="97"/>
      <c r="GZ106" s="97"/>
      <c r="HA106" s="97"/>
      <c r="HB106" s="97"/>
      <c r="HC106" s="97"/>
      <c r="HD106" s="97"/>
      <c r="HE106" s="97"/>
      <c r="HF106" s="97"/>
      <c r="HG106" s="97"/>
      <c r="HH106" s="97"/>
      <c r="HI106" s="97"/>
      <c r="HJ106" s="97"/>
      <c r="HK106" s="97"/>
      <c r="HL106" s="97"/>
      <c r="HM106" s="97"/>
      <c r="HN106" s="97"/>
      <c r="HO106" s="97"/>
      <c r="HP106" s="97"/>
      <c r="HQ106" s="97"/>
      <c r="HR106" s="97"/>
      <c r="HS106" s="97"/>
      <c r="HT106" s="97"/>
      <c r="HU106" s="97"/>
      <c r="HV106" s="97"/>
      <c r="HW106" s="97"/>
      <c r="HX106" s="97"/>
      <c r="HY106" s="97"/>
      <c r="HZ106" s="97"/>
      <c r="IA106" s="97"/>
      <c r="IB106" s="97"/>
      <c r="IC106" s="97"/>
      <c r="ID106" s="97"/>
      <c r="IE106" s="97"/>
      <c r="IF106" s="97"/>
      <c r="IG106" s="97"/>
      <c r="IH106" s="97"/>
      <c r="II106" s="97"/>
      <c r="IJ106" s="97"/>
      <c r="IK106" s="97"/>
      <c r="IL106" s="97"/>
      <c r="IM106" s="97"/>
      <c r="IN106" s="97"/>
      <c r="IO106" s="97"/>
      <c r="IP106" s="97"/>
      <c r="IQ106" s="97"/>
      <c r="IR106" s="97"/>
      <c r="IS106" s="97"/>
    </row>
    <row r="107" spans="1:253" hidden="1">
      <c r="A107" s="28"/>
      <c r="J107" s="86" t="s">
        <v>73</v>
      </c>
      <c r="L107" s="37"/>
      <c r="M107" s="36"/>
      <c r="N107" s="34"/>
      <c r="O107" s="35"/>
      <c r="P107" s="82" t="s">
        <v>76</v>
      </c>
      <c r="Q107" s="97"/>
      <c r="R107" s="146">
        <v>71</v>
      </c>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BY107" s="97"/>
      <c r="BZ107" s="97"/>
      <c r="CA107" s="97"/>
      <c r="CB107" s="97"/>
      <c r="CC107" s="97"/>
      <c r="CD107" s="97"/>
      <c r="CE107" s="97"/>
      <c r="CF107" s="97"/>
      <c r="CG107" s="97"/>
      <c r="CH107" s="97"/>
      <c r="CI107" s="97"/>
      <c r="CJ107" s="97"/>
      <c r="CK107" s="97"/>
      <c r="CL107" s="97"/>
      <c r="CM107" s="97"/>
      <c r="CN107" s="97"/>
      <c r="CO107" s="97"/>
      <c r="CP107" s="97"/>
      <c r="CQ107" s="97"/>
      <c r="CR107" s="97"/>
      <c r="CS107" s="97"/>
      <c r="CT107" s="97"/>
      <c r="CU107" s="97"/>
      <c r="CV107" s="97"/>
      <c r="CW107" s="97"/>
      <c r="CX107" s="97"/>
      <c r="CY107" s="97"/>
      <c r="CZ107" s="97"/>
      <c r="DA107" s="97"/>
      <c r="DB107" s="97"/>
      <c r="DC107" s="97"/>
      <c r="DD107" s="97"/>
      <c r="DE107" s="97"/>
      <c r="DF107" s="97"/>
      <c r="DG107" s="97"/>
      <c r="DH107" s="97"/>
      <c r="DI107" s="97"/>
      <c r="DJ107" s="97"/>
      <c r="DK107" s="97"/>
      <c r="DL107" s="97"/>
      <c r="DM107" s="97"/>
      <c r="DN107" s="97"/>
      <c r="DO107" s="97"/>
      <c r="DP107" s="97"/>
      <c r="DQ107" s="97"/>
      <c r="DR107" s="97"/>
      <c r="DS107" s="97"/>
      <c r="DT107" s="97"/>
      <c r="DU107" s="97"/>
      <c r="DV107" s="97"/>
      <c r="DW107" s="97"/>
      <c r="DX107" s="97"/>
      <c r="DY107" s="97"/>
      <c r="DZ107" s="97"/>
      <c r="EA107" s="97"/>
      <c r="EB107" s="97"/>
      <c r="EC107" s="97"/>
      <c r="ED107" s="97"/>
      <c r="EE107" s="97"/>
      <c r="EF107" s="97"/>
      <c r="EG107" s="97"/>
      <c r="EH107" s="97"/>
      <c r="EI107" s="97"/>
      <c r="EJ107" s="97"/>
      <c r="EK107" s="97"/>
      <c r="EL107" s="97"/>
      <c r="EM107" s="97"/>
      <c r="EN107" s="97"/>
      <c r="EO107" s="97"/>
      <c r="EP107" s="97"/>
      <c r="EQ107" s="97"/>
      <c r="ER107" s="97"/>
      <c r="ES107" s="97"/>
      <c r="ET107" s="97"/>
      <c r="EU107" s="97"/>
      <c r="EV107" s="97"/>
      <c r="EW107" s="97"/>
      <c r="EX107" s="97"/>
      <c r="EY107" s="97"/>
      <c r="EZ107" s="97"/>
      <c r="FA107" s="97"/>
      <c r="FB107" s="97"/>
      <c r="FC107" s="97"/>
      <c r="FD107" s="97"/>
      <c r="FE107" s="97"/>
      <c r="FF107" s="97"/>
      <c r="FG107" s="97"/>
      <c r="FH107" s="97"/>
      <c r="FI107" s="97"/>
      <c r="FJ107" s="97"/>
      <c r="FK107" s="97"/>
      <c r="FL107" s="97"/>
      <c r="FM107" s="97"/>
      <c r="FN107" s="97"/>
      <c r="FO107" s="97"/>
      <c r="FP107" s="97"/>
      <c r="FQ107" s="97"/>
      <c r="FR107" s="97"/>
      <c r="FS107" s="97"/>
      <c r="FT107" s="97"/>
      <c r="FU107" s="97"/>
      <c r="FV107" s="97"/>
      <c r="FW107" s="97"/>
      <c r="FX107" s="97"/>
      <c r="FY107" s="97"/>
      <c r="FZ107" s="97"/>
      <c r="GA107" s="97"/>
      <c r="GB107" s="97"/>
      <c r="GC107" s="97"/>
      <c r="GD107" s="97"/>
      <c r="GE107" s="97"/>
      <c r="GF107" s="97"/>
      <c r="GG107" s="97"/>
      <c r="GH107" s="97"/>
      <c r="GI107" s="97"/>
      <c r="GJ107" s="97"/>
      <c r="GK107" s="97"/>
      <c r="GL107" s="97"/>
      <c r="GM107" s="97"/>
      <c r="GN107" s="97"/>
      <c r="GO107" s="97"/>
      <c r="GP107" s="97"/>
      <c r="GQ107" s="97"/>
      <c r="GR107" s="97"/>
      <c r="GS107" s="97"/>
      <c r="GT107" s="97"/>
      <c r="GU107" s="97"/>
      <c r="GV107" s="97"/>
      <c r="GW107" s="97"/>
      <c r="GX107" s="97"/>
      <c r="GY107" s="97"/>
      <c r="GZ107" s="97"/>
      <c r="HA107" s="97"/>
      <c r="HB107" s="97"/>
      <c r="HC107" s="97"/>
      <c r="HD107" s="97"/>
      <c r="HE107" s="97"/>
      <c r="HF107" s="97"/>
      <c r="HG107" s="97"/>
      <c r="HH107" s="97"/>
      <c r="HI107" s="97"/>
      <c r="HJ107" s="97"/>
      <c r="HK107" s="97"/>
      <c r="HL107" s="97"/>
      <c r="HM107" s="97"/>
      <c r="HN107" s="97"/>
      <c r="HO107" s="97"/>
      <c r="HP107" s="97"/>
      <c r="HQ107" s="97"/>
      <c r="HR107" s="97"/>
      <c r="HS107" s="97"/>
      <c r="HT107" s="97"/>
      <c r="HU107" s="97"/>
      <c r="HV107" s="97"/>
      <c r="HW107" s="97"/>
      <c r="HX107" s="97"/>
      <c r="HY107" s="97"/>
      <c r="HZ107" s="97"/>
      <c r="IA107" s="97"/>
      <c r="IB107" s="97"/>
      <c r="IC107" s="97"/>
      <c r="ID107" s="97"/>
      <c r="IE107" s="97"/>
      <c r="IF107" s="97"/>
      <c r="IG107" s="97"/>
      <c r="IH107" s="97"/>
      <c r="II107" s="97"/>
      <c r="IJ107" s="97"/>
      <c r="IK107" s="97"/>
      <c r="IL107" s="97"/>
      <c r="IM107" s="97"/>
      <c r="IN107" s="97"/>
      <c r="IO107" s="97"/>
      <c r="IP107" s="97"/>
      <c r="IQ107" s="97"/>
      <c r="IR107" s="97"/>
      <c r="IS107" s="97"/>
    </row>
    <row r="108" spans="1:253" hidden="1">
      <c r="A108" s="28"/>
      <c r="J108" s="6">
        <v>57</v>
      </c>
      <c r="K108" s="19" t="str">
        <f>'Data Export'!B58</f>
        <v/>
      </c>
      <c r="L108" s="88" t="str">
        <f>IF(K108="", "", 'Vending Machines'!L7)</f>
        <v/>
      </c>
      <c r="M108" s="22" t="str">
        <f>IF(K108="", "", 'Vending Machines'!M7)</f>
        <v/>
      </c>
      <c r="N108" s="6" t="str">
        <f>IF(K108="", "", 'Vending Machines'!I7)</f>
        <v/>
      </c>
      <c r="O108" s="83" t="str">
        <f>IF(K108="", "", 'Vending Machines'!N7)</f>
        <v/>
      </c>
      <c r="P108" s="6" t="str">
        <f t="shared" ref="P108:P115" si="7">IF(K108="","",CONCATENATE($C$10,J108))</f>
        <v/>
      </c>
      <c r="Q108" s="97"/>
      <c r="R108" s="146">
        <v>72</v>
      </c>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c r="BN108" s="97"/>
      <c r="BO108" s="97"/>
      <c r="BP108" s="97"/>
      <c r="BQ108" s="97"/>
      <c r="BR108" s="97"/>
      <c r="BS108" s="97"/>
      <c r="BT108" s="97"/>
      <c r="BU108" s="97"/>
      <c r="BV108" s="97"/>
      <c r="BW108" s="97"/>
      <c r="BX108" s="97"/>
      <c r="BY108" s="97"/>
      <c r="BZ108" s="97"/>
      <c r="CA108" s="97"/>
      <c r="CB108" s="97"/>
      <c r="CC108" s="97"/>
      <c r="CD108" s="97"/>
      <c r="CE108" s="97"/>
      <c r="CF108" s="97"/>
      <c r="CG108" s="97"/>
      <c r="CH108" s="97"/>
      <c r="CI108" s="97"/>
      <c r="CJ108" s="97"/>
      <c r="CK108" s="97"/>
      <c r="CL108" s="97"/>
      <c r="CM108" s="97"/>
      <c r="CN108" s="97"/>
      <c r="CO108" s="97"/>
      <c r="CP108" s="97"/>
      <c r="CQ108" s="97"/>
      <c r="CR108" s="97"/>
      <c r="CS108" s="97"/>
      <c r="CT108" s="97"/>
      <c r="CU108" s="97"/>
      <c r="CV108" s="97"/>
      <c r="CW108" s="97"/>
      <c r="CX108" s="97"/>
      <c r="CY108" s="97"/>
      <c r="CZ108" s="97"/>
      <c r="DA108" s="97"/>
      <c r="DB108" s="97"/>
      <c r="DC108" s="97"/>
      <c r="DD108" s="97"/>
      <c r="DE108" s="97"/>
      <c r="DF108" s="97"/>
      <c r="DG108" s="97"/>
      <c r="DH108" s="97"/>
      <c r="DI108" s="97"/>
      <c r="DJ108" s="97"/>
      <c r="DK108" s="97"/>
      <c r="DL108" s="97"/>
      <c r="DM108" s="97"/>
      <c r="DN108" s="97"/>
      <c r="DO108" s="97"/>
      <c r="DP108" s="97"/>
      <c r="DQ108" s="97"/>
      <c r="DR108" s="97"/>
      <c r="DS108" s="97"/>
      <c r="DT108" s="97"/>
      <c r="DU108" s="97"/>
      <c r="DV108" s="97"/>
      <c r="DW108" s="97"/>
      <c r="DX108" s="97"/>
      <c r="DY108" s="97"/>
      <c r="DZ108" s="97"/>
      <c r="EA108" s="97"/>
      <c r="EB108" s="97"/>
      <c r="EC108" s="97"/>
      <c r="ED108" s="97"/>
      <c r="EE108" s="97"/>
      <c r="EF108" s="97"/>
      <c r="EG108" s="97"/>
      <c r="EH108" s="97"/>
      <c r="EI108" s="97"/>
      <c r="EJ108" s="97"/>
      <c r="EK108" s="97"/>
      <c r="EL108" s="97"/>
      <c r="EM108" s="97"/>
      <c r="EN108" s="97"/>
      <c r="EO108" s="97"/>
      <c r="EP108" s="97"/>
      <c r="EQ108" s="97"/>
      <c r="ER108" s="97"/>
      <c r="ES108" s="97"/>
      <c r="ET108" s="97"/>
      <c r="EU108" s="97"/>
      <c r="EV108" s="97"/>
      <c r="EW108" s="97"/>
      <c r="EX108" s="97"/>
      <c r="EY108" s="97"/>
      <c r="EZ108" s="97"/>
      <c r="FA108" s="97"/>
      <c r="FB108" s="97"/>
      <c r="FC108" s="97"/>
      <c r="FD108" s="97"/>
      <c r="FE108" s="97"/>
      <c r="FF108" s="97"/>
      <c r="FG108" s="97"/>
      <c r="FH108" s="97"/>
      <c r="FI108" s="97"/>
      <c r="FJ108" s="97"/>
      <c r="FK108" s="97"/>
      <c r="FL108" s="97"/>
      <c r="FM108" s="97"/>
      <c r="FN108" s="97"/>
      <c r="FO108" s="97"/>
      <c r="FP108" s="97"/>
      <c r="FQ108" s="97"/>
      <c r="FR108" s="97"/>
      <c r="FS108" s="97"/>
      <c r="FT108" s="97"/>
      <c r="FU108" s="97"/>
      <c r="FV108" s="97"/>
      <c r="FW108" s="97"/>
      <c r="FX108" s="97"/>
      <c r="FY108" s="97"/>
      <c r="FZ108" s="97"/>
      <c r="GA108" s="97"/>
      <c r="GB108" s="97"/>
      <c r="GC108" s="97"/>
      <c r="GD108" s="97"/>
      <c r="GE108" s="97"/>
      <c r="GF108" s="97"/>
      <c r="GG108" s="97"/>
      <c r="GH108" s="97"/>
      <c r="GI108" s="97"/>
      <c r="GJ108" s="97"/>
      <c r="GK108" s="97"/>
      <c r="GL108" s="97"/>
      <c r="GM108" s="97"/>
      <c r="GN108" s="97"/>
      <c r="GO108" s="97"/>
      <c r="GP108" s="97"/>
      <c r="GQ108" s="97"/>
      <c r="GR108" s="97"/>
      <c r="GS108" s="97"/>
      <c r="GT108" s="97"/>
      <c r="GU108" s="97"/>
      <c r="GV108" s="97"/>
      <c r="GW108" s="97"/>
      <c r="GX108" s="97"/>
      <c r="GY108" s="97"/>
      <c r="GZ108" s="97"/>
      <c r="HA108" s="97"/>
      <c r="HB108" s="97"/>
      <c r="HC108" s="97"/>
      <c r="HD108" s="97"/>
      <c r="HE108" s="97"/>
      <c r="HF108" s="97"/>
      <c r="HG108" s="97"/>
      <c r="HH108" s="97"/>
      <c r="HI108" s="97"/>
      <c r="HJ108" s="97"/>
      <c r="HK108" s="97"/>
      <c r="HL108" s="97"/>
      <c r="HM108" s="97"/>
      <c r="HN108" s="97"/>
      <c r="HO108" s="97"/>
      <c r="HP108" s="97"/>
      <c r="HQ108" s="97"/>
      <c r="HR108" s="97"/>
      <c r="HS108" s="97"/>
      <c r="HT108" s="97"/>
      <c r="HU108" s="97"/>
      <c r="HV108" s="97"/>
      <c r="HW108" s="97"/>
      <c r="HX108" s="97"/>
      <c r="HY108" s="97"/>
      <c r="HZ108" s="97"/>
      <c r="IA108" s="97"/>
      <c r="IB108" s="97"/>
      <c r="IC108" s="97"/>
      <c r="ID108" s="97"/>
      <c r="IE108" s="97"/>
      <c r="IF108" s="97"/>
      <c r="IG108" s="97"/>
      <c r="IH108" s="97"/>
      <c r="II108" s="97"/>
      <c r="IJ108" s="97"/>
      <c r="IK108" s="97"/>
      <c r="IL108" s="97"/>
      <c r="IM108" s="97"/>
      <c r="IN108" s="97"/>
      <c r="IO108" s="97"/>
      <c r="IP108" s="97"/>
      <c r="IQ108" s="97"/>
      <c r="IR108" s="97"/>
      <c r="IS108" s="97"/>
    </row>
    <row r="109" spans="1:253" hidden="1">
      <c r="A109" s="28"/>
      <c r="J109" s="6">
        <v>58</v>
      </c>
      <c r="K109" s="19" t="str">
        <f>'Data Export'!B59</f>
        <v/>
      </c>
      <c r="L109" s="88" t="str">
        <f>IF(K109="", "", 'Vending Machines'!L8)</f>
        <v/>
      </c>
      <c r="M109" s="22" t="str">
        <f>IF(K109="", "", 'Vending Machines'!M8)</f>
        <v/>
      </c>
      <c r="N109" s="6" t="str">
        <f>IF(K109="", "", 'Vending Machines'!I8)</f>
        <v/>
      </c>
      <c r="O109" s="83" t="str">
        <f>IF(K109="", "", 'Vending Machines'!N8)</f>
        <v/>
      </c>
      <c r="P109" s="6" t="str">
        <f t="shared" si="7"/>
        <v/>
      </c>
      <c r="Q109" s="97"/>
      <c r="R109" s="146">
        <v>73</v>
      </c>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c r="BN109" s="97"/>
      <c r="BO109" s="97"/>
      <c r="BP109" s="97"/>
      <c r="BQ109" s="97"/>
      <c r="BR109" s="97"/>
      <c r="BS109" s="97"/>
      <c r="BT109" s="97"/>
      <c r="BU109" s="97"/>
      <c r="BV109" s="97"/>
      <c r="BW109" s="97"/>
      <c r="BX109" s="97"/>
      <c r="BY109" s="97"/>
      <c r="BZ109" s="97"/>
      <c r="CA109" s="97"/>
      <c r="CB109" s="97"/>
      <c r="CC109" s="97"/>
      <c r="CD109" s="97"/>
      <c r="CE109" s="97"/>
      <c r="CF109" s="97"/>
      <c r="CG109" s="97"/>
      <c r="CH109" s="97"/>
      <c r="CI109" s="97"/>
      <c r="CJ109" s="97"/>
      <c r="CK109" s="97"/>
      <c r="CL109" s="97"/>
      <c r="CM109" s="97"/>
      <c r="CN109" s="97"/>
      <c r="CO109" s="97"/>
      <c r="CP109" s="97"/>
      <c r="CQ109" s="97"/>
      <c r="CR109" s="97"/>
      <c r="CS109" s="97"/>
      <c r="CT109" s="97"/>
      <c r="CU109" s="97"/>
      <c r="CV109" s="97"/>
      <c r="CW109" s="97"/>
      <c r="CX109" s="97"/>
      <c r="CY109" s="97"/>
      <c r="CZ109" s="97"/>
      <c r="DA109" s="97"/>
      <c r="DB109" s="97"/>
      <c r="DC109" s="97"/>
      <c r="DD109" s="97"/>
      <c r="DE109" s="97"/>
      <c r="DF109" s="97"/>
      <c r="DG109" s="97"/>
      <c r="DH109" s="97"/>
      <c r="DI109" s="97"/>
      <c r="DJ109" s="97"/>
      <c r="DK109" s="97"/>
      <c r="DL109" s="97"/>
      <c r="DM109" s="97"/>
      <c r="DN109" s="97"/>
      <c r="DO109" s="97"/>
      <c r="DP109" s="97"/>
      <c r="DQ109" s="97"/>
      <c r="DR109" s="97"/>
      <c r="DS109" s="97"/>
      <c r="DT109" s="97"/>
      <c r="DU109" s="97"/>
      <c r="DV109" s="97"/>
      <c r="DW109" s="97"/>
      <c r="DX109" s="97"/>
      <c r="DY109" s="97"/>
      <c r="DZ109" s="97"/>
      <c r="EA109" s="97"/>
      <c r="EB109" s="97"/>
      <c r="EC109" s="97"/>
      <c r="ED109" s="97"/>
      <c r="EE109" s="97"/>
      <c r="EF109" s="97"/>
      <c r="EG109" s="97"/>
      <c r="EH109" s="97"/>
      <c r="EI109" s="97"/>
      <c r="EJ109" s="97"/>
      <c r="EK109" s="97"/>
      <c r="EL109" s="97"/>
      <c r="EM109" s="97"/>
      <c r="EN109" s="97"/>
      <c r="EO109" s="97"/>
      <c r="EP109" s="97"/>
      <c r="EQ109" s="97"/>
      <c r="ER109" s="97"/>
      <c r="ES109" s="97"/>
      <c r="ET109" s="97"/>
      <c r="EU109" s="97"/>
      <c r="EV109" s="97"/>
      <c r="EW109" s="97"/>
      <c r="EX109" s="97"/>
      <c r="EY109" s="97"/>
      <c r="EZ109" s="97"/>
      <c r="FA109" s="97"/>
      <c r="FB109" s="97"/>
      <c r="FC109" s="97"/>
      <c r="FD109" s="97"/>
      <c r="FE109" s="97"/>
      <c r="FF109" s="97"/>
      <c r="FG109" s="97"/>
      <c r="FH109" s="97"/>
      <c r="FI109" s="97"/>
      <c r="FJ109" s="97"/>
      <c r="FK109" s="97"/>
      <c r="FL109" s="97"/>
      <c r="FM109" s="97"/>
      <c r="FN109" s="97"/>
      <c r="FO109" s="97"/>
      <c r="FP109" s="97"/>
      <c r="FQ109" s="97"/>
      <c r="FR109" s="97"/>
      <c r="FS109" s="97"/>
      <c r="FT109" s="97"/>
      <c r="FU109" s="97"/>
      <c r="FV109" s="97"/>
      <c r="FW109" s="97"/>
      <c r="FX109" s="97"/>
      <c r="FY109" s="97"/>
      <c r="FZ109" s="97"/>
      <c r="GA109" s="97"/>
      <c r="GB109" s="97"/>
      <c r="GC109" s="97"/>
      <c r="GD109" s="97"/>
      <c r="GE109" s="97"/>
      <c r="GF109" s="97"/>
      <c r="GG109" s="97"/>
      <c r="GH109" s="97"/>
      <c r="GI109" s="97"/>
      <c r="GJ109" s="97"/>
      <c r="GK109" s="97"/>
      <c r="GL109" s="97"/>
      <c r="GM109" s="97"/>
      <c r="GN109" s="97"/>
      <c r="GO109" s="97"/>
      <c r="GP109" s="97"/>
      <c r="GQ109" s="97"/>
      <c r="GR109" s="97"/>
      <c r="GS109" s="97"/>
      <c r="GT109" s="97"/>
      <c r="GU109" s="97"/>
      <c r="GV109" s="97"/>
      <c r="GW109" s="97"/>
      <c r="GX109" s="97"/>
      <c r="GY109" s="97"/>
      <c r="GZ109" s="97"/>
      <c r="HA109" s="97"/>
      <c r="HB109" s="97"/>
      <c r="HC109" s="97"/>
      <c r="HD109" s="97"/>
      <c r="HE109" s="97"/>
      <c r="HF109" s="97"/>
      <c r="HG109" s="97"/>
      <c r="HH109" s="97"/>
      <c r="HI109" s="97"/>
      <c r="HJ109" s="97"/>
      <c r="HK109" s="97"/>
      <c r="HL109" s="97"/>
      <c r="HM109" s="97"/>
      <c r="HN109" s="97"/>
      <c r="HO109" s="97"/>
      <c r="HP109" s="97"/>
      <c r="HQ109" s="97"/>
      <c r="HR109" s="97"/>
      <c r="HS109" s="97"/>
      <c r="HT109" s="97"/>
      <c r="HU109" s="97"/>
      <c r="HV109" s="97"/>
      <c r="HW109" s="97"/>
      <c r="HX109" s="97"/>
      <c r="HY109" s="97"/>
      <c r="HZ109" s="97"/>
      <c r="IA109" s="97"/>
      <c r="IB109" s="97"/>
      <c r="IC109" s="97"/>
      <c r="ID109" s="97"/>
      <c r="IE109" s="97"/>
      <c r="IF109" s="97"/>
      <c r="IG109" s="97"/>
      <c r="IH109" s="97"/>
      <c r="II109" s="97"/>
      <c r="IJ109" s="97"/>
      <c r="IK109" s="97"/>
      <c r="IL109" s="97"/>
      <c r="IM109" s="97"/>
      <c r="IN109" s="97"/>
      <c r="IO109" s="97"/>
      <c r="IP109" s="97"/>
      <c r="IQ109" s="97"/>
      <c r="IR109" s="97"/>
      <c r="IS109" s="97"/>
    </row>
    <row r="110" spans="1:253" hidden="1">
      <c r="A110" s="28"/>
      <c r="J110" s="6">
        <v>59</v>
      </c>
      <c r="K110" s="19" t="str">
        <f>'Data Export'!B60</f>
        <v/>
      </c>
      <c r="L110" s="88" t="str">
        <f>IF(K110="", "", 'Vending Machines'!L9)</f>
        <v/>
      </c>
      <c r="M110" s="22" t="str">
        <f>IF(K110="", "", 'Vending Machines'!M9)</f>
        <v/>
      </c>
      <c r="N110" s="6" t="str">
        <f>IF(K110="", "", 'Vending Machines'!I9)</f>
        <v/>
      </c>
      <c r="O110" s="83" t="str">
        <f>IF(K110="", "", 'Vending Machines'!N9)</f>
        <v/>
      </c>
      <c r="P110" s="6" t="str">
        <f t="shared" si="7"/>
        <v/>
      </c>
      <c r="Q110" s="97"/>
      <c r="R110" s="146">
        <v>74</v>
      </c>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97"/>
      <c r="AZ110" s="97"/>
      <c r="BA110" s="97"/>
      <c r="BB110" s="97"/>
      <c r="BC110" s="97"/>
      <c r="BD110" s="97"/>
      <c r="BE110" s="97"/>
      <c r="BF110" s="97"/>
      <c r="BG110" s="97"/>
      <c r="BH110" s="97"/>
      <c r="BI110" s="97"/>
      <c r="BJ110" s="97"/>
      <c r="BK110" s="97"/>
      <c r="BL110" s="97"/>
      <c r="BM110" s="97"/>
      <c r="BN110" s="97"/>
      <c r="BO110" s="97"/>
      <c r="BP110" s="97"/>
      <c r="BQ110" s="97"/>
      <c r="BR110" s="97"/>
      <c r="BS110" s="97"/>
      <c r="BT110" s="97"/>
      <c r="BU110" s="97"/>
      <c r="BV110" s="97"/>
      <c r="BW110" s="97"/>
      <c r="BX110" s="97"/>
      <c r="BY110" s="97"/>
      <c r="BZ110" s="97"/>
      <c r="CA110" s="97"/>
      <c r="CB110" s="97"/>
      <c r="CC110" s="97"/>
      <c r="CD110" s="97"/>
      <c r="CE110" s="97"/>
      <c r="CF110" s="97"/>
      <c r="CG110" s="97"/>
      <c r="CH110" s="97"/>
      <c r="CI110" s="97"/>
      <c r="CJ110" s="97"/>
      <c r="CK110" s="97"/>
      <c r="CL110" s="97"/>
      <c r="CM110" s="97"/>
      <c r="CN110" s="97"/>
      <c r="CO110" s="97"/>
      <c r="CP110" s="97"/>
      <c r="CQ110" s="97"/>
      <c r="CR110" s="97"/>
      <c r="CS110" s="97"/>
      <c r="CT110" s="97"/>
      <c r="CU110" s="97"/>
      <c r="CV110" s="97"/>
      <c r="CW110" s="97"/>
      <c r="CX110" s="97"/>
      <c r="CY110" s="97"/>
      <c r="CZ110" s="97"/>
      <c r="DA110" s="97"/>
      <c r="DB110" s="97"/>
      <c r="DC110" s="97"/>
      <c r="DD110" s="97"/>
      <c r="DE110" s="97"/>
      <c r="DF110" s="97"/>
      <c r="DG110" s="97"/>
      <c r="DH110" s="97"/>
      <c r="DI110" s="97"/>
      <c r="DJ110" s="97"/>
      <c r="DK110" s="97"/>
      <c r="DL110" s="97"/>
      <c r="DM110" s="97"/>
      <c r="DN110" s="97"/>
      <c r="DO110" s="97"/>
      <c r="DP110" s="97"/>
      <c r="DQ110" s="97"/>
      <c r="DR110" s="97"/>
      <c r="DS110" s="97"/>
      <c r="DT110" s="97"/>
      <c r="DU110" s="97"/>
      <c r="DV110" s="97"/>
      <c r="DW110" s="97"/>
      <c r="DX110" s="97"/>
      <c r="DY110" s="97"/>
      <c r="DZ110" s="97"/>
      <c r="EA110" s="97"/>
      <c r="EB110" s="97"/>
      <c r="EC110" s="97"/>
      <c r="ED110" s="97"/>
      <c r="EE110" s="97"/>
      <c r="EF110" s="97"/>
      <c r="EG110" s="97"/>
      <c r="EH110" s="97"/>
      <c r="EI110" s="97"/>
      <c r="EJ110" s="97"/>
      <c r="EK110" s="97"/>
      <c r="EL110" s="97"/>
      <c r="EM110" s="97"/>
      <c r="EN110" s="97"/>
      <c r="EO110" s="97"/>
      <c r="EP110" s="97"/>
      <c r="EQ110" s="97"/>
      <c r="ER110" s="97"/>
      <c r="ES110" s="97"/>
      <c r="ET110" s="97"/>
      <c r="EU110" s="97"/>
      <c r="EV110" s="97"/>
      <c r="EW110" s="97"/>
      <c r="EX110" s="97"/>
      <c r="EY110" s="97"/>
      <c r="EZ110" s="97"/>
      <c r="FA110" s="97"/>
      <c r="FB110" s="97"/>
      <c r="FC110" s="97"/>
      <c r="FD110" s="97"/>
      <c r="FE110" s="97"/>
      <c r="FF110" s="97"/>
      <c r="FG110" s="97"/>
      <c r="FH110" s="97"/>
      <c r="FI110" s="97"/>
      <c r="FJ110" s="97"/>
      <c r="FK110" s="97"/>
      <c r="FL110" s="97"/>
      <c r="FM110" s="97"/>
      <c r="FN110" s="97"/>
      <c r="FO110" s="97"/>
      <c r="FP110" s="97"/>
      <c r="FQ110" s="97"/>
      <c r="FR110" s="97"/>
      <c r="FS110" s="97"/>
      <c r="FT110" s="97"/>
      <c r="FU110" s="97"/>
      <c r="FV110" s="97"/>
      <c r="FW110" s="97"/>
      <c r="FX110" s="97"/>
      <c r="FY110" s="97"/>
      <c r="FZ110" s="97"/>
      <c r="GA110" s="97"/>
      <c r="GB110" s="97"/>
      <c r="GC110" s="97"/>
      <c r="GD110" s="97"/>
      <c r="GE110" s="97"/>
      <c r="GF110" s="97"/>
      <c r="GG110" s="97"/>
      <c r="GH110" s="97"/>
      <c r="GI110" s="97"/>
      <c r="GJ110" s="97"/>
      <c r="GK110" s="97"/>
      <c r="GL110" s="97"/>
      <c r="GM110" s="97"/>
      <c r="GN110" s="97"/>
      <c r="GO110" s="97"/>
      <c r="GP110" s="97"/>
      <c r="GQ110" s="97"/>
      <c r="GR110" s="97"/>
      <c r="GS110" s="97"/>
      <c r="GT110" s="97"/>
      <c r="GU110" s="97"/>
      <c r="GV110" s="97"/>
      <c r="GW110" s="97"/>
      <c r="GX110" s="97"/>
      <c r="GY110" s="97"/>
      <c r="GZ110" s="97"/>
      <c r="HA110" s="97"/>
      <c r="HB110" s="97"/>
      <c r="HC110" s="97"/>
      <c r="HD110" s="97"/>
      <c r="HE110" s="97"/>
      <c r="HF110" s="97"/>
      <c r="HG110" s="97"/>
      <c r="HH110" s="97"/>
      <c r="HI110" s="97"/>
      <c r="HJ110" s="97"/>
      <c r="HK110" s="97"/>
      <c r="HL110" s="97"/>
      <c r="HM110" s="97"/>
      <c r="HN110" s="97"/>
      <c r="HO110" s="97"/>
      <c r="HP110" s="97"/>
      <c r="HQ110" s="97"/>
      <c r="HR110" s="97"/>
      <c r="HS110" s="97"/>
      <c r="HT110" s="97"/>
      <c r="HU110" s="97"/>
      <c r="HV110" s="97"/>
      <c r="HW110" s="97"/>
      <c r="HX110" s="97"/>
      <c r="HY110" s="97"/>
      <c r="HZ110" s="97"/>
      <c r="IA110" s="97"/>
      <c r="IB110" s="97"/>
      <c r="IC110" s="97"/>
      <c r="ID110" s="97"/>
      <c r="IE110" s="97"/>
      <c r="IF110" s="97"/>
      <c r="IG110" s="97"/>
      <c r="IH110" s="97"/>
      <c r="II110" s="97"/>
      <c r="IJ110" s="97"/>
      <c r="IK110" s="97"/>
      <c r="IL110" s="97"/>
      <c r="IM110" s="97"/>
      <c r="IN110" s="97"/>
      <c r="IO110" s="97"/>
      <c r="IP110" s="97"/>
      <c r="IQ110" s="97"/>
      <c r="IR110" s="97"/>
      <c r="IS110" s="97"/>
    </row>
    <row r="111" spans="1:253" hidden="1">
      <c r="A111" s="28"/>
      <c r="J111" s="6">
        <v>60</v>
      </c>
      <c r="K111" s="19" t="str">
        <f>'Data Export'!B61</f>
        <v/>
      </c>
      <c r="L111" s="88" t="str">
        <f>IF(K111="", "", 'Vending Machines'!L10)</f>
        <v/>
      </c>
      <c r="M111" s="22" t="str">
        <f>IF(K111="", "", 'Vending Machines'!M10)</f>
        <v/>
      </c>
      <c r="N111" s="6" t="str">
        <f>IF(K111="", "", 'Vending Machines'!I10)</f>
        <v/>
      </c>
      <c r="O111" s="83" t="str">
        <f>IF(K111="", "", 'Vending Machines'!N10)</f>
        <v/>
      </c>
      <c r="P111" s="6" t="str">
        <f t="shared" si="7"/>
        <v/>
      </c>
      <c r="Q111" s="97"/>
      <c r="R111" s="146">
        <v>75</v>
      </c>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c r="BY111" s="97"/>
      <c r="BZ111" s="97"/>
      <c r="CA111" s="97"/>
      <c r="CB111" s="97"/>
      <c r="CC111" s="97"/>
      <c r="CD111" s="97"/>
      <c r="CE111" s="97"/>
      <c r="CF111" s="97"/>
      <c r="CG111" s="97"/>
      <c r="CH111" s="97"/>
      <c r="CI111" s="97"/>
      <c r="CJ111" s="97"/>
      <c r="CK111" s="97"/>
      <c r="CL111" s="97"/>
      <c r="CM111" s="97"/>
      <c r="CN111" s="97"/>
      <c r="CO111" s="97"/>
      <c r="CP111" s="97"/>
      <c r="CQ111" s="97"/>
      <c r="CR111" s="97"/>
      <c r="CS111" s="97"/>
      <c r="CT111" s="97"/>
      <c r="CU111" s="97"/>
      <c r="CV111" s="97"/>
      <c r="CW111" s="97"/>
      <c r="CX111" s="97"/>
      <c r="CY111" s="97"/>
      <c r="CZ111" s="97"/>
      <c r="DA111" s="97"/>
      <c r="DB111" s="97"/>
      <c r="DC111" s="97"/>
      <c r="DD111" s="97"/>
      <c r="DE111" s="97"/>
      <c r="DF111" s="97"/>
      <c r="DG111" s="97"/>
      <c r="DH111" s="97"/>
      <c r="DI111" s="97"/>
      <c r="DJ111" s="97"/>
      <c r="DK111" s="97"/>
      <c r="DL111" s="97"/>
      <c r="DM111" s="97"/>
      <c r="DN111" s="97"/>
      <c r="DO111" s="97"/>
      <c r="DP111" s="97"/>
      <c r="DQ111" s="97"/>
      <c r="DR111" s="97"/>
      <c r="DS111" s="97"/>
      <c r="DT111" s="97"/>
      <c r="DU111" s="97"/>
      <c r="DV111" s="97"/>
      <c r="DW111" s="97"/>
      <c r="DX111" s="97"/>
      <c r="DY111" s="97"/>
      <c r="DZ111" s="97"/>
      <c r="EA111" s="97"/>
      <c r="EB111" s="97"/>
      <c r="EC111" s="97"/>
      <c r="ED111" s="97"/>
      <c r="EE111" s="97"/>
      <c r="EF111" s="97"/>
      <c r="EG111" s="97"/>
      <c r="EH111" s="97"/>
      <c r="EI111" s="97"/>
      <c r="EJ111" s="97"/>
      <c r="EK111" s="97"/>
      <c r="EL111" s="97"/>
      <c r="EM111" s="97"/>
      <c r="EN111" s="97"/>
      <c r="EO111" s="97"/>
      <c r="EP111" s="97"/>
      <c r="EQ111" s="97"/>
      <c r="ER111" s="97"/>
      <c r="ES111" s="97"/>
      <c r="ET111" s="97"/>
      <c r="EU111" s="97"/>
      <c r="EV111" s="97"/>
      <c r="EW111" s="97"/>
      <c r="EX111" s="97"/>
      <c r="EY111" s="97"/>
      <c r="EZ111" s="97"/>
      <c r="FA111" s="97"/>
      <c r="FB111" s="97"/>
      <c r="FC111" s="97"/>
      <c r="FD111" s="97"/>
      <c r="FE111" s="97"/>
      <c r="FF111" s="97"/>
      <c r="FG111" s="97"/>
      <c r="FH111" s="97"/>
      <c r="FI111" s="97"/>
      <c r="FJ111" s="97"/>
      <c r="FK111" s="97"/>
      <c r="FL111" s="97"/>
      <c r="FM111" s="97"/>
      <c r="FN111" s="97"/>
      <c r="FO111" s="97"/>
      <c r="FP111" s="97"/>
      <c r="FQ111" s="97"/>
      <c r="FR111" s="97"/>
      <c r="FS111" s="97"/>
      <c r="FT111" s="97"/>
      <c r="FU111" s="97"/>
      <c r="FV111" s="97"/>
      <c r="FW111" s="97"/>
      <c r="FX111" s="97"/>
      <c r="FY111" s="97"/>
      <c r="FZ111" s="97"/>
      <c r="GA111" s="97"/>
      <c r="GB111" s="97"/>
      <c r="GC111" s="97"/>
      <c r="GD111" s="97"/>
      <c r="GE111" s="97"/>
      <c r="GF111" s="97"/>
      <c r="GG111" s="97"/>
      <c r="GH111" s="97"/>
      <c r="GI111" s="97"/>
      <c r="GJ111" s="97"/>
      <c r="GK111" s="97"/>
      <c r="GL111" s="97"/>
      <c r="GM111" s="97"/>
      <c r="GN111" s="97"/>
      <c r="GO111" s="97"/>
      <c r="GP111" s="97"/>
      <c r="GQ111" s="97"/>
      <c r="GR111" s="97"/>
      <c r="GS111" s="97"/>
      <c r="GT111" s="97"/>
      <c r="GU111" s="97"/>
      <c r="GV111" s="97"/>
      <c r="GW111" s="97"/>
      <c r="GX111" s="97"/>
      <c r="GY111" s="97"/>
      <c r="GZ111" s="97"/>
      <c r="HA111" s="97"/>
      <c r="HB111" s="97"/>
      <c r="HC111" s="97"/>
      <c r="HD111" s="97"/>
      <c r="HE111" s="97"/>
      <c r="HF111" s="97"/>
      <c r="HG111" s="97"/>
      <c r="HH111" s="97"/>
      <c r="HI111" s="97"/>
      <c r="HJ111" s="97"/>
      <c r="HK111" s="97"/>
      <c r="HL111" s="97"/>
      <c r="HM111" s="97"/>
      <c r="HN111" s="97"/>
      <c r="HO111" s="97"/>
      <c r="HP111" s="97"/>
      <c r="HQ111" s="97"/>
      <c r="HR111" s="97"/>
      <c r="HS111" s="97"/>
      <c r="HT111" s="97"/>
      <c r="HU111" s="97"/>
      <c r="HV111" s="97"/>
      <c r="HW111" s="97"/>
      <c r="HX111" s="97"/>
      <c r="HY111" s="97"/>
      <c r="HZ111" s="97"/>
      <c r="IA111" s="97"/>
      <c r="IB111" s="97"/>
      <c r="IC111" s="97"/>
      <c r="ID111" s="97"/>
      <c r="IE111" s="97"/>
      <c r="IF111" s="97"/>
      <c r="IG111" s="97"/>
      <c r="IH111" s="97"/>
      <c r="II111" s="97"/>
      <c r="IJ111" s="97"/>
      <c r="IK111" s="97"/>
      <c r="IL111" s="97"/>
      <c r="IM111" s="97"/>
      <c r="IN111" s="97"/>
      <c r="IO111" s="97"/>
      <c r="IP111" s="97"/>
      <c r="IQ111" s="97"/>
      <c r="IR111" s="97"/>
      <c r="IS111" s="97"/>
    </row>
    <row r="112" spans="1:253" hidden="1">
      <c r="A112" s="28"/>
      <c r="J112" s="6">
        <v>61</v>
      </c>
      <c r="K112" s="19" t="str">
        <f>'Data Export'!B62</f>
        <v/>
      </c>
      <c r="L112" s="88" t="str">
        <f>IF(K112="", "", 'Vending Machines'!L11)</f>
        <v/>
      </c>
      <c r="M112" s="22" t="str">
        <f>IF(K112="", "", 'Vending Machines'!M11)</f>
        <v/>
      </c>
      <c r="N112" s="6" t="str">
        <f>IF(K112="", "", 'Vending Machines'!I11)</f>
        <v/>
      </c>
      <c r="O112" s="83" t="str">
        <f>IF(K112="", "", 'Vending Machines'!N11)</f>
        <v/>
      </c>
      <c r="P112" s="6" t="str">
        <f t="shared" si="7"/>
        <v/>
      </c>
      <c r="Q112" s="97"/>
      <c r="R112" s="146">
        <v>76</v>
      </c>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c r="BY112" s="97"/>
      <c r="BZ112" s="97"/>
      <c r="CA112" s="97"/>
      <c r="CB112" s="97"/>
      <c r="CC112" s="97"/>
      <c r="CD112" s="97"/>
      <c r="CE112" s="97"/>
      <c r="CF112" s="97"/>
      <c r="CG112" s="97"/>
      <c r="CH112" s="97"/>
      <c r="CI112" s="97"/>
      <c r="CJ112" s="97"/>
      <c r="CK112" s="97"/>
      <c r="CL112" s="97"/>
      <c r="CM112" s="97"/>
      <c r="CN112" s="97"/>
      <c r="CO112" s="97"/>
      <c r="CP112" s="97"/>
      <c r="CQ112" s="97"/>
      <c r="CR112" s="97"/>
      <c r="CS112" s="97"/>
      <c r="CT112" s="97"/>
      <c r="CU112" s="97"/>
      <c r="CV112" s="97"/>
      <c r="CW112" s="97"/>
      <c r="CX112" s="97"/>
      <c r="CY112" s="97"/>
      <c r="CZ112" s="97"/>
      <c r="DA112" s="97"/>
      <c r="DB112" s="97"/>
      <c r="DC112" s="97"/>
      <c r="DD112" s="97"/>
      <c r="DE112" s="97"/>
      <c r="DF112" s="97"/>
      <c r="DG112" s="97"/>
      <c r="DH112" s="97"/>
      <c r="DI112" s="97"/>
      <c r="DJ112" s="97"/>
      <c r="DK112" s="97"/>
      <c r="DL112" s="97"/>
      <c r="DM112" s="97"/>
      <c r="DN112" s="97"/>
      <c r="DO112" s="97"/>
      <c r="DP112" s="97"/>
      <c r="DQ112" s="97"/>
      <c r="DR112" s="97"/>
      <c r="DS112" s="97"/>
      <c r="DT112" s="97"/>
      <c r="DU112" s="97"/>
      <c r="DV112" s="97"/>
      <c r="DW112" s="97"/>
      <c r="DX112" s="97"/>
      <c r="DY112" s="97"/>
      <c r="DZ112" s="97"/>
      <c r="EA112" s="97"/>
      <c r="EB112" s="97"/>
      <c r="EC112" s="97"/>
      <c r="ED112" s="97"/>
      <c r="EE112" s="97"/>
      <c r="EF112" s="97"/>
      <c r="EG112" s="97"/>
      <c r="EH112" s="97"/>
      <c r="EI112" s="97"/>
      <c r="EJ112" s="97"/>
      <c r="EK112" s="97"/>
      <c r="EL112" s="97"/>
      <c r="EM112" s="97"/>
      <c r="EN112" s="97"/>
      <c r="EO112" s="97"/>
      <c r="EP112" s="97"/>
      <c r="EQ112" s="97"/>
      <c r="ER112" s="97"/>
      <c r="ES112" s="97"/>
      <c r="ET112" s="97"/>
      <c r="EU112" s="97"/>
      <c r="EV112" s="97"/>
      <c r="EW112" s="97"/>
      <c r="EX112" s="97"/>
      <c r="EY112" s="97"/>
      <c r="EZ112" s="97"/>
      <c r="FA112" s="97"/>
      <c r="FB112" s="97"/>
      <c r="FC112" s="97"/>
      <c r="FD112" s="97"/>
      <c r="FE112" s="97"/>
      <c r="FF112" s="97"/>
      <c r="FG112" s="97"/>
      <c r="FH112" s="97"/>
      <c r="FI112" s="97"/>
      <c r="FJ112" s="97"/>
      <c r="FK112" s="97"/>
      <c r="FL112" s="97"/>
      <c r="FM112" s="97"/>
      <c r="FN112" s="97"/>
      <c r="FO112" s="97"/>
      <c r="FP112" s="97"/>
      <c r="FQ112" s="97"/>
      <c r="FR112" s="97"/>
      <c r="FS112" s="97"/>
      <c r="FT112" s="97"/>
      <c r="FU112" s="97"/>
      <c r="FV112" s="97"/>
      <c r="FW112" s="97"/>
      <c r="FX112" s="97"/>
      <c r="FY112" s="97"/>
      <c r="FZ112" s="97"/>
      <c r="GA112" s="97"/>
      <c r="GB112" s="97"/>
      <c r="GC112" s="97"/>
      <c r="GD112" s="97"/>
      <c r="GE112" s="97"/>
      <c r="GF112" s="97"/>
      <c r="GG112" s="97"/>
      <c r="GH112" s="97"/>
      <c r="GI112" s="97"/>
      <c r="GJ112" s="97"/>
      <c r="GK112" s="97"/>
      <c r="GL112" s="97"/>
      <c r="GM112" s="97"/>
      <c r="GN112" s="97"/>
      <c r="GO112" s="97"/>
      <c r="GP112" s="97"/>
      <c r="GQ112" s="97"/>
      <c r="GR112" s="97"/>
      <c r="GS112" s="97"/>
      <c r="GT112" s="97"/>
      <c r="GU112" s="97"/>
      <c r="GV112" s="97"/>
      <c r="GW112" s="97"/>
      <c r="GX112" s="97"/>
      <c r="GY112" s="97"/>
      <c r="GZ112" s="97"/>
      <c r="HA112" s="97"/>
      <c r="HB112" s="97"/>
      <c r="HC112" s="97"/>
      <c r="HD112" s="97"/>
      <c r="HE112" s="97"/>
      <c r="HF112" s="97"/>
      <c r="HG112" s="97"/>
      <c r="HH112" s="97"/>
      <c r="HI112" s="97"/>
      <c r="HJ112" s="97"/>
      <c r="HK112" s="97"/>
      <c r="HL112" s="97"/>
      <c r="HM112" s="97"/>
      <c r="HN112" s="97"/>
      <c r="HO112" s="97"/>
      <c r="HP112" s="97"/>
      <c r="HQ112" s="97"/>
      <c r="HR112" s="97"/>
      <c r="HS112" s="97"/>
      <c r="HT112" s="97"/>
      <c r="HU112" s="97"/>
      <c r="HV112" s="97"/>
      <c r="HW112" s="97"/>
      <c r="HX112" s="97"/>
      <c r="HY112" s="97"/>
      <c r="HZ112" s="97"/>
      <c r="IA112" s="97"/>
      <c r="IB112" s="97"/>
      <c r="IC112" s="97"/>
      <c r="ID112" s="97"/>
      <c r="IE112" s="97"/>
      <c r="IF112" s="97"/>
      <c r="IG112" s="97"/>
      <c r="IH112" s="97"/>
      <c r="II112" s="97"/>
      <c r="IJ112" s="97"/>
      <c r="IK112" s="97"/>
      <c r="IL112" s="97"/>
      <c r="IM112" s="97"/>
      <c r="IN112" s="97"/>
      <c r="IO112" s="97"/>
      <c r="IP112" s="97"/>
      <c r="IQ112" s="97"/>
      <c r="IR112" s="97"/>
      <c r="IS112" s="97"/>
    </row>
    <row r="113" spans="1:253" hidden="1">
      <c r="A113" s="28"/>
      <c r="J113" s="6">
        <v>62</v>
      </c>
      <c r="K113" s="19" t="str">
        <f>'Data Export'!B63</f>
        <v/>
      </c>
      <c r="L113" s="88" t="str">
        <f>IF(K113="", "", 'Vending Machines'!L12)</f>
        <v/>
      </c>
      <c r="M113" s="22" t="str">
        <f>IF(K113="", "", 'Vending Machines'!M12)</f>
        <v/>
      </c>
      <c r="N113" s="6" t="str">
        <f>IF(K113="", "", 'Vending Machines'!I12)</f>
        <v/>
      </c>
      <c r="O113" s="83" t="str">
        <f>IF(K113="", "", 'Vending Machines'!N12)</f>
        <v/>
      </c>
      <c r="P113" s="6" t="str">
        <f t="shared" si="7"/>
        <v/>
      </c>
      <c r="Q113" s="97"/>
      <c r="R113" s="146">
        <v>77</v>
      </c>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7"/>
      <c r="BR113" s="97"/>
      <c r="BS113" s="97"/>
      <c r="BT113" s="97"/>
      <c r="BU113" s="97"/>
      <c r="BV113" s="97"/>
      <c r="BW113" s="97"/>
      <c r="BX113" s="97"/>
      <c r="BY113" s="97"/>
      <c r="BZ113" s="97"/>
      <c r="CA113" s="97"/>
      <c r="CB113" s="97"/>
      <c r="CC113" s="97"/>
      <c r="CD113" s="97"/>
      <c r="CE113" s="97"/>
      <c r="CF113" s="97"/>
      <c r="CG113" s="97"/>
      <c r="CH113" s="97"/>
      <c r="CI113" s="97"/>
      <c r="CJ113" s="97"/>
      <c r="CK113" s="97"/>
      <c r="CL113" s="97"/>
      <c r="CM113" s="97"/>
      <c r="CN113" s="97"/>
      <c r="CO113" s="97"/>
      <c r="CP113" s="97"/>
      <c r="CQ113" s="97"/>
      <c r="CR113" s="97"/>
      <c r="CS113" s="97"/>
      <c r="CT113" s="97"/>
      <c r="CU113" s="97"/>
      <c r="CV113" s="97"/>
      <c r="CW113" s="97"/>
      <c r="CX113" s="97"/>
      <c r="CY113" s="97"/>
      <c r="CZ113" s="97"/>
      <c r="DA113" s="97"/>
      <c r="DB113" s="97"/>
      <c r="DC113" s="97"/>
      <c r="DD113" s="97"/>
      <c r="DE113" s="97"/>
      <c r="DF113" s="97"/>
      <c r="DG113" s="97"/>
      <c r="DH113" s="97"/>
      <c r="DI113" s="97"/>
      <c r="DJ113" s="97"/>
      <c r="DK113" s="97"/>
      <c r="DL113" s="97"/>
      <c r="DM113" s="97"/>
      <c r="DN113" s="97"/>
      <c r="DO113" s="97"/>
      <c r="DP113" s="97"/>
      <c r="DQ113" s="97"/>
      <c r="DR113" s="97"/>
      <c r="DS113" s="97"/>
      <c r="DT113" s="97"/>
      <c r="DU113" s="97"/>
      <c r="DV113" s="97"/>
      <c r="DW113" s="97"/>
      <c r="DX113" s="97"/>
      <c r="DY113" s="97"/>
      <c r="DZ113" s="97"/>
      <c r="EA113" s="97"/>
      <c r="EB113" s="97"/>
      <c r="EC113" s="97"/>
      <c r="ED113" s="97"/>
      <c r="EE113" s="97"/>
      <c r="EF113" s="97"/>
      <c r="EG113" s="97"/>
      <c r="EH113" s="97"/>
      <c r="EI113" s="97"/>
      <c r="EJ113" s="97"/>
      <c r="EK113" s="97"/>
      <c r="EL113" s="97"/>
      <c r="EM113" s="97"/>
      <c r="EN113" s="97"/>
      <c r="EO113" s="97"/>
      <c r="EP113" s="97"/>
      <c r="EQ113" s="97"/>
      <c r="ER113" s="97"/>
      <c r="ES113" s="97"/>
      <c r="ET113" s="97"/>
      <c r="EU113" s="97"/>
      <c r="EV113" s="97"/>
      <c r="EW113" s="97"/>
      <c r="EX113" s="97"/>
      <c r="EY113" s="97"/>
      <c r="EZ113" s="97"/>
      <c r="FA113" s="97"/>
      <c r="FB113" s="97"/>
      <c r="FC113" s="97"/>
      <c r="FD113" s="97"/>
      <c r="FE113" s="97"/>
      <c r="FF113" s="97"/>
      <c r="FG113" s="97"/>
      <c r="FH113" s="97"/>
      <c r="FI113" s="97"/>
      <c r="FJ113" s="97"/>
      <c r="FK113" s="97"/>
      <c r="FL113" s="97"/>
      <c r="FM113" s="97"/>
      <c r="FN113" s="97"/>
      <c r="FO113" s="97"/>
      <c r="FP113" s="97"/>
      <c r="FQ113" s="97"/>
      <c r="FR113" s="97"/>
      <c r="FS113" s="97"/>
      <c r="FT113" s="97"/>
      <c r="FU113" s="97"/>
      <c r="FV113" s="97"/>
      <c r="FW113" s="97"/>
      <c r="FX113" s="97"/>
      <c r="FY113" s="97"/>
      <c r="FZ113" s="97"/>
      <c r="GA113" s="97"/>
      <c r="GB113" s="97"/>
      <c r="GC113" s="97"/>
      <c r="GD113" s="97"/>
      <c r="GE113" s="97"/>
      <c r="GF113" s="97"/>
      <c r="GG113" s="97"/>
      <c r="GH113" s="97"/>
      <c r="GI113" s="97"/>
      <c r="GJ113" s="97"/>
      <c r="GK113" s="97"/>
      <c r="GL113" s="97"/>
      <c r="GM113" s="97"/>
      <c r="GN113" s="97"/>
      <c r="GO113" s="97"/>
      <c r="GP113" s="97"/>
      <c r="GQ113" s="97"/>
      <c r="GR113" s="97"/>
      <c r="GS113" s="97"/>
      <c r="GT113" s="97"/>
      <c r="GU113" s="97"/>
      <c r="GV113" s="97"/>
      <c r="GW113" s="97"/>
      <c r="GX113" s="97"/>
      <c r="GY113" s="97"/>
      <c r="GZ113" s="97"/>
      <c r="HA113" s="97"/>
      <c r="HB113" s="97"/>
      <c r="HC113" s="97"/>
      <c r="HD113" s="97"/>
      <c r="HE113" s="97"/>
      <c r="HF113" s="97"/>
      <c r="HG113" s="97"/>
      <c r="HH113" s="97"/>
      <c r="HI113" s="97"/>
      <c r="HJ113" s="97"/>
      <c r="HK113" s="97"/>
      <c r="HL113" s="97"/>
      <c r="HM113" s="97"/>
      <c r="HN113" s="97"/>
      <c r="HO113" s="97"/>
      <c r="HP113" s="97"/>
      <c r="HQ113" s="97"/>
      <c r="HR113" s="97"/>
      <c r="HS113" s="97"/>
      <c r="HT113" s="97"/>
      <c r="HU113" s="97"/>
      <c r="HV113" s="97"/>
      <c r="HW113" s="97"/>
      <c r="HX113" s="97"/>
      <c r="HY113" s="97"/>
      <c r="HZ113" s="97"/>
      <c r="IA113" s="97"/>
      <c r="IB113" s="97"/>
      <c r="IC113" s="97"/>
      <c r="ID113" s="97"/>
      <c r="IE113" s="97"/>
      <c r="IF113" s="97"/>
      <c r="IG113" s="97"/>
      <c r="IH113" s="97"/>
      <c r="II113" s="97"/>
      <c r="IJ113" s="97"/>
      <c r="IK113" s="97"/>
      <c r="IL113" s="97"/>
      <c r="IM113" s="97"/>
      <c r="IN113" s="97"/>
      <c r="IO113" s="97"/>
      <c r="IP113" s="97"/>
      <c r="IQ113" s="97"/>
      <c r="IR113" s="97"/>
      <c r="IS113" s="97"/>
    </row>
    <row r="114" spans="1:253" hidden="1">
      <c r="A114" s="28"/>
      <c r="J114" s="6">
        <v>63</v>
      </c>
      <c r="K114" s="19" t="str">
        <f>'Data Export'!B64</f>
        <v/>
      </c>
      <c r="L114" s="88" t="str">
        <f>IF(K114="", "", 'Vending Machines'!L13)</f>
        <v/>
      </c>
      <c r="M114" s="22" t="str">
        <f>IF(K114="", "", 'Vending Machines'!M13)</f>
        <v/>
      </c>
      <c r="N114" s="6" t="str">
        <f>IF(K114="", "", 'Vending Machines'!I13)</f>
        <v/>
      </c>
      <c r="O114" s="83" t="str">
        <f>IF(K114="", "", 'Vending Machines'!N13)</f>
        <v/>
      </c>
      <c r="P114" s="6" t="str">
        <f t="shared" si="7"/>
        <v/>
      </c>
      <c r="Q114" s="97"/>
      <c r="R114" s="146">
        <v>78</v>
      </c>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7"/>
      <c r="BR114" s="97"/>
      <c r="BS114" s="97"/>
      <c r="BT114" s="97"/>
      <c r="BU114" s="97"/>
      <c r="BV114" s="97"/>
      <c r="BW114" s="97"/>
      <c r="BX114" s="97"/>
      <c r="BY114" s="97"/>
      <c r="BZ114" s="97"/>
      <c r="CA114" s="97"/>
      <c r="CB114" s="97"/>
      <c r="CC114" s="97"/>
      <c r="CD114" s="97"/>
      <c r="CE114" s="97"/>
      <c r="CF114" s="97"/>
      <c r="CG114" s="97"/>
      <c r="CH114" s="97"/>
      <c r="CI114" s="97"/>
      <c r="CJ114" s="97"/>
      <c r="CK114" s="97"/>
      <c r="CL114" s="97"/>
      <c r="CM114" s="97"/>
      <c r="CN114" s="97"/>
      <c r="CO114" s="97"/>
      <c r="CP114" s="97"/>
      <c r="CQ114" s="97"/>
      <c r="CR114" s="97"/>
      <c r="CS114" s="97"/>
      <c r="CT114" s="97"/>
      <c r="CU114" s="97"/>
      <c r="CV114" s="97"/>
      <c r="CW114" s="97"/>
      <c r="CX114" s="97"/>
      <c r="CY114" s="97"/>
      <c r="CZ114" s="97"/>
      <c r="DA114" s="97"/>
      <c r="DB114" s="97"/>
      <c r="DC114" s="97"/>
      <c r="DD114" s="97"/>
      <c r="DE114" s="97"/>
      <c r="DF114" s="97"/>
      <c r="DG114" s="97"/>
      <c r="DH114" s="97"/>
      <c r="DI114" s="97"/>
      <c r="DJ114" s="97"/>
      <c r="DK114" s="97"/>
      <c r="DL114" s="97"/>
      <c r="DM114" s="97"/>
      <c r="DN114" s="97"/>
      <c r="DO114" s="97"/>
      <c r="DP114" s="97"/>
      <c r="DQ114" s="97"/>
      <c r="DR114" s="97"/>
      <c r="DS114" s="97"/>
      <c r="DT114" s="97"/>
      <c r="DU114" s="97"/>
      <c r="DV114" s="97"/>
      <c r="DW114" s="97"/>
      <c r="DX114" s="97"/>
      <c r="DY114" s="97"/>
      <c r="DZ114" s="97"/>
      <c r="EA114" s="97"/>
      <c r="EB114" s="97"/>
      <c r="EC114" s="97"/>
      <c r="ED114" s="97"/>
      <c r="EE114" s="97"/>
      <c r="EF114" s="97"/>
      <c r="EG114" s="97"/>
      <c r="EH114" s="97"/>
      <c r="EI114" s="97"/>
      <c r="EJ114" s="97"/>
      <c r="EK114" s="97"/>
      <c r="EL114" s="97"/>
      <c r="EM114" s="97"/>
      <c r="EN114" s="97"/>
      <c r="EO114" s="97"/>
      <c r="EP114" s="97"/>
      <c r="EQ114" s="97"/>
      <c r="ER114" s="97"/>
      <c r="ES114" s="97"/>
      <c r="ET114" s="97"/>
      <c r="EU114" s="97"/>
      <c r="EV114" s="97"/>
      <c r="EW114" s="97"/>
      <c r="EX114" s="97"/>
      <c r="EY114" s="97"/>
      <c r="EZ114" s="97"/>
      <c r="FA114" s="97"/>
      <c r="FB114" s="97"/>
      <c r="FC114" s="97"/>
      <c r="FD114" s="97"/>
      <c r="FE114" s="97"/>
      <c r="FF114" s="97"/>
      <c r="FG114" s="97"/>
      <c r="FH114" s="97"/>
      <c r="FI114" s="97"/>
      <c r="FJ114" s="97"/>
      <c r="FK114" s="97"/>
      <c r="FL114" s="97"/>
      <c r="FM114" s="97"/>
      <c r="FN114" s="97"/>
      <c r="FO114" s="97"/>
      <c r="FP114" s="97"/>
      <c r="FQ114" s="97"/>
      <c r="FR114" s="97"/>
      <c r="FS114" s="97"/>
      <c r="FT114" s="97"/>
      <c r="FU114" s="97"/>
      <c r="FV114" s="97"/>
      <c r="FW114" s="97"/>
      <c r="FX114" s="97"/>
      <c r="FY114" s="97"/>
      <c r="FZ114" s="97"/>
      <c r="GA114" s="97"/>
      <c r="GB114" s="97"/>
      <c r="GC114" s="97"/>
      <c r="GD114" s="97"/>
      <c r="GE114" s="97"/>
      <c r="GF114" s="97"/>
      <c r="GG114" s="97"/>
      <c r="GH114" s="97"/>
      <c r="GI114" s="97"/>
      <c r="GJ114" s="97"/>
      <c r="GK114" s="97"/>
      <c r="GL114" s="97"/>
      <c r="GM114" s="97"/>
      <c r="GN114" s="97"/>
      <c r="GO114" s="97"/>
      <c r="GP114" s="97"/>
      <c r="GQ114" s="97"/>
      <c r="GR114" s="97"/>
      <c r="GS114" s="97"/>
      <c r="GT114" s="97"/>
      <c r="GU114" s="97"/>
      <c r="GV114" s="97"/>
      <c r="GW114" s="97"/>
      <c r="GX114" s="97"/>
      <c r="GY114" s="97"/>
      <c r="GZ114" s="97"/>
      <c r="HA114" s="97"/>
      <c r="HB114" s="97"/>
      <c r="HC114" s="97"/>
      <c r="HD114" s="97"/>
      <c r="HE114" s="97"/>
      <c r="HF114" s="97"/>
      <c r="HG114" s="97"/>
      <c r="HH114" s="97"/>
      <c r="HI114" s="97"/>
      <c r="HJ114" s="97"/>
      <c r="HK114" s="97"/>
      <c r="HL114" s="97"/>
      <c r="HM114" s="97"/>
      <c r="HN114" s="97"/>
      <c r="HO114" s="97"/>
      <c r="HP114" s="97"/>
      <c r="HQ114" s="97"/>
      <c r="HR114" s="97"/>
      <c r="HS114" s="97"/>
      <c r="HT114" s="97"/>
      <c r="HU114" s="97"/>
      <c r="HV114" s="97"/>
      <c r="HW114" s="97"/>
      <c r="HX114" s="97"/>
      <c r="HY114" s="97"/>
      <c r="HZ114" s="97"/>
      <c r="IA114" s="97"/>
      <c r="IB114" s="97"/>
      <c r="IC114" s="97"/>
      <c r="ID114" s="97"/>
      <c r="IE114" s="97"/>
      <c r="IF114" s="97"/>
      <c r="IG114" s="97"/>
      <c r="IH114" s="97"/>
      <c r="II114" s="97"/>
      <c r="IJ114" s="97"/>
      <c r="IK114" s="97"/>
      <c r="IL114" s="97"/>
      <c r="IM114" s="97"/>
      <c r="IN114" s="97"/>
      <c r="IO114" s="97"/>
      <c r="IP114" s="97"/>
      <c r="IQ114" s="97"/>
      <c r="IR114" s="97"/>
      <c r="IS114" s="97"/>
    </row>
    <row r="115" spans="1:253" hidden="1">
      <c r="A115" s="28"/>
      <c r="J115" s="6">
        <v>64</v>
      </c>
      <c r="K115" s="19" t="str">
        <f>'Data Export'!B65</f>
        <v/>
      </c>
      <c r="L115" s="88" t="str">
        <f>IF(K115="", "", 'Vending Machines'!L14)</f>
        <v/>
      </c>
      <c r="M115" s="22" t="str">
        <f>IF(K115="", "", 'Vending Machines'!M14)</f>
        <v/>
      </c>
      <c r="N115" s="6" t="str">
        <f>IF(K115="", "", 'Vending Machines'!I14)</f>
        <v/>
      </c>
      <c r="O115" s="83" t="str">
        <f>IF(K115="", "", 'Vending Machines'!N14)</f>
        <v/>
      </c>
      <c r="P115" s="6" t="str">
        <f t="shared" si="7"/>
        <v/>
      </c>
      <c r="Q115" s="97"/>
      <c r="R115" s="146">
        <v>79</v>
      </c>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c r="BY115" s="97"/>
      <c r="BZ115" s="97"/>
      <c r="CA115" s="97"/>
      <c r="CB115" s="97"/>
      <c r="CC115" s="97"/>
      <c r="CD115" s="97"/>
      <c r="CE115" s="97"/>
      <c r="CF115" s="97"/>
      <c r="CG115" s="97"/>
      <c r="CH115" s="97"/>
      <c r="CI115" s="97"/>
      <c r="CJ115" s="97"/>
      <c r="CK115" s="97"/>
      <c r="CL115" s="97"/>
      <c r="CM115" s="97"/>
      <c r="CN115" s="97"/>
      <c r="CO115" s="97"/>
      <c r="CP115" s="97"/>
      <c r="CQ115" s="97"/>
      <c r="CR115" s="97"/>
      <c r="CS115" s="97"/>
      <c r="CT115" s="97"/>
      <c r="CU115" s="97"/>
      <c r="CV115" s="97"/>
      <c r="CW115" s="97"/>
      <c r="CX115" s="97"/>
      <c r="CY115" s="97"/>
      <c r="CZ115" s="97"/>
      <c r="DA115" s="97"/>
      <c r="DB115" s="97"/>
      <c r="DC115" s="97"/>
      <c r="DD115" s="97"/>
      <c r="DE115" s="97"/>
      <c r="DF115" s="97"/>
      <c r="DG115" s="97"/>
      <c r="DH115" s="97"/>
      <c r="DI115" s="97"/>
      <c r="DJ115" s="97"/>
      <c r="DK115" s="97"/>
      <c r="DL115" s="97"/>
      <c r="DM115" s="97"/>
      <c r="DN115" s="97"/>
      <c r="DO115" s="97"/>
      <c r="DP115" s="97"/>
      <c r="DQ115" s="97"/>
      <c r="DR115" s="97"/>
      <c r="DS115" s="97"/>
      <c r="DT115" s="97"/>
      <c r="DU115" s="97"/>
      <c r="DV115" s="97"/>
      <c r="DW115" s="97"/>
      <c r="DX115" s="97"/>
      <c r="DY115" s="97"/>
      <c r="DZ115" s="97"/>
      <c r="EA115" s="97"/>
      <c r="EB115" s="97"/>
      <c r="EC115" s="97"/>
      <c r="ED115" s="97"/>
      <c r="EE115" s="97"/>
      <c r="EF115" s="97"/>
      <c r="EG115" s="97"/>
      <c r="EH115" s="97"/>
      <c r="EI115" s="97"/>
      <c r="EJ115" s="97"/>
      <c r="EK115" s="97"/>
      <c r="EL115" s="97"/>
      <c r="EM115" s="97"/>
      <c r="EN115" s="97"/>
      <c r="EO115" s="97"/>
      <c r="EP115" s="97"/>
      <c r="EQ115" s="97"/>
      <c r="ER115" s="97"/>
      <c r="ES115" s="97"/>
      <c r="ET115" s="97"/>
      <c r="EU115" s="97"/>
      <c r="EV115" s="97"/>
      <c r="EW115" s="97"/>
      <c r="EX115" s="97"/>
      <c r="EY115" s="97"/>
      <c r="EZ115" s="97"/>
      <c r="FA115" s="97"/>
      <c r="FB115" s="97"/>
      <c r="FC115" s="97"/>
      <c r="FD115" s="97"/>
      <c r="FE115" s="97"/>
      <c r="FF115" s="97"/>
      <c r="FG115" s="97"/>
      <c r="FH115" s="97"/>
      <c r="FI115" s="97"/>
      <c r="FJ115" s="97"/>
      <c r="FK115" s="97"/>
      <c r="FL115" s="97"/>
      <c r="FM115" s="97"/>
      <c r="FN115" s="97"/>
      <c r="FO115" s="97"/>
      <c r="FP115" s="97"/>
      <c r="FQ115" s="97"/>
      <c r="FR115" s="97"/>
      <c r="FS115" s="97"/>
      <c r="FT115" s="97"/>
      <c r="FU115" s="97"/>
      <c r="FV115" s="97"/>
      <c r="FW115" s="97"/>
      <c r="FX115" s="97"/>
      <c r="FY115" s="97"/>
      <c r="FZ115" s="97"/>
      <c r="GA115" s="97"/>
      <c r="GB115" s="97"/>
      <c r="GC115" s="97"/>
      <c r="GD115" s="97"/>
      <c r="GE115" s="97"/>
      <c r="GF115" s="97"/>
      <c r="GG115" s="97"/>
      <c r="GH115" s="97"/>
      <c r="GI115" s="97"/>
      <c r="GJ115" s="97"/>
      <c r="GK115" s="97"/>
      <c r="GL115" s="97"/>
      <c r="GM115" s="97"/>
      <c r="GN115" s="97"/>
      <c r="GO115" s="97"/>
      <c r="GP115" s="97"/>
      <c r="GQ115" s="97"/>
      <c r="GR115" s="97"/>
      <c r="GS115" s="97"/>
      <c r="GT115" s="97"/>
      <c r="GU115" s="97"/>
      <c r="GV115" s="97"/>
      <c r="GW115" s="97"/>
      <c r="GX115" s="97"/>
      <c r="GY115" s="97"/>
      <c r="GZ115" s="97"/>
      <c r="HA115" s="97"/>
      <c r="HB115" s="97"/>
      <c r="HC115" s="97"/>
      <c r="HD115" s="97"/>
      <c r="HE115" s="97"/>
      <c r="HF115" s="97"/>
      <c r="HG115" s="97"/>
      <c r="HH115" s="97"/>
      <c r="HI115" s="97"/>
      <c r="HJ115" s="97"/>
      <c r="HK115" s="97"/>
      <c r="HL115" s="97"/>
      <c r="HM115" s="97"/>
      <c r="HN115" s="97"/>
      <c r="HO115" s="97"/>
      <c r="HP115" s="97"/>
      <c r="HQ115" s="97"/>
      <c r="HR115" s="97"/>
      <c r="HS115" s="97"/>
      <c r="HT115" s="97"/>
      <c r="HU115" s="97"/>
      <c r="HV115" s="97"/>
      <c r="HW115" s="97"/>
      <c r="HX115" s="97"/>
      <c r="HY115" s="97"/>
      <c r="HZ115" s="97"/>
      <c r="IA115" s="97"/>
      <c r="IB115" s="97"/>
      <c r="IC115" s="97"/>
      <c r="ID115" s="97"/>
      <c r="IE115" s="97"/>
      <c r="IF115" s="97"/>
      <c r="IG115" s="97"/>
      <c r="IH115" s="97"/>
      <c r="II115" s="97"/>
      <c r="IJ115" s="97"/>
      <c r="IK115" s="97"/>
      <c r="IL115" s="97"/>
      <c r="IM115" s="97"/>
      <c r="IN115" s="97"/>
      <c r="IO115" s="97"/>
      <c r="IP115" s="97"/>
      <c r="IQ115" s="97"/>
      <c r="IR115" s="97"/>
      <c r="IS115" s="97"/>
    </row>
    <row r="116" spans="1:253" hidden="1">
      <c r="A116" s="28"/>
      <c r="K116" s="84" t="s">
        <v>77</v>
      </c>
      <c r="L116" s="22">
        <f>SUM(L108:L115)</f>
        <v>0</v>
      </c>
      <c r="M116" s="90">
        <f>SUM(M108:M115)</f>
        <v>0</v>
      </c>
      <c r="N116" s="6">
        <f>SUM(N108:N115)</f>
        <v>0</v>
      </c>
      <c r="O116" s="83">
        <f>SUM(O108:O115)</f>
        <v>0</v>
      </c>
      <c r="Q116" s="97"/>
      <c r="R116" s="146">
        <v>80</v>
      </c>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c r="BN116" s="97"/>
      <c r="BO116" s="97"/>
      <c r="BP116" s="97"/>
      <c r="BQ116" s="97"/>
      <c r="BR116" s="97"/>
      <c r="BS116" s="97"/>
      <c r="BT116" s="97"/>
      <c r="BU116" s="97"/>
      <c r="BV116" s="97"/>
      <c r="BW116" s="97"/>
      <c r="BX116" s="97"/>
      <c r="BY116" s="97"/>
      <c r="BZ116" s="97"/>
      <c r="CA116" s="97"/>
      <c r="CB116" s="97"/>
      <c r="CC116" s="97"/>
      <c r="CD116" s="97"/>
      <c r="CE116" s="97"/>
      <c r="CF116" s="97"/>
      <c r="CG116" s="97"/>
      <c r="CH116" s="97"/>
      <c r="CI116" s="97"/>
      <c r="CJ116" s="97"/>
      <c r="CK116" s="97"/>
      <c r="CL116" s="97"/>
      <c r="CM116" s="97"/>
      <c r="CN116" s="97"/>
      <c r="CO116" s="97"/>
      <c r="CP116" s="97"/>
      <c r="CQ116" s="97"/>
      <c r="CR116" s="97"/>
      <c r="CS116" s="97"/>
      <c r="CT116" s="97"/>
      <c r="CU116" s="97"/>
      <c r="CV116" s="97"/>
      <c r="CW116" s="97"/>
      <c r="CX116" s="97"/>
      <c r="CY116" s="97"/>
      <c r="CZ116" s="97"/>
      <c r="DA116" s="97"/>
      <c r="DB116" s="97"/>
      <c r="DC116" s="97"/>
      <c r="DD116" s="97"/>
      <c r="DE116" s="97"/>
      <c r="DF116" s="97"/>
      <c r="DG116" s="97"/>
      <c r="DH116" s="97"/>
      <c r="DI116" s="97"/>
      <c r="DJ116" s="97"/>
      <c r="DK116" s="97"/>
      <c r="DL116" s="97"/>
      <c r="DM116" s="97"/>
      <c r="DN116" s="97"/>
      <c r="DO116" s="97"/>
      <c r="DP116" s="97"/>
      <c r="DQ116" s="97"/>
      <c r="DR116" s="97"/>
      <c r="DS116" s="97"/>
      <c r="DT116" s="97"/>
      <c r="DU116" s="97"/>
      <c r="DV116" s="97"/>
      <c r="DW116" s="97"/>
      <c r="DX116" s="97"/>
      <c r="DY116" s="97"/>
      <c r="DZ116" s="97"/>
      <c r="EA116" s="97"/>
      <c r="EB116" s="97"/>
      <c r="EC116" s="97"/>
      <c r="ED116" s="97"/>
      <c r="EE116" s="97"/>
      <c r="EF116" s="97"/>
      <c r="EG116" s="97"/>
      <c r="EH116" s="97"/>
      <c r="EI116" s="97"/>
      <c r="EJ116" s="97"/>
      <c r="EK116" s="97"/>
      <c r="EL116" s="97"/>
      <c r="EM116" s="97"/>
      <c r="EN116" s="97"/>
      <c r="EO116" s="97"/>
      <c r="EP116" s="97"/>
      <c r="EQ116" s="97"/>
      <c r="ER116" s="97"/>
      <c r="ES116" s="97"/>
      <c r="ET116" s="97"/>
      <c r="EU116" s="97"/>
      <c r="EV116" s="97"/>
      <c r="EW116" s="97"/>
      <c r="EX116" s="97"/>
      <c r="EY116" s="97"/>
      <c r="EZ116" s="97"/>
      <c r="FA116" s="97"/>
      <c r="FB116" s="97"/>
      <c r="FC116" s="97"/>
      <c r="FD116" s="97"/>
      <c r="FE116" s="97"/>
      <c r="FF116" s="97"/>
      <c r="FG116" s="97"/>
      <c r="FH116" s="97"/>
      <c r="FI116" s="97"/>
      <c r="FJ116" s="97"/>
      <c r="FK116" s="97"/>
      <c r="FL116" s="97"/>
      <c r="FM116" s="97"/>
      <c r="FN116" s="97"/>
      <c r="FO116" s="97"/>
      <c r="FP116" s="97"/>
      <c r="FQ116" s="97"/>
      <c r="FR116" s="97"/>
      <c r="FS116" s="97"/>
      <c r="FT116" s="97"/>
      <c r="FU116" s="97"/>
      <c r="FV116" s="97"/>
      <c r="FW116" s="97"/>
      <c r="FX116" s="97"/>
      <c r="FY116" s="97"/>
      <c r="FZ116" s="97"/>
      <c r="GA116" s="97"/>
      <c r="GB116" s="97"/>
      <c r="GC116" s="97"/>
      <c r="GD116" s="97"/>
      <c r="GE116" s="97"/>
      <c r="GF116" s="97"/>
      <c r="GG116" s="97"/>
      <c r="GH116" s="97"/>
      <c r="GI116" s="97"/>
      <c r="GJ116" s="97"/>
      <c r="GK116" s="97"/>
      <c r="GL116" s="97"/>
      <c r="GM116" s="97"/>
      <c r="GN116" s="97"/>
      <c r="GO116" s="97"/>
      <c r="GP116" s="97"/>
      <c r="GQ116" s="97"/>
      <c r="GR116" s="97"/>
      <c r="GS116" s="97"/>
      <c r="GT116" s="97"/>
      <c r="GU116" s="97"/>
      <c r="GV116" s="97"/>
      <c r="GW116" s="97"/>
      <c r="GX116" s="97"/>
      <c r="GY116" s="97"/>
      <c r="GZ116" s="97"/>
      <c r="HA116" s="97"/>
      <c r="HB116" s="97"/>
      <c r="HC116" s="97"/>
      <c r="HD116" s="97"/>
      <c r="HE116" s="97"/>
      <c r="HF116" s="97"/>
      <c r="HG116" s="97"/>
      <c r="HH116" s="97"/>
      <c r="HI116" s="97"/>
      <c r="HJ116" s="97"/>
      <c r="HK116" s="97"/>
      <c r="HL116" s="97"/>
      <c r="HM116" s="97"/>
      <c r="HN116" s="97"/>
      <c r="HO116" s="97"/>
      <c r="HP116" s="97"/>
      <c r="HQ116" s="97"/>
      <c r="HR116" s="97"/>
      <c r="HS116" s="97"/>
      <c r="HT116" s="97"/>
      <c r="HU116" s="97"/>
      <c r="HV116" s="97"/>
      <c r="HW116" s="97"/>
      <c r="HX116" s="97"/>
      <c r="HY116" s="97"/>
      <c r="HZ116" s="97"/>
      <c r="IA116" s="97"/>
      <c r="IB116" s="97"/>
      <c r="IC116" s="97"/>
      <c r="ID116" s="97"/>
      <c r="IE116" s="97"/>
      <c r="IF116" s="97"/>
      <c r="IG116" s="97"/>
      <c r="IH116" s="97"/>
      <c r="II116" s="97"/>
      <c r="IJ116" s="97"/>
      <c r="IK116" s="97"/>
      <c r="IL116" s="97"/>
      <c r="IM116" s="97"/>
      <c r="IN116" s="97"/>
      <c r="IO116" s="97"/>
      <c r="IP116" s="97"/>
      <c r="IQ116" s="97"/>
      <c r="IR116" s="97"/>
      <c r="IS116" s="97"/>
    </row>
    <row r="117" spans="1:253" hidden="1">
      <c r="A117" s="28"/>
      <c r="J117" s="86" t="s">
        <v>73</v>
      </c>
      <c r="L117" s="37"/>
      <c r="M117" s="36"/>
      <c r="N117" s="34"/>
      <c r="O117" s="35"/>
      <c r="P117" s="82" t="s">
        <v>76</v>
      </c>
      <c r="Q117" s="97"/>
      <c r="R117" s="146">
        <v>81</v>
      </c>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c r="BY117" s="97"/>
      <c r="BZ117" s="97"/>
      <c r="CA117" s="97"/>
      <c r="CB117" s="97"/>
      <c r="CC117" s="97"/>
      <c r="CD117" s="97"/>
      <c r="CE117" s="97"/>
      <c r="CF117" s="97"/>
      <c r="CG117" s="97"/>
      <c r="CH117" s="97"/>
      <c r="CI117" s="97"/>
      <c r="CJ117" s="97"/>
      <c r="CK117" s="97"/>
      <c r="CL117" s="97"/>
      <c r="CM117" s="97"/>
      <c r="CN117" s="97"/>
      <c r="CO117" s="97"/>
      <c r="CP117" s="97"/>
      <c r="CQ117" s="97"/>
      <c r="CR117" s="97"/>
      <c r="CS117" s="97"/>
      <c r="CT117" s="97"/>
      <c r="CU117" s="97"/>
      <c r="CV117" s="97"/>
      <c r="CW117" s="97"/>
      <c r="CX117" s="97"/>
      <c r="CY117" s="97"/>
      <c r="CZ117" s="97"/>
      <c r="DA117" s="97"/>
      <c r="DB117" s="97"/>
      <c r="DC117" s="97"/>
      <c r="DD117" s="97"/>
      <c r="DE117" s="97"/>
      <c r="DF117" s="97"/>
      <c r="DG117" s="97"/>
      <c r="DH117" s="97"/>
      <c r="DI117" s="97"/>
      <c r="DJ117" s="97"/>
      <c r="DK117" s="97"/>
      <c r="DL117" s="97"/>
      <c r="DM117" s="97"/>
      <c r="DN117" s="97"/>
      <c r="DO117" s="97"/>
      <c r="DP117" s="97"/>
      <c r="DQ117" s="97"/>
      <c r="DR117" s="97"/>
      <c r="DS117" s="97"/>
      <c r="DT117" s="97"/>
      <c r="DU117" s="97"/>
      <c r="DV117" s="97"/>
      <c r="DW117" s="97"/>
      <c r="DX117" s="97"/>
      <c r="DY117" s="97"/>
      <c r="DZ117" s="97"/>
      <c r="EA117" s="97"/>
      <c r="EB117" s="97"/>
      <c r="EC117" s="97"/>
      <c r="ED117" s="97"/>
      <c r="EE117" s="97"/>
      <c r="EF117" s="97"/>
      <c r="EG117" s="97"/>
      <c r="EH117" s="97"/>
      <c r="EI117" s="97"/>
      <c r="EJ117" s="97"/>
      <c r="EK117" s="97"/>
      <c r="EL117" s="97"/>
      <c r="EM117" s="97"/>
      <c r="EN117" s="97"/>
      <c r="EO117" s="97"/>
      <c r="EP117" s="97"/>
      <c r="EQ117" s="97"/>
      <c r="ER117" s="97"/>
      <c r="ES117" s="97"/>
      <c r="ET117" s="97"/>
      <c r="EU117" s="97"/>
      <c r="EV117" s="97"/>
      <c r="EW117" s="97"/>
      <c r="EX117" s="97"/>
      <c r="EY117" s="97"/>
      <c r="EZ117" s="97"/>
      <c r="FA117" s="97"/>
      <c r="FB117" s="97"/>
      <c r="FC117" s="97"/>
      <c r="FD117" s="97"/>
      <c r="FE117" s="97"/>
      <c r="FF117" s="97"/>
      <c r="FG117" s="97"/>
      <c r="FH117" s="97"/>
      <c r="FI117" s="97"/>
      <c r="FJ117" s="97"/>
      <c r="FK117" s="97"/>
      <c r="FL117" s="97"/>
      <c r="FM117" s="97"/>
      <c r="FN117" s="97"/>
      <c r="FO117" s="97"/>
      <c r="FP117" s="97"/>
      <c r="FQ117" s="97"/>
      <c r="FR117" s="97"/>
      <c r="FS117" s="97"/>
      <c r="FT117" s="97"/>
      <c r="FU117" s="97"/>
      <c r="FV117" s="97"/>
      <c r="FW117" s="97"/>
      <c r="FX117" s="97"/>
      <c r="FY117" s="97"/>
      <c r="FZ117" s="97"/>
      <c r="GA117" s="97"/>
      <c r="GB117" s="97"/>
      <c r="GC117" s="97"/>
      <c r="GD117" s="97"/>
      <c r="GE117" s="97"/>
      <c r="GF117" s="97"/>
      <c r="GG117" s="97"/>
      <c r="GH117" s="97"/>
      <c r="GI117" s="97"/>
      <c r="GJ117" s="97"/>
      <c r="GK117" s="97"/>
      <c r="GL117" s="97"/>
      <c r="GM117" s="97"/>
      <c r="GN117" s="97"/>
      <c r="GO117" s="97"/>
      <c r="GP117" s="97"/>
      <c r="GQ117" s="97"/>
      <c r="GR117" s="97"/>
      <c r="GS117" s="97"/>
      <c r="GT117" s="97"/>
      <c r="GU117" s="97"/>
      <c r="GV117" s="97"/>
      <c r="GW117" s="97"/>
      <c r="GX117" s="97"/>
      <c r="GY117" s="97"/>
      <c r="GZ117" s="97"/>
      <c r="HA117" s="97"/>
      <c r="HB117" s="97"/>
      <c r="HC117" s="97"/>
      <c r="HD117" s="97"/>
      <c r="HE117" s="97"/>
      <c r="HF117" s="97"/>
      <c r="HG117" s="97"/>
      <c r="HH117" s="97"/>
      <c r="HI117" s="97"/>
      <c r="HJ117" s="97"/>
      <c r="HK117" s="97"/>
      <c r="HL117" s="97"/>
      <c r="HM117" s="97"/>
      <c r="HN117" s="97"/>
      <c r="HO117" s="97"/>
      <c r="HP117" s="97"/>
      <c r="HQ117" s="97"/>
      <c r="HR117" s="97"/>
      <c r="HS117" s="97"/>
      <c r="HT117" s="97"/>
      <c r="HU117" s="97"/>
      <c r="HV117" s="97"/>
      <c r="HW117" s="97"/>
      <c r="HX117" s="97"/>
      <c r="HY117" s="97"/>
      <c r="HZ117" s="97"/>
      <c r="IA117" s="97"/>
      <c r="IB117" s="97"/>
      <c r="IC117" s="97"/>
      <c r="ID117" s="97"/>
      <c r="IE117" s="97"/>
      <c r="IF117" s="97"/>
      <c r="IG117" s="97"/>
      <c r="IH117" s="97"/>
      <c r="II117" s="97"/>
      <c r="IJ117" s="97"/>
      <c r="IK117" s="97"/>
      <c r="IL117" s="97"/>
      <c r="IM117" s="97"/>
      <c r="IN117" s="97"/>
      <c r="IO117" s="97"/>
      <c r="IP117" s="97"/>
      <c r="IQ117" s="97"/>
      <c r="IR117" s="97"/>
      <c r="IS117" s="97"/>
    </row>
    <row r="118" spans="1:253" hidden="1">
      <c r="A118" s="28"/>
      <c r="J118" s="6">
        <v>65</v>
      </c>
      <c r="K118" s="19" t="str">
        <f>'Data Export'!B66</f>
        <v/>
      </c>
      <c r="L118" s="22" t="str">
        <f>IF(K118="", "", 'Combination Ovens'!AD8)</f>
        <v/>
      </c>
      <c r="M118" s="22" t="str">
        <f>IF(K118="", "", 'Combination Ovens'!AE8)</f>
        <v/>
      </c>
      <c r="N118" s="6" t="str">
        <f>IF(K118="", "", 'Combination Ovens'!J8)</f>
        <v/>
      </c>
      <c r="O118" s="83" t="str">
        <f>IF(K118="", "", 'Combination Ovens'!AF8)</f>
        <v/>
      </c>
      <c r="P118" s="6" t="str">
        <f t="shared" ref="P118:P125" si="8">IF(K118="","",CONCATENATE($C$10,J118))</f>
        <v/>
      </c>
      <c r="Q118" s="97"/>
      <c r="R118" s="146">
        <v>82</v>
      </c>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7"/>
      <c r="BR118" s="97"/>
      <c r="BS118" s="97"/>
      <c r="BT118" s="97"/>
      <c r="BU118" s="97"/>
      <c r="BV118" s="97"/>
      <c r="BW118" s="97"/>
      <c r="BX118" s="97"/>
      <c r="BY118" s="97"/>
      <c r="BZ118" s="97"/>
      <c r="CA118" s="97"/>
      <c r="CB118" s="97"/>
      <c r="CC118" s="97"/>
      <c r="CD118" s="97"/>
      <c r="CE118" s="97"/>
      <c r="CF118" s="97"/>
      <c r="CG118" s="97"/>
      <c r="CH118" s="97"/>
      <c r="CI118" s="97"/>
      <c r="CJ118" s="97"/>
      <c r="CK118" s="97"/>
      <c r="CL118" s="97"/>
      <c r="CM118" s="97"/>
      <c r="CN118" s="97"/>
      <c r="CO118" s="97"/>
      <c r="CP118" s="97"/>
      <c r="CQ118" s="97"/>
      <c r="CR118" s="97"/>
      <c r="CS118" s="97"/>
      <c r="CT118" s="97"/>
      <c r="CU118" s="97"/>
      <c r="CV118" s="97"/>
      <c r="CW118" s="97"/>
      <c r="CX118" s="97"/>
      <c r="CY118" s="97"/>
      <c r="CZ118" s="97"/>
      <c r="DA118" s="97"/>
      <c r="DB118" s="97"/>
      <c r="DC118" s="97"/>
      <c r="DD118" s="97"/>
      <c r="DE118" s="97"/>
      <c r="DF118" s="97"/>
      <c r="DG118" s="97"/>
      <c r="DH118" s="97"/>
      <c r="DI118" s="97"/>
      <c r="DJ118" s="97"/>
      <c r="DK118" s="97"/>
      <c r="DL118" s="97"/>
      <c r="DM118" s="97"/>
      <c r="DN118" s="97"/>
      <c r="DO118" s="97"/>
      <c r="DP118" s="97"/>
      <c r="DQ118" s="97"/>
      <c r="DR118" s="97"/>
      <c r="DS118" s="97"/>
      <c r="DT118" s="97"/>
      <c r="DU118" s="97"/>
      <c r="DV118" s="97"/>
      <c r="DW118" s="97"/>
      <c r="DX118" s="97"/>
      <c r="DY118" s="97"/>
      <c r="DZ118" s="97"/>
      <c r="EA118" s="97"/>
      <c r="EB118" s="97"/>
      <c r="EC118" s="97"/>
      <c r="ED118" s="97"/>
      <c r="EE118" s="97"/>
      <c r="EF118" s="97"/>
      <c r="EG118" s="97"/>
      <c r="EH118" s="97"/>
      <c r="EI118" s="97"/>
      <c r="EJ118" s="97"/>
      <c r="EK118" s="97"/>
      <c r="EL118" s="97"/>
      <c r="EM118" s="97"/>
      <c r="EN118" s="97"/>
      <c r="EO118" s="97"/>
      <c r="EP118" s="97"/>
      <c r="EQ118" s="97"/>
      <c r="ER118" s="97"/>
      <c r="ES118" s="97"/>
      <c r="ET118" s="97"/>
      <c r="EU118" s="97"/>
      <c r="EV118" s="97"/>
      <c r="EW118" s="97"/>
      <c r="EX118" s="97"/>
      <c r="EY118" s="97"/>
      <c r="EZ118" s="97"/>
      <c r="FA118" s="97"/>
      <c r="FB118" s="97"/>
      <c r="FC118" s="97"/>
      <c r="FD118" s="97"/>
      <c r="FE118" s="97"/>
      <c r="FF118" s="97"/>
      <c r="FG118" s="97"/>
      <c r="FH118" s="97"/>
      <c r="FI118" s="97"/>
      <c r="FJ118" s="97"/>
      <c r="FK118" s="97"/>
      <c r="FL118" s="97"/>
      <c r="FM118" s="97"/>
      <c r="FN118" s="97"/>
      <c r="FO118" s="97"/>
      <c r="FP118" s="97"/>
      <c r="FQ118" s="97"/>
      <c r="FR118" s="97"/>
      <c r="FS118" s="97"/>
      <c r="FT118" s="97"/>
      <c r="FU118" s="97"/>
      <c r="FV118" s="97"/>
      <c r="FW118" s="97"/>
      <c r="FX118" s="97"/>
      <c r="FY118" s="97"/>
      <c r="FZ118" s="97"/>
      <c r="GA118" s="97"/>
      <c r="GB118" s="97"/>
      <c r="GC118" s="97"/>
      <c r="GD118" s="97"/>
      <c r="GE118" s="97"/>
      <c r="GF118" s="97"/>
      <c r="GG118" s="97"/>
      <c r="GH118" s="97"/>
      <c r="GI118" s="97"/>
      <c r="GJ118" s="97"/>
      <c r="GK118" s="97"/>
      <c r="GL118" s="97"/>
      <c r="GM118" s="97"/>
      <c r="GN118" s="97"/>
      <c r="GO118" s="97"/>
      <c r="GP118" s="97"/>
      <c r="GQ118" s="97"/>
      <c r="GR118" s="97"/>
      <c r="GS118" s="97"/>
      <c r="GT118" s="97"/>
      <c r="GU118" s="97"/>
      <c r="GV118" s="97"/>
      <c r="GW118" s="97"/>
      <c r="GX118" s="97"/>
      <c r="GY118" s="97"/>
      <c r="GZ118" s="97"/>
      <c r="HA118" s="97"/>
      <c r="HB118" s="97"/>
      <c r="HC118" s="97"/>
      <c r="HD118" s="97"/>
      <c r="HE118" s="97"/>
      <c r="HF118" s="97"/>
      <c r="HG118" s="97"/>
      <c r="HH118" s="97"/>
      <c r="HI118" s="97"/>
      <c r="HJ118" s="97"/>
      <c r="HK118" s="97"/>
      <c r="HL118" s="97"/>
      <c r="HM118" s="97"/>
      <c r="HN118" s="97"/>
      <c r="HO118" s="97"/>
      <c r="HP118" s="97"/>
      <c r="HQ118" s="97"/>
      <c r="HR118" s="97"/>
      <c r="HS118" s="97"/>
      <c r="HT118" s="97"/>
      <c r="HU118" s="97"/>
      <c r="HV118" s="97"/>
      <c r="HW118" s="97"/>
      <c r="HX118" s="97"/>
      <c r="HY118" s="97"/>
      <c r="HZ118" s="97"/>
      <c r="IA118" s="97"/>
      <c r="IB118" s="97"/>
      <c r="IC118" s="97"/>
      <c r="ID118" s="97"/>
      <c r="IE118" s="97"/>
      <c r="IF118" s="97"/>
      <c r="IG118" s="97"/>
      <c r="IH118" s="97"/>
      <c r="II118" s="97"/>
      <c r="IJ118" s="97"/>
      <c r="IK118" s="97"/>
      <c r="IL118" s="97"/>
      <c r="IM118" s="97"/>
      <c r="IN118" s="97"/>
      <c r="IO118" s="97"/>
      <c r="IP118" s="97"/>
      <c r="IQ118" s="97"/>
      <c r="IR118" s="97"/>
      <c r="IS118" s="97"/>
    </row>
    <row r="119" spans="1:253" hidden="1">
      <c r="A119" s="28"/>
      <c r="J119" s="6">
        <v>66</v>
      </c>
      <c r="K119" s="19" t="str">
        <f>'Data Export'!B67</f>
        <v/>
      </c>
      <c r="L119" s="22" t="str">
        <f>IF(K119="", "", 'Combination Ovens'!AD9)</f>
        <v/>
      </c>
      <c r="M119" s="22" t="str">
        <f>IF(K119="", "", 'Combination Ovens'!AE9)</f>
        <v/>
      </c>
      <c r="N119" s="6" t="str">
        <f>IF(K119="", "", 'Combination Ovens'!J9)</f>
        <v/>
      </c>
      <c r="O119" s="83" t="str">
        <f>IF(K119="", "", 'Combination Ovens'!AF9)</f>
        <v/>
      </c>
      <c r="P119" s="6" t="str">
        <f t="shared" si="8"/>
        <v/>
      </c>
      <c r="Q119" s="97"/>
      <c r="R119" s="146">
        <v>83</v>
      </c>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7"/>
      <c r="BR119" s="97"/>
      <c r="BS119" s="97"/>
      <c r="BT119" s="97"/>
      <c r="BU119" s="97"/>
      <c r="BV119" s="97"/>
      <c r="BW119" s="97"/>
      <c r="BX119" s="97"/>
      <c r="BY119" s="97"/>
      <c r="BZ119" s="97"/>
      <c r="CA119" s="97"/>
      <c r="CB119" s="97"/>
      <c r="CC119" s="97"/>
      <c r="CD119" s="97"/>
      <c r="CE119" s="97"/>
      <c r="CF119" s="97"/>
      <c r="CG119" s="97"/>
      <c r="CH119" s="97"/>
      <c r="CI119" s="97"/>
      <c r="CJ119" s="97"/>
      <c r="CK119" s="97"/>
      <c r="CL119" s="97"/>
      <c r="CM119" s="97"/>
      <c r="CN119" s="97"/>
      <c r="CO119" s="97"/>
      <c r="CP119" s="97"/>
      <c r="CQ119" s="97"/>
      <c r="CR119" s="97"/>
      <c r="CS119" s="97"/>
      <c r="CT119" s="97"/>
      <c r="CU119" s="97"/>
      <c r="CV119" s="97"/>
      <c r="CW119" s="97"/>
      <c r="CX119" s="97"/>
      <c r="CY119" s="97"/>
      <c r="CZ119" s="97"/>
      <c r="DA119" s="97"/>
      <c r="DB119" s="97"/>
      <c r="DC119" s="97"/>
      <c r="DD119" s="97"/>
      <c r="DE119" s="97"/>
      <c r="DF119" s="97"/>
      <c r="DG119" s="97"/>
      <c r="DH119" s="97"/>
      <c r="DI119" s="97"/>
      <c r="DJ119" s="97"/>
      <c r="DK119" s="97"/>
      <c r="DL119" s="97"/>
      <c r="DM119" s="97"/>
      <c r="DN119" s="97"/>
      <c r="DO119" s="97"/>
      <c r="DP119" s="97"/>
      <c r="DQ119" s="97"/>
      <c r="DR119" s="97"/>
      <c r="DS119" s="97"/>
      <c r="DT119" s="97"/>
      <c r="DU119" s="97"/>
      <c r="DV119" s="97"/>
      <c r="DW119" s="97"/>
      <c r="DX119" s="97"/>
      <c r="DY119" s="97"/>
      <c r="DZ119" s="97"/>
      <c r="EA119" s="97"/>
      <c r="EB119" s="97"/>
      <c r="EC119" s="97"/>
      <c r="ED119" s="97"/>
      <c r="EE119" s="97"/>
      <c r="EF119" s="97"/>
      <c r="EG119" s="97"/>
      <c r="EH119" s="97"/>
      <c r="EI119" s="97"/>
      <c r="EJ119" s="97"/>
      <c r="EK119" s="97"/>
      <c r="EL119" s="97"/>
      <c r="EM119" s="97"/>
      <c r="EN119" s="97"/>
      <c r="EO119" s="97"/>
      <c r="EP119" s="97"/>
      <c r="EQ119" s="97"/>
      <c r="ER119" s="97"/>
      <c r="ES119" s="97"/>
      <c r="ET119" s="97"/>
      <c r="EU119" s="97"/>
      <c r="EV119" s="97"/>
      <c r="EW119" s="97"/>
      <c r="EX119" s="97"/>
      <c r="EY119" s="97"/>
      <c r="EZ119" s="97"/>
      <c r="FA119" s="97"/>
      <c r="FB119" s="97"/>
      <c r="FC119" s="97"/>
      <c r="FD119" s="97"/>
      <c r="FE119" s="97"/>
      <c r="FF119" s="97"/>
      <c r="FG119" s="97"/>
      <c r="FH119" s="97"/>
      <c r="FI119" s="97"/>
      <c r="FJ119" s="97"/>
      <c r="FK119" s="97"/>
      <c r="FL119" s="97"/>
      <c r="FM119" s="97"/>
      <c r="FN119" s="97"/>
      <c r="FO119" s="97"/>
      <c r="FP119" s="97"/>
      <c r="FQ119" s="97"/>
      <c r="FR119" s="97"/>
      <c r="FS119" s="97"/>
      <c r="FT119" s="97"/>
      <c r="FU119" s="97"/>
      <c r="FV119" s="97"/>
      <c r="FW119" s="97"/>
      <c r="FX119" s="97"/>
      <c r="FY119" s="97"/>
      <c r="FZ119" s="97"/>
      <c r="GA119" s="97"/>
      <c r="GB119" s="97"/>
      <c r="GC119" s="97"/>
      <c r="GD119" s="97"/>
      <c r="GE119" s="97"/>
      <c r="GF119" s="97"/>
      <c r="GG119" s="97"/>
      <c r="GH119" s="97"/>
      <c r="GI119" s="97"/>
      <c r="GJ119" s="97"/>
      <c r="GK119" s="97"/>
      <c r="GL119" s="97"/>
      <c r="GM119" s="97"/>
      <c r="GN119" s="97"/>
      <c r="GO119" s="97"/>
      <c r="GP119" s="97"/>
      <c r="GQ119" s="97"/>
      <c r="GR119" s="97"/>
      <c r="GS119" s="97"/>
      <c r="GT119" s="97"/>
      <c r="GU119" s="97"/>
      <c r="GV119" s="97"/>
      <c r="GW119" s="97"/>
      <c r="GX119" s="97"/>
      <c r="GY119" s="97"/>
      <c r="GZ119" s="97"/>
      <c r="HA119" s="97"/>
      <c r="HB119" s="97"/>
      <c r="HC119" s="97"/>
      <c r="HD119" s="97"/>
      <c r="HE119" s="97"/>
      <c r="HF119" s="97"/>
      <c r="HG119" s="97"/>
      <c r="HH119" s="97"/>
      <c r="HI119" s="97"/>
      <c r="HJ119" s="97"/>
      <c r="HK119" s="97"/>
      <c r="HL119" s="97"/>
      <c r="HM119" s="97"/>
      <c r="HN119" s="97"/>
      <c r="HO119" s="97"/>
      <c r="HP119" s="97"/>
      <c r="HQ119" s="97"/>
      <c r="HR119" s="97"/>
      <c r="HS119" s="97"/>
      <c r="HT119" s="97"/>
      <c r="HU119" s="97"/>
      <c r="HV119" s="97"/>
      <c r="HW119" s="97"/>
      <c r="HX119" s="97"/>
      <c r="HY119" s="97"/>
      <c r="HZ119" s="97"/>
      <c r="IA119" s="97"/>
      <c r="IB119" s="97"/>
      <c r="IC119" s="97"/>
      <c r="ID119" s="97"/>
      <c r="IE119" s="97"/>
      <c r="IF119" s="97"/>
      <c r="IG119" s="97"/>
      <c r="IH119" s="97"/>
      <c r="II119" s="97"/>
      <c r="IJ119" s="97"/>
      <c r="IK119" s="97"/>
      <c r="IL119" s="97"/>
      <c r="IM119" s="97"/>
      <c r="IN119" s="97"/>
      <c r="IO119" s="97"/>
      <c r="IP119" s="97"/>
      <c r="IQ119" s="97"/>
      <c r="IR119" s="97"/>
      <c r="IS119" s="97"/>
    </row>
    <row r="120" spans="1:253" hidden="1">
      <c r="A120" s="28"/>
      <c r="J120" s="6">
        <v>67</v>
      </c>
      <c r="K120" s="19" t="str">
        <f>'Data Export'!B68</f>
        <v/>
      </c>
      <c r="L120" s="22" t="str">
        <f>IF(K120="", "", 'Combination Ovens'!AD10)</f>
        <v/>
      </c>
      <c r="M120" s="22" t="str">
        <f>IF(K120="", "", 'Combination Ovens'!AE10)</f>
        <v/>
      </c>
      <c r="N120" s="6" t="str">
        <f>IF(K120="", "", 'Combination Ovens'!J10)</f>
        <v/>
      </c>
      <c r="O120" s="83" t="str">
        <f>IF(K120="", "", 'Combination Ovens'!AF10)</f>
        <v/>
      </c>
      <c r="P120" s="6" t="str">
        <f t="shared" si="8"/>
        <v/>
      </c>
      <c r="Q120" s="97"/>
      <c r="R120" s="146">
        <v>84</v>
      </c>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7"/>
      <c r="AT120" s="97"/>
      <c r="AU120" s="97"/>
      <c r="AV120" s="97"/>
      <c r="AW120" s="97"/>
      <c r="AX120" s="97"/>
      <c r="AY120" s="97"/>
      <c r="AZ120" s="97"/>
      <c r="BA120" s="97"/>
      <c r="BB120" s="97"/>
      <c r="BC120" s="97"/>
      <c r="BD120" s="97"/>
      <c r="BE120" s="97"/>
      <c r="BF120" s="97"/>
      <c r="BG120" s="97"/>
      <c r="BH120" s="97"/>
      <c r="BI120" s="97"/>
      <c r="BJ120" s="97"/>
      <c r="BK120" s="97"/>
      <c r="BL120" s="97"/>
      <c r="BM120" s="97"/>
      <c r="BN120" s="97"/>
      <c r="BO120" s="97"/>
      <c r="BP120" s="97"/>
      <c r="BQ120" s="97"/>
      <c r="BR120" s="97"/>
      <c r="BS120" s="97"/>
      <c r="BT120" s="97"/>
      <c r="BU120" s="97"/>
      <c r="BV120" s="97"/>
      <c r="BW120" s="97"/>
      <c r="BX120" s="97"/>
      <c r="BY120" s="97"/>
      <c r="BZ120" s="97"/>
      <c r="CA120" s="97"/>
      <c r="CB120" s="97"/>
      <c r="CC120" s="97"/>
      <c r="CD120" s="97"/>
      <c r="CE120" s="97"/>
      <c r="CF120" s="97"/>
      <c r="CG120" s="97"/>
      <c r="CH120" s="97"/>
      <c r="CI120" s="97"/>
      <c r="CJ120" s="97"/>
      <c r="CK120" s="97"/>
      <c r="CL120" s="97"/>
      <c r="CM120" s="97"/>
      <c r="CN120" s="97"/>
      <c r="CO120" s="97"/>
      <c r="CP120" s="97"/>
      <c r="CQ120" s="97"/>
      <c r="CR120" s="97"/>
      <c r="CS120" s="97"/>
      <c r="CT120" s="97"/>
      <c r="CU120" s="97"/>
      <c r="CV120" s="97"/>
      <c r="CW120" s="97"/>
      <c r="CX120" s="97"/>
      <c r="CY120" s="97"/>
      <c r="CZ120" s="97"/>
      <c r="DA120" s="97"/>
      <c r="DB120" s="97"/>
      <c r="DC120" s="97"/>
      <c r="DD120" s="97"/>
      <c r="DE120" s="97"/>
      <c r="DF120" s="97"/>
      <c r="DG120" s="97"/>
      <c r="DH120" s="97"/>
      <c r="DI120" s="97"/>
      <c r="DJ120" s="97"/>
      <c r="DK120" s="97"/>
      <c r="DL120" s="97"/>
      <c r="DM120" s="97"/>
      <c r="DN120" s="97"/>
      <c r="DO120" s="97"/>
      <c r="DP120" s="97"/>
      <c r="DQ120" s="97"/>
      <c r="DR120" s="97"/>
      <c r="DS120" s="97"/>
      <c r="DT120" s="97"/>
      <c r="DU120" s="97"/>
      <c r="DV120" s="97"/>
      <c r="DW120" s="97"/>
      <c r="DX120" s="97"/>
      <c r="DY120" s="97"/>
      <c r="DZ120" s="97"/>
      <c r="EA120" s="97"/>
      <c r="EB120" s="97"/>
      <c r="EC120" s="97"/>
      <c r="ED120" s="97"/>
      <c r="EE120" s="97"/>
      <c r="EF120" s="97"/>
      <c r="EG120" s="97"/>
      <c r="EH120" s="97"/>
      <c r="EI120" s="97"/>
      <c r="EJ120" s="97"/>
      <c r="EK120" s="97"/>
      <c r="EL120" s="97"/>
      <c r="EM120" s="97"/>
      <c r="EN120" s="97"/>
      <c r="EO120" s="97"/>
      <c r="EP120" s="97"/>
      <c r="EQ120" s="97"/>
      <c r="ER120" s="97"/>
      <c r="ES120" s="97"/>
      <c r="ET120" s="97"/>
      <c r="EU120" s="97"/>
      <c r="EV120" s="97"/>
      <c r="EW120" s="97"/>
      <c r="EX120" s="97"/>
      <c r="EY120" s="97"/>
      <c r="EZ120" s="97"/>
      <c r="FA120" s="97"/>
      <c r="FB120" s="97"/>
      <c r="FC120" s="97"/>
      <c r="FD120" s="97"/>
      <c r="FE120" s="97"/>
      <c r="FF120" s="97"/>
      <c r="FG120" s="97"/>
      <c r="FH120" s="97"/>
      <c r="FI120" s="97"/>
      <c r="FJ120" s="97"/>
      <c r="FK120" s="97"/>
      <c r="FL120" s="97"/>
      <c r="FM120" s="97"/>
      <c r="FN120" s="97"/>
      <c r="FO120" s="97"/>
      <c r="FP120" s="97"/>
      <c r="FQ120" s="97"/>
      <c r="FR120" s="97"/>
      <c r="FS120" s="97"/>
      <c r="FT120" s="97"/>
      <c r="FU120" s="97"/>
      <c r="FV120" s="97"/>
      <c r="FW120" s="97"/>
      <c r="FX120" s="97"/>
      <c r="FY120" s="97"/>
      <c r="FZ120" s="97"/>
      <c r="GA120" s="97"/>
      <c r="GB120" s="97"/>
      <c r="GC120" s="97"/>
      <c r="GD120" s="97"/>
      <c r="GE120" s="97"/>
      <c r="GF120" s="97"/>
      <c r="GG120" s="97"/>
      <c r="GH120" s="97"/>
      <c r="GI120" s="97"/>
      <c r="GJ120" s="97"/>
      <c r="GK120" s="97"/>
      <c r="GL120" s="97"/>
      <c r="GM120" s="97"/>
      <c r="GN120" s="97"/>
      <c r="GO120" s="97"/>
      <c r="GP120" s="97"/>
      <c r="GQ120" s="97"/>
      <c r="GR120" s="97"/>
      <c r="GS120" s="97"/>
      <c r="GT120" s="97"/>
      <c r="GU120" s="97"/>
      <c r="GV120" s="97"/>
      <c r="GW120" s="97"/>
      <c r="GX120" s="97"/>
      <c r="GY120" s="97"/>
      <c r="GZ120" s="97"/>
      <c r="HA120" s="97"/>
      <c r="HB120" s="97"/>
      <c r="HC120" s="97"/>
      <c r="HD120" s="97"/>
      <c r="HE120" s="97"/>
      <c r="HF120" s="97"/>
      <c r="HG120" s="97"/>
      <c r="HH120" s="97"/>
      <c r="HI120" s="97"/>
      <c r="HJ120" s="97"/>
      <c r="HK120" s="97"/>
      <c r="HL120" s="97"/>
      <c r="HM120" s="97"/>
      <c r="HN120" s="97"/>
      <c r="HO120" s="97"/>
      <c r="HP120" s="97"/>
      <c r="HQ120" s="97"/>
      <c r="HR120" s="97"/>
      <c r="HS120" s="97"/>
      <c r="HT120" s="97"/>
      <c r="HU120" s="97"/>
      <c r="HV120" s="97"/>
      <c r="HW120" s="97"/>
      <c r="HX120" s="97"/>
      <c r="HY120" s="97"/>
      <c r="HZ120" s="97"/>
      <c r="IA120" s="97"/>
      <c r="IB120" s="97"/>
      <c r="IC120" s="97"/>
      <c r="ID120" s="97"/>
      <c r="IE120" s="97"/>
      <c r="IF120" s="97"/>
      <c r="IG120" s="97"/>
      <c r="IH120" s="97"/>
      <c r="II120" s="97"/>
      <c r="IJ120" s="97"/>
      <c r="IK120" s="97"/>
      <c r="IL120" s="97"/>
      <c r="IM120" s="97"/>
      <c r="IN120" s="97"/>
      <c r="IO120" s="97"/>
      <c r="IP120" s="97"/>
      <c r="IQ120" s="97"/>
      <c r="IR120" s="97"/>
      <c r="IS120" s="97"/>
    </row>
    <row r="121" spans="1:253" hidden="1">
      <c r="A121" s="28"/>
      <c r="J121" s="6">
        <v>68</v>
      </c>
      <c r="K121" s="19" t="str">
        <f>'Data Export'!B69</f>
        <v/>
      </c>
      <c r="L121" s="22" t="str">
        <f>IF(K121="", "", 'Combination Ovens'!AD11)</f>
        <v/>
      </c>
      <c r="M121" s="22" t="str">
        <f>IF(K121="", "", 'Combination Ovens'!AE11)</f>
        <v/>
      </c>
      <c r="N121" s="6" t="str">
        <f>IF(K121="", "", 'Combination Ovens'!J11)</f>
        <v/>
      </c>
      <c r="O121" s="83" t="str">
        <f>IF(K121="", "", 'Combination Ovens'!AF11)</f>
        <v/>
      </c>
      <c r="P121" s="6" t="str">
        <f t="shared" si="8"/>
        <v/>
      </c>
      <c r="Q121" s="97"/>
      <c r="R121" s="146">
        <v>85</v>
      </c>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T121" s="97"/>
      <c r="AU121" s="97"/>
      <c r="AV121" s="97"/>
      <c r="AW121" s="97"/>
      <c r="AX121" s="97"/>
      <c r="AY121" s="97"/>
      <c r="AZ121" s="97"/>
      <c r="BA121" s="97"/>
      <c r="BB121" s="97"/>
      <c r="BC121" s="97"/>
      <c r="BD121" s="97"/>
      <c r="BE121" s="97"/>
      <c r="BF121" s="97"/>
      <c r="BG121" s="97"/>
      <c r="BH121" s="97"/>
      <c r="BI121" s="97"/>
      <c r="BJ121" s="97"/>
      <c r="BK121" s="97"/>
      <c r="BL121" s="97"/>
      <c r="BM121" s="97"/>
      <c r="BN121" s="97"/>
      <c r="BO121" s="97"/>
      <c r="BP121" s="97"/>
      <c r="BQ121" s="97"/>
      <c r="BR121" s="97"/>
      <c r="BS121" s="97"/>
      <c r="BT121" s="97"/>
      <c r="BU121" s="97"/>
      <c r="BV121" s="97"/>
      <c r="BW121" s="97"/>
      <c r="BX121" s="97"/>
      <c r="BY121" s="97"/>
      <c r="BZ121" s="97"/>
      <c r="CA121" s="97"/>
      <c r="CB121" s="97"/>
      <c r="CC121" s="97"/>
      <c r="CD121" s="97"/>
      <c r="CE121" s="97"/>
      <c r="CF121" s="97"/>
      <c r="CG121" s="97"/>
      <c r="CH121" s="97"/>
      <c r="CI121" s="97"/>
      <c r="CJ121" s="97"/>
      <c r="CK121" s="97"/>
      <c r="CL121" s="97"/>
      <c r="CM121" s="97"/>
      <c r="CN121" s="97"/>
      <c r="CO121" s="97"/>
      <c r="CP121" s="97"/>
      <c r="CQ121" s="97"/>
      <c r="CR121" s="97"/>
      <c r="CS121" s="97"/>
      <c r="CT121" s="97"/>
      <c r="CU121" s="97"/>
      <c r="CV121" s="97"/>
      <c r="CW121" s="97"/>
      <c r="CX121" s="97"/>
      <c r="CY121" s="97"/>
      <c r="CZ121" s="97"/>
      <c r="DA121" s="97"/>
      <c r="DB121" s="97"/>
      <c r="DC121" s="97"/>
      <c r="DD121" s="97"/>
      <c r="DE121" s="97"/>
      <c r="DF121" s="97"/>
      <c r="DG121" s="97"/>
      <c r="DH121" s="97"/>
      <c r="DI121" s="97"/>
      <c r="DJ121" s="97"/>
      <c r="DK121" s="97"/>
      <c r="DL121" s="97"/>
      <c r="DM121" s="97"/>
      <c r="DN121" s="97"/>
      <c r="DO121" s="97"/>
      <c r="DP121" s="97"/>
      <c r="DQ121" s="97"/>
      <c r="DR121" s="97"/>
      <c r="DS121" s="97"/>
      <c r="DT121" s="97"/>
      <c r="DU121" s="97"/>
      <c r="DV121" s="97"/>
      <c r="DW121" s="97"/>
      <c r="DX121" s="97"/>
      <c r="DY121" s="97"/>
      <c r="DZ121" s="97"/>
      <c r="EA121" s="97"/>
      <c r="EB121" s="97"/>
      <c r="EC121" s="97"/>
      <c r="ED121" s="97"/>
      <c r="EE121" s="97"/>
      <c r="EF121" s="97"/>
      <c r="EG121" s="97"/>
      <c r="EH121" s="97"/>
      <c r="EI121" s="97"/>
      <c r="EJ121" s="97"/>
      <c r="EK121" s="97"/>
      <c r="EL121" s="97"/>
      <c r="EM121" s="97"/>
      <c r="EN121" s="97"/>
      <c r="EO121" s="97"/>
      <c r="EP121" s="97"/>
      <c r="EQ121" s="97"/>
      <c r="ER121" s="97"/>
      <c r="ES121" s="97"/>
      <c r="ET121" s="97"/>
      <c r="EU121" s="97"/>
      <c r="EV121" s="97"/>
      <c r="EW121" s="97"/>
      <c r="EX121" s="97"/>
      <c r="EY121" s="97"/>
      <c r="EZ121" s="97"/>
      <c r="FA121" s="97"/>
      <c r="FB121" s="97"/>
      <c r="FC121" s="97"/>
      <c r="FD121" s="97"/>
      <c r="FE121" s="97"/>
      <c r="FF121" s="97"/>
      <c r="FG121" s="97"/>
      <c r="FH121" s="97"/>
      <c r="FI121" s="97"/>
      <c r="FJ121" s="97"/>
      <c r="FK121" s="97"/>
      <c r="FL121" s="97"/>
      <c r="FM121" s="97"/>
      <c r="FN121" s="97"/>
      <c r="FO121" s="97"/>
      <c r="FP121" s="97"/>
      <c r="FQ121" s="97"/>
      <c r="FR121" s="97"/>
      <c r="FS121" s="97"/>
      <c r="FT121" s="97"/>
      <c r="FU121" s="97"/>
      <c r="FV121" s="97"/>
      <c r="FW121" s="97"/>
      <c r="FX121" s="97"/>
      <c r="FY121" s="97"/>
      <c r="FZ121" s="97"/>
      <c r="GA121" s="97"/>
      <c r="GB121" s="97"/>
      <c r="GC121" s="97"/>
      <c r="GD121" s="97"/>
      <c r="GE121" s="97"/>
      <c r="GF121" s="97"/>
      <c r="GG121" s="97"/>
      <c r="GH121" s="97"/>
      <c r="GI121" s="97"/>
      <c r="GJ121" s="97"/>
      <c r="GK121" s="97"/>
      <c r="GL121" s="97"/>
      <c r="GM121" s="97"/>
      <c r="GN121" s="97"/>
      <c r="GO121" s="97"/>
      <c r="GP121" s="97"/>
      <c r="GQ121" s="97"/>
      <c r="GR121" s="97"/>
      <c r="GS121" s="97"/>
      <c r="GT121" s="97"/>
      <c r="GU121" s="97"/>
      <c r="GV121" s="97"/>
      <c r="GW121" s="97"/>
      <c r="GX121" s="97"/>
      <c r="GY121" s="97"/>
      <c r="GZ121" s="97"/>
      <c r="HA121" s="97"/>
      <c r="HB121" s="97"/>
      <c r="HC121" s="97"/>
      <c r="HD121" s="97"/>
      <c r="HE121" s="97"/>
      <c r="HF121" s="97"/>
      <c r="HG121" s="97"/>
      <c r="HH121" s="97"/>
      <c r="HI121" s="97"/>
      <c r="HJ121" s="97"/>
      <c r="HK121" s="97"/>
      <c r="HL121" s="97"/>
      <c r="HM121" s="97"/>
      <c r="HN121" s="97"/>
      <c r="HO121" s="97"/>
      <c r="HP121" s="97"/>
      <c r="HQ121" s="97"/>
      <c r="HR121" s="97"/>
      <c r="HS121" s="97"/>
      <c r="HT121" s="97"/>
      <c r="HU121" s="97"/>
      <c r="HV121" s="97"/>
      <c r="HW121" s="97"/>
      <c r="HX121" s="97"/>
      <c r="HY121" s="97"/>
      <c r="HZ121" s="97"/>
      <c r="IA121" s="97"/>
      <c r="IB121" s="97"/>
      <c r="IC121" s="97"/>
      <c r="ID121" s="97"/>
      <c r="IE121" s="97"/>
      <c r="IF121" s="97"/>
      <c r="IG121" s="97"/>
      <c r="IH121" s="97"/>
      <c r="II121" s="97"/>
      <c r="IJ121" s="97"/>
      <c r="IK121" s="97"/>
      <c r="IL121" s="97"/>
      <c r="IM121" s="97"/>
      <c r="IN121" s="97"/>
      <c r="IO121" s="97"/>
      <c r="IP121" s="97"/>
      <c r="IQ121" s="97"/>
      <c r="IR121" s="97"/>
      <c r="IS121" s="97"/>
    </row>
    <row r="122" spans="1:253" hidden="1">
      <c r="A122" s="28"/>
      <c r="J122" s="6">
        <v>69</v>
      </c>
      <c r="K122" s="19" t="str">
        <f>'Data Export'!B70</f>
        <v/>
      </c>
      <c r="L122" s="22" t="str">
        <f>IF(K122="", "", 'Combination Ovens'!AD12)</f>
        <v/>
      </c>
      <c r="M122" s="22" t="str">
        <f>IF(K122="", "", 'Combination Ovens'!AE12)</f>
        <v/>
      </c>
      <c r="N122" s="6" t="str">
        <f>IF(K122="", "", 'Combination Ovens'!J12)</f>
        <v/>
      </c>
      <c r="O122" s="83" t="str">
        <f>IF(K122="", "", 'Combination Ovens'!AF12)</f>
        <v/>
      </c>
      <c r="P122" s="6" t="str">
        <f t="shared" si="8"/>
        <v/>
      </c>
      <c r="Q122" s="97"/>
      <c r="R122" s="146">
        <v>86</v>
      </c>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7"/>
      <c r="AT122" s="97"/>
      <c r="AU122" s="97"/>
      <c r="AV122" s="97"/>
      <c r="AW122" s="97"/>
      <c r="AX122" s="97"/>
      <c r="AY122" s="97"/>
      <c r="AZ122" s="97"/>
      <c r="BA122" s="97"/>
      <c r="BB122" s="97"/>
      <c r="BC122" s="97"/>
      <c r="BD122" s="97"/>
      <c r="BE122" s="97"/>
      <c r="BF122" s="97"/>
      <c r="BG122" s="97"/>
      <c r="BH122" s="97"/>
      <c r="BI122" s="97"/>
      <c r="BJ122" s="97"/>
      <c r="BK122" s="97"/>
      <c r="BL122" s="97"/>
      <c r="BM122" s="97"/>
      <c r="BN122" s="97"/>
      <c r="BO122" s="97"/>
      <c r="BP122" s="97"/>
      <c r="BQ122" s="97"/>
      <c r="BR122" s="97"/>
      <c r="BS122" s="97"/>
      <c r="BT122" s="97"/>
      <c r="BU122" s="97"/>
      <c r="BV122" s="97"/>
      <c r="BW122" s="97"/>
      <c r="BX122" s="97"/>
      <c r="BY122" s="97"/>
      <c r="BZ122" s="97"/>
      <c r="CA122" s="97"/>
      <c r="CB122" s="97"/>
      <c r="CC122" s="97"/>
      <c r="CD122" s="97"/>
      <c r="CE122" s="97"/>
      <c r="CF122" s="97"/>
      <c r="CG122" s="97"/>
      <c r="CH122" s="97"/>
      <c r="CI122" s="97"/>
      <c r="CJ122" s="97"/>
      <c r="CK122" s="97"/>
      <c r="CL122" s="97"/>
      <c r="CM122" s="97"/>
      <c r="CN122" s="97"/>
      <c r="CO122" s="97"/>
      <c r="CP122" s="97"/>
      <c r="CQ122" s="97"/>
      <c r="CR122" s="97"/>
      <c r="CS122" s="97"/>
      <c r="CT122" s="97"/>
      <c r="CU122" s="97"/>
      <c r="CV122" s="97"/>
      <c r="CW122" s="97"/>
      <c r="CX122" s="97"/>
      <c r="CY122" s="97"/>
      <c r="CZ122" s="97"/>
      <c r="DA122" s="97"/>
      <c r="DB122" s="97"/>
      <c r="DC122" s="97"/>
      <c r="DD122" s="97"/>
      <c r="DE122" s="97"/>
      <c r="DF122" s="97"/>
      <c r="DG122" s="97"/>
      <c r="DH122" s="97"/>
      <c r="DI122" s="97"/>
      <c r="DJ122" s="97"/>
      <c r="DK122" s="97"/>
      <c r="DL122" s="97"/>
      <c r="DM122" s="97"/>
      <c r="DN122" s="97"/>
      <c r="DO122" s="97"/>
      <c r="DP122" s="97"/>
      <c r="DQ122" s="97"/>
      <c r="DR122" s="97"/>
      <c r="DS122" s="97"/>
      <c r="DT122" s="97"/>
      <c r="DU122" s="97"/>
      <c r="DV122" s="97"/>
      <c r="DW122" s="97"/>
      <c r="DX122" s="97"/>
      <c r="DY122" s="97"/>
      <c r="DZ122" s="97"/>
      <c r="EA122" s="97"/>
      <c r="EB122" s="97"/>
      <c r="EC122" s="97"/>
      <c r="ED122" s="97"/>
      <c r="EE122" s="97"/>
      <c r="EF122" s="97"/>
      <c r="EG122" s="97"/>
      <c r="EH122" s="97"/>
      <c r="EI122" s="97"/>
      <c r="EJ122" s="97"/>
      <c r="EK122" s="97"/>
      <c r="EL122" s="97"/>
      <c r="EM122" s="97"/>
      <c r="EN122" s="97"/>
      <c r="EO122" s="97"/>
      <c r="EP122" s="97"/>
      <c r="EQ122" s="97"/>
      <c r="ER122" s="97"/>
      <c r="ES122" s="97"/>
      <c r="ET122" s="97"/>
      <c r="EU122" s="97"/>
      <c r="EV122" s="97"/>
      <c r="EW122" s="97"/>
      <c r="EX122" s="97"/>
      <c r="EY122" s="97"/>
      <c r="EZ122" s="97"/>
      <c r="FA122" s="97"/>
      <c r="FB122" s="97"/>
      <c r="FC122" s="97"/>
      <c r="FD122" s="97"/>
      <c r="FE122" s="97"/>
      <c r="FF122" s="97"/>
      <c r="FG122" s="97"/>
      <c r="FH122" s="97"/>
      <c r="FI122" s="97"/>
      <c r="FJ122" s="97"/>
      <c r="FK122" s="97"/>
      <c r="FL122" s="97"/>
      <c r="FM122" s="97"/>
      <c r="FN122" s="97"/>
      <c r="FO122" s="97"/>
      <c r="FP122" s="97"/>
      <c r="FQ122" s="97"/>
      <c r="FR122" s="97"/>
      <c r="FS122" s="97"/>
      <c r="FT122" s="97"/>
      <c r="FU122" s="97"/>
      <c r="FV122" s="97"/>
      <c r="FW122" s="97"/>
      <c r="FX122" s="97"/>
      <c r="FY122" s="97"/>
      <c r="FZ122" s="97"/>
      <c r="GA122" s="97"/>
      <c r="GB122" s="97"/>
      <c r="GC122" s="97"/>
      <c r="GD122" s="97"/>
      <c r="GE122" s="97"/>
      <c r="GF122" s="97"/>
      <c r="GG122" s="97"/>
      <c r="GH122" s="97"/>
      <c r="GI122" s="97"/>
      <c r="GJ122" s="97"/>
      <c r="GK122" s="97"/>
      <c r="GL122" s="97"/>
      <c r="GM122" s="97"/>
      <c r="GN122" s="97"/>
      <c r="GO122" s="97"/>
      <c r="GP122" s="97"/>
      <c r="GQ122" s="97"/>
      <c r="GR122" s="97"/>
      <c r="GS122" s="97"/>
      <c r="GT122" s="97"/>
      <c r="GU122" s="97"/>
      <c r="GV122" s="97"/>
      <c r="GW122" s="97"/>
      <c r="GX122" s="97"/>
      <c r="GY122" s="97"/>
      <c r="GZ122" s="97"/>
      <c r="HA122" s="97"/>
      <c r="HB122" s="97"/>
      <c r="HC122" s="97"/>
      <c r="HD122" s="97"/>
      <c r="HE122" s="97"/>
      <c r="HF122" s="97"/>
      <c r="HG122" s="97"/>
      <c r="HH122" s="97"/>
      <c r="HI122" s="97"/>
      <c r="HJ122" s="97"/>
      <c r="HK122" s="97"/>
      <c r="HL122" s="97"/>
      <c r="HM122" s="97"/>
      <c r="HN122" s="97"/>
      <c r="HO122" s="97"/>
      <c r="HP122" s="97"/>
      <c r="HQ122" s="97"/>
      <c r="HR122" s="97"/>
      <c r="HS122" s="97"/>
      <c r="HT122" s="97"/>
      <c r="HU122" s="97"/>
      <c r="HV122" s="97"/>
      <c r="HW122" s="97"/>
      <c r="HX122" s="97"/>
      <c r="HY122" s="97"/>
      <c r="HZ122" s="97"/>
      <c r="IA122" s="97"/>
      <c r="IB122" s="97"/>
      <c r="IC122" s="97"/>
      <c r="ID122" s="97"/>
      <c r="IE122" s="97"/>
      <c r="IF122" s="97"/>
      <c r="IG122" s="97"/>
      <c r="IH122" s="97"/>
      <c r="II122" s="97"/>
      <c r="IJ122" s="97"/>
      <c r="IK122" s="97"/>
      <c r="IL122" s="97"/>
      <c r="IM122" s="97"/>
      <c r="IN122" s="97"/>
      <c r="IO122" s="97"/>
      <c r="IP122" s="97"/>
      <c r="IQ122" s="97"/>
      <c r="IR122" s="97"/>
      <c r="IS122" s="97"/>
    </row>
    <row r="123" spans="1:253" hidden="1">
      <c r="A123" s="28"/>
      <c r="J123" s="6">
        <v>70</v>
      </c>
      <c r="K123" s="19" t="str">
        <f>'Data Export'!B71</f>
        <v/>
      </c>
      <c r="L123" s="22" t="str">
        <f>IF(K123="", "", 'Combination Ovens'!AD13)</f>
        <v/>
      </c>
      <c r="M123" s="22" t="str">
        <f>IF(K123="", "", 'Combination Ovens'!AE13)</f>
        <v/>
      </c>
      <c r="N123" s="6" t="str">
        <f>IF(K123="", "", 'Combination Ovens'!J13)</f>
        <v/>
      </c>
      <c r="O123" s="83" t="str">
        <f>IF(K123="", "", 'Combination Ovens'!AF13)</f>
        <v/>
      </c>
      <c r="P123" s="6" t="str">
        <f t="shared" si="8"/>
        <v/>
      </c>
      <c r="Q123" s="97"/>
      <c r="R123" s="146">
        <v>87</v>
      </c>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7"/>
      <c r="AT123" s="97"/>
      <c r="AU123" s="97"/>
      <c r="AV123" s="97"/>
      <c r="AW123" s="97"/>
      <c r="AX123" s="97"/>
      <c r="AY123" s="97"/>
      <c r="AZ123" s="97"/>
      <c r="BA123" s="97"/>
      <c r="BB123" s="97"/>
      <c r="BC123" s="97"/>
      <c r="BD123" s="97"/>
      <c r="BE123" s="97"/>
      <c r="BF123" s="97"/>
      <c r="BG123" s="97"/>
      <c r="BH123" s="97"/>
      <c r="BI123" s="97"/>
      <c r="BJ123" s="97"/>
      <c r="BK123" s="97"/>
      <c r="BL123" s="97"/>
      <c r="BM123" s="97"/>
      <c r="BN123" s="97"/>
      <c r="BO123" s="97"/>
      <c r="BP123" s="97"/>
      <c r="BQ123" s="97"/>
      <c r="BR123" s="97"/>
      <c r="BS123" s="97"/>
      <c r="BT123" s="97"/>
      <c r="BU123" s="97"/>
      <c r="BV123" s="97"/>
      <c r="BW123" s="97"/>
      <c r="BX123" s="97"/>
      <c r="BY123" s="97"/>
      <c r="BZ123" s="97"/>
      <c r="CA123" s="97"/>
      <c r="CB123" s="97"/>
      <c r="CC123" s="97"/>
      <c r="CD123" s="97"/>
      <c r="CE123" s="97"/>
      <c r="CF123" s="97"/>
      <c r="CG123" s="97"/>
      <c r="CH123" s="97"/>
      <c r="CI123" s="97"/>
      <c r="CJ123" s="97"/>
      <c r="CK123" s="97"/>
      <c r="CL123" s="97"/>
      <c r="CM123" s="97"/>
      <c r="CN123" s="97"/>
      <c r="CO123" s="97"/>
      <c r="CP123" s="97"/>
      <c r="CQ123" s="97"/>
      <c r="CR123" s="97"/>
      <c r="CS123" s="97"/>
      <c r="CT123" s="97"/>
      <c r="CU123" s="97"/>
      <c r="CV123" s="97"/>
      <c r="CW123" s="97"/>
      <c r="CX123" s="97"/>
      <c r="CY123" s="97"/>
      <c r="CZ123" s="97"/>
      <c r="DA123" s="97"/>
      <c r="DB123" s="97"/>
      <c r="DC123" s="97"/>
      <c r="DD123" s="97"/>
      <c r="DE123" s="97"/>
      <c r="DF123" s="97"/>
      <c r="DG123" s="97"/>
      <c r="DH123" s="97"/>
      <c r="DI123" s="97"/>
      <c r="DJ123" s="97"/>
      <c r="DK123" s="97"/>
      <c r="DL123" s="97"/>
      <c r="DM123" s="97"/>
      <c r="DN123" s="97"/>
      <c r="DO123" s="97"/>
      <c r="DP123" s="97"/>
      <c r="DQ123" s="97"/>
      <c r="DR123" s="97"/>
      <c r="DS123" s="97"/>
      <c r="DT123" s="97"/>
      <c r="DU123" s="97"/>
      <c r="DV123" s="97"/>
      <c r="DW123" s="97"/>
      <c r="DX123" s="97"/>
      <c r="DY123" s="97"/>
      <c r="DZ123" s="97"/>
      <c r="EA123" s="97"/>
      <c r="EB123" s="97"/>
      <c r="EC123" s="97"/>
      <c r="ED123" s="97"/>
      <c r="EE123" s="97"/>
      <c r="EF123" s="97"/>
      <c r="EG123" s="97"/>
      <c r="EH123" s="97"/>
      <c r="EI123" s="97"/>
      <c r="EJ123" s="97"/>
      <c r="EK123" s="97"/>
      <c r="EL123" s="97"/>
      <c r="EM123" s="97"/>
      <c r="EN123" s="97"/>
      <c r="EO123" s="97"/>
      <c r="EP123" s="97"/>
      <c r="EQ123" s="97"/>
      <c r="ER123" s="97"/>
      <c r="ES123" s="97"/>
      <c r="ET123" s="97"/>
      <c r="EU123" s="97"/>
      <c r="EV123" s="97"/>
      <c r="EW123" s="97"/>
      <c r="EX123" s="97"/>
      <c r="EY123" s="97"/>
      <c r="EZ123" s="97"/>
      <c r="FA123" s="97"/>
      <c r="FB123" s="97"/>
      <c r="FC123" s="97"/>
      <c r="FD123" s="97"/>
      <c r="FE123" s="97"/>
      <c r="FF123" s="97"/>
      <c r="FG123" s="97"/>
      <c r="FH123" s="97"/>
      <c r="FI123" s="97"/>
      <c r="FJ123" s="97"/>
      <c r="FK123" s="97"/>
      <c r="FL123" s="97"/>
      <c r="FM123" s="97"/>
      <c r="FN123" s="97"/>
      <c r="FO123" s="97"/>
      <c r="FP123" s="97"/>
      <c r="FQ123" s="97"/>
      <c r="FR123" s="97"/>
      <c r="FS123" s="97"/>
      <c r="FT123" s="97"/>
      <c r="FU123" s="97"/>
      <c r="FV123" s="97"/>
      <c r="FW123" s="97"/>
      <c r="FX123" s="97"/>
      <c r="FY123" s="97"/>
      <c r="FZ123" s="97"/>
      <c r="GA123" s="97"/>
      <c r="GB123" s="97"/>
      <c r="GC123" s="97"/>
      <c r="GD123" s="97"/>
      <c r="GE123" s="97"/>
      <c r="GF123" s="97"/>
      <c r="GG123" s="97"/>
      <c r="GH123" s="97"/>
      <c r="GI123" s="97"/>
      <c r="GJ123" s="97"/>
      <c r="GK123" s="97"/>
      <c r="GL123" s="97"/>
      <c r="GM123" s="97"/>
      <c r="GN123" s="97"/>
      <c r="GO123" s="97"/>
      <c r="GP123" s="97"/>
      <c r="GQ123" s="97"/>
      <c r="GR123" s="97"/>
      <c r="GS123" s="97"/>
      <c r="GT123" s="97"/>
      <c r="GU123" s="97"/>
      <c r="GV123" s="97"/>
      <c r="GW123" s="97"/>
      <c r="GX123" s="97"/>
      <c r="GY123" s="97"/>
      <c r="GZ123" s="97"/>
      <c r="HA123" s="97"/>
      <c r="HB123" s="97"/>
      <c r="HC123" s="97"/>
      <c r="HD123" s="97"/>
      <c r="HE123" s="97"/>
      <c r="HF123" s="97"/>
      <c r="HG123" s="97"/>
      <c r="HH123" s="97"/>
      <c r="HI123" s="97"/>
      <c r="HJ123" s="97"/>
      <c r="HK123" s="97"/>
      <c r="HL123" s="97"/>
      <c r="HM123" s="97"/>
      <c r="HN123" s="97"/>
      <c r="HO123" s="97"/>
      <c r="HP123" s="97"/>
      <c r="HQ123" s="97"/>
      <c r="HR123" s="97"/>
      <c r="HS123" s="97"/>
      <c r="HT123" s="97"/>
      <c r="HU123" s="97"/>
      <c r="HV123" s="97"/>
      <c r="HW123" s="97"/>
      <c r="HX123" s="97"/>
      <c r="HY123" s="97"/>
      <c r="HZ123" s="97"/>
      <c r="IA123" s="97"/>
      <c r="IB123" s="97"/>
      <c r="IC123" s="97"/>
      <c r="ID123" s="97"/>
      <c r="IE123" s="97"/>
      <c r="IF123" s="97"/>
      <c r="IG123" s="97"/>
      <c r="IH123" s="97"/>
      <c r="II123" s="97"/>
      <c r="IJ123" s="97"/>
      <c r="IK123" s="97"/>
      <c r="IL123" s="97"/>
      <c r="IM123" s="97"/>
      <c r="IN123" s="97"/>
      <c r="IO123" s="97"/>
      <c r="IP123" s="97"/>
      <c r="IQ123" s="97"/>
      <c r="IR123" s="97"/>
      <c r="IS123" s="97"/>
    </row>
    <row r="124" spans="1:253" hidden="1">
      <c r="A124" s="28"/>
      <c r="J124" s="6">
        <v>71</v>
      </c>
      <c r="K124" s="19" t="str">
        <f>'Data Export'!B72</f>
        <v/>
      </c>
      <c r="L124" s="22" t="str">
        <f>IF(K124="", "", 'Combination Ovens'!AD14)</f>
        <v/>
      </c>
      <c r="M124" s="22" t="str">
        <f>IF(K124="", "", 'Combination Ovens'!AE14)</f>
        <v/>
      </c>
      <c r="N124" s="6" t="str">
        <f>IF(K124="", "", 'Combination Ovens'!J14)</f>
        <v/>
      </c>
      <c r="O124" s="83" t="str">
        <f>IF(K124="", "", 'Combination Ovens'!AF14)</f>
        <v/>
      </c>
      <c r="P124" s="6" t="str">
        <f t="shared" si="8"/>
        <v/>
      </c>
      <c r="Q124" s="97"/>
      <c r="R124" s="146">
        <v>88</v>
      </c>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97"/>
      <c r="AU124" s="97"/>
      <c r="AV124" s="97"/>
      <c r="AW124" s="97"/>
      <c r="AX124" s="97"/>
      <c r="AY124" s="97"/>
      <c r="AZ124" s="97"/>
      <c r="BA124" s="97"/>
      <c r="BB124" s="97"/>
      <c r="BC124" s="97"/>
      <c r="BD124" s="97"/>
      <c r="BE124" s="97"/>
      <c r="BF124" s="97"/>
      <c r="BG124" s="97"/>
      <c r="BH124" s="97"/>
      <c r="BI124" s="97"/>
      <c r="BJ124" s="97"/>
      <c r="BK124" s="97"/>
      <c r="BL124" s="97"/>
      <c r="BM124" s="97"/>
      <c r="BN124" s="97"/>
      <c r="BO124" s="97"/>
      <c r="BP124" s="97"/>
      <c r="BQ124" s="97"/>
      <c r="BR124" s="97"/>
      <c r="BS124" s="97"/>
      <c r="BT124" s="97"/>
      <c r="BU124" s="97"/>
      <c r="BV124" s="97"/>
      <c r="BW124" s="97"/>
      <c r="BX124" s="97"/>
      <c r="BY124" s="97"/>
      <c r="BZ124" s="97"/>
      <c r="CA124" s="97"/>
      <c r="CB124" s="97"/>
      <c r="CC124" s="97"/>
      <c r="CD124" s="97"/>
      <c r="CE124" s="97"/>
      <c r="CF124" s="97"/>
      <c r="CG124" s="97"/>
      <c r="CH124" s="97"/>
      <c r="CI124" s="97"/>
      <c r="CJ124" s="97"/>
      <c r="CK124" s="97"/>
      <c r="CL124" s="97"/>
      <c r="CM124" s="97"/>
      <c r="CN124" s="97"/>
      <c r="CO124" s="97"/>
      <c r="CP124" s="97"/>
      <c r="CQ124" s="97"/>
      <c r="CR124" s="97"/>
      <c r="CS124" s="97"/>
      <c r="CT124" s="97"/>
      <c r="CU124" s="97"/>
      <c r="CV124" s="97"/>
      <c r="CW124" s="97"/>
      <c r="CX124" s="97"/>
      <c r="CY124" s="97"/>
      <c r="CZ124" s="97"/>
      <c r="DA124" s="97"/>
      <c r="DB124" s="97"/>
      <c r="DC124" s="97"/>
      <c r="DD124" s="97"/>
      <c r="DE124" s="97"/>
      <c r="DF124" s="97"/>
      <c r="DG124" s="97"/>
      <c r="DH124" s="97"/>
      <c r="DI124" s="97"/>
      <c r="DJ124" s="97"/>
      <c r="DK124" s="97"/>
      <c r="DL124" s="97"/>
      <c r="DM124" s="97"/>
      <c r="DN124" s="97"/>
      <c r="DO124" s="97"/>
      <c r="DP124" s="97"/>
      <c r="DQ124" s="97"/>
      <c r="DR124" s="97"/>
      <c r="DS124" s="97"/>
      <c r="DT124" s="97"/>
      <c r="DU124" s="97"/>
      <c r="DV124" s="97"/>
      <c r="DW124" s="97"/>
      <c r="DX124" s="97"/>
      <c r="DY124" s="97"/>
      <c r="DZ124" s="97"/>
      <c r="EA124" s="97"/>
      <c r="EB124" s="97"/>
      <c r="EC124" s="97"/>
      <c r="ED124" s="97"/>
      <c r="EE124" s="97"/>
      <c r="EF124" s="97"/>
      <c r="EG124" s="97"/>
      <c r="EH124" s="97"/>
      <c r="EI124" s="97"/>
      <c r="EJ124" s="97"/>
      <c r="EK124" s="97"/>
      <c r="EL124" s="97"/>
      <c r="EM124" s="97"/>
      <c r="EN124" s="97"/>
      <c r="EO124" s="97"/>
      <c r="EP124" s="97"/>
      <c r="EQ124" s="97"/>
      <c r="ER124" s="97"/>
      <c r="ES124" s="97"/>
      <c r="ET124" s="97"/>
      <c r="EU124" s="97"/>
      <c r="EV124" s="97"/>
      <c r="EW124" s="97"/>
      <c r="EX124" s="97"/>
      <c r="EY124" s="97"/>
      <c r="EZ124" s="97"/>
      <c r="FA124" s="97"/>
      <c r="FB124" s="97"/>
      <c r="FC124" s="97"/>
      <c r="FD124" s="97"/>
      <c r="FE124" s="97"/>
      <c r="FF124" s="97"/>
      <c r="FG124" s="97"/>
      <c r="FH124" s="97"/>
      <c r="FI124" s="97"/>
      <c r="FJ124" s="97"/>
      <c r="FK124" s="97"/>
      <c r="FL124" s="97"/>
      <c r="FM124" s="97"/>
      <c r="FN124" s="97"/>
      <c r="FO124" s="97"/>
      <c r="FP124" s="97"/>
      <c r="FQ124" s="97"/>
      <c r="FR124" s="97"/>
      <c r="FS124" s="97"/>
      <c r="FT124" s="97"/>
      <c r="FU124" s="97"/>
      <c r="FV124" s="97"/>
      <c r="FW124" s="97"/>
      <c r="FX124" s="97"/>
      <c r="FY124" s="97"/>
      <c r="FZ124" s="97"/>
      <c r="GA124" s="97"/>
      <c r="GB124" s="97"/>
      <c r="GC124" s="97"/>
      <c r="GD124" s="97"/>
      <c r="GE124" s="97"/>
      <c r="GF124" s="97"/>
      <c r="GG124" s="97"/>
      <c r="GH124" s="97"/>
      <c r="GI124" s="97"/>
      <c r="GJ124" s="97"/>
      <c r="GK124" s="97"/>
      <c r="GL124" s="97"/>
      <c r="GM124" s="97"/>
      <c r="GN124" s="97"/>
      <c r="GO124" s="97"/>
      <c r="GP124" s="97"/>
      <c r="GQ124" s="97"/>
      <c r="GR124" s="97"/>
      <c r="GS124" s="97"/>
      <c r="GT124" s="97"/>
      <c r="GU124" s="97"/>
      <c r="GV124" s="97"/>
      <c r="GW124" s="97"/>
      <c r="GX124" s="97"/>
      <c r="GY124" s="97"/>
      <c r="GZ124" s="97"/>
      <c r="HA124" s="97"/>
      <c r="HB124" s="97"/>
      <c r="HC124" s="97"/>
      <c r="HD124" s="97"/>
      <c r="HE124" s="97"/>
      <c r="HF124" s="97"/>
      <c r="HG124" s="97"/>
      <c r="HH124" s="97"/>
      <c r="HI124" s="97"/>
      <c r="HJ124" s="97"/>
      <c r="HK124" s="97"/>
      <c r="HL124" s="97"/>
      <c r="HM124" s="97"/>
      <c r="HN124" s="97"/>
      <c r="HO124" s="97"/>
      <c r="HP124" s="97"/>
      <c r="HQ124" s="97"/>
      <c r="HR124" s="97"/>
      <c r="HS124" s="97"/>
      <c r="HT124" s="97"/>
      <c r="HU124" s="97"/>
      <c r="HV124" s="97"/>
      <c r="HW124" s="97"/>
      <c r="HX124" s="97"/>
      <c r="HY124" s="97"/>
      <c r="HZ124" s="97"/>
      <c r="IA124" s="97"/>
      <c r="IB124" s="97"/>
      <c r="IC124" s="97"/>
      <c r="ID124" s="97"/>
      <c r="IE124" s="97"/>
      <c r="IF124" s="97"/>
      <c r="IG124" s="97"/>
      <c r="IH124" s="97"/>
      <c r="II124" s="97"/>
      <c r="IJ124" s="97"/>
      <c r="IK124" s="97"/>
      <c r="IL124" s="97"/>
      <c r="IM124" s="97"/>
      <c r="IN124" s="97"/>
      <c r="IO124" s="97"/>
      <c r="IP124" s="97"/>
      <c r="IQ124" s="97"/>
      <c r="IR124" s="97"/>
      <c r="IS124" s="97"/>
    </row>
    <row r="125" spans="1:253" hidden="1">
      <c r="A125" s="28"/>
      <c r="J125" s="6">
        <v>72</v>
      </c>
      <c r="K125" s="19" t="str">
        <f>'Data Export'!B73</f>
        <v/>
      </c>
      <c r="L125" s="22" t="str">
        <f>IF(K125="", "", 'Combination Ovens'!AD15)</f>
        <v/>
      </c>
      <c r="M125" s="22" t="str">
        <f>IF(K125="", "", 'Combination Ovens'!AE15)</f>
        <v/>
      </c>
      <c r="N125" s="6" t="str">
        <f>IF(K125="", "", 'Combination Ovens'!J15)</f>
        <v/>
      </c>
      <c r="O125" s="83" t="str">
        <f>IF(K125="", "", 'Combination Ovens'!AF15)</f>
        <v/>
      </c>
      <c r="P125" s="6" t="str">
        <f t="shared" si="8"/>
        <v/>
      </c>
      <c r="Q125" s="97"/>
      <c r="R125" s="146">
        <v>89</v>
      </c>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7"/>
      <c r="BR125" s="97"/>
      <c r="BS125" s="97"/>
      <c r="BT125" s="97"/>
      <c r="BU125" s="97"/>
      <c r="BV125" s="97"/>
      <c r="BW125" s="97"/>
      <c r="BX125" s="97"/>
      <c r="BY125" s="97"/>
      <c r="BZ125" s="97"/>
      <c r="CA125" s="97"/>
      <c r="CB125" s="97"/>
      <c r="CC125" s="97"/>
      <c r="CD125" s="97"/>
      <c r="CE125" s="97"/>
      <c r="CF125" s="97"/>
      <c r="CG125" s="97"/>
      <c r="CH125" s="97"/>
      <c r="CI125" s="97"/>
      <c r="CJ125" s="97"/>
      <c r="CK125" s="97"/>
      <c r="CL125" s="97"/>
      <c r="CM125" s="97"/>
      <c r="CN125" s="97"/>
      <c r="CO125" s="97"/>
      <c r="CP125" s="97"/>
      <c r="CQ125" s="97"/>
      <c r="CR125" s="97"/>
      <c r="CS125" s="97"/>
      <c r="CT125" s="97"/>
      <c r="CU125" s="97"/>
      <c r="CV125" s="97"/>
      <c r="CW125" s="97"/>
      <c r="CX125" s="97"/>
      <c r="CY125" s="97"/>
      <c r="CZ125" s="97"/>
      <c r="DA125" s="97"/>
      <c r="DB125" s="97"/>
      <c r="DC125" s="97"/>
      <c r="DD125" s="97"/>
      <c r="DE125" s="97"/>
      <c r="DF125" s="97"/>
      <c r="DG125" s="97"/>
      <c r="DH125" s="97"/>
      <c r="DI125" s="97"/>
      <c r="DJ125" s="97"/>
      <c r="DK125" s="97"/>
      <c r="DL125" s="97"/>
      <c r="DM125" s="97"/>
      <c r="DN125" s="97"/>
      <c r="DO125" s="97"/>
      <c r="DP125" s="97"/>
      <c r="DQ125" s="97"/>
      <c r="DR125" s="97"/>
      <c r="DS125" s="97"/>
      <c r="DT125" s="97"/>
      <c r="DU125" s="97"/>
      <c r="DV125" s="97"/>
      <c r="DW125" s="97"/>
      <c r="DX125" s="97"/>
      <c r="DY125" s="97"/>
      <c r="DZ125" s="97"/>
      <c r="EA125" s="97"/>
      <c r="EB125" s="97"/>
      <c r="EC125" s="97"/>
      <c r="ED125" s="97"/>
      <c r="EE125" s="97"/>
      <c r="EF125" s="97"/>
      <c r="EG125" s="97"/>
      <c r="EH125" s="97"/>
      <c r="EI125" s="97"/>
      <c r="EJ125" s="97"/>
      <c r="EK125" s="97"/>
      <c r="EL125" s="97"/>
      <c r="EM125" s="97"/>
      <c r="EN125" s="97"/>
      <c r="EO125" s="97"/>
      <c r="EP125" s="97"/>
      <c r="EQ125" s="97"/>
      <c r="ER125" s="97"/>
      <c r="ES125" s="97"/>
      <c r="ET125" s="97"/>
      <c r="EU125" s="97"/>
      <c r="EV125" s="97"/>
      <c r="EW125" s="97"/>
      <c r="EX125" s="97"/>
      <c r="EY125" s="97"/>
      <c r="EZ125" s="97"/>
      <c r="FA125" s="97"/>
      <c r="FB125" s="97"/>
      <c r="FC125" s="97"/>
      <c r="FD125" s="97"/>
      <c r="FE125" s="97"/>
      <c r="FF125" s="97"/>
      <c r="FG125" s="97"/>
      <c r="FH125" s="97"/>
      <c r="FI125" s="97"/>
      <c r="FJ125" s="97"/>
      <c r="FK125" s="97"/>
      <c r="FL125" s="97"/>
      <c r="FM125" s="97"/>
      <c r="FN125" s="97"/>
      <c r="FO125" s="97"/>
      <c r="FP125" s="97"/>
      <c r="FQ125" s="97"/>
      <c r="FR125" s="97"/>
      <c r="FS125" s="97"/>
      <c r="FT125" s="97"/>
      <c r="FU125" s="97"/>
      <c r="FV125" s="97"/>
      <c r="FW125" s="97"/>
      <c r="FX125" s="97"/>
      <c r="FY125" s="97"/>
      <c r="FZ125" s="97"/>
      <c r="GA125" s="97"/>
      <c r="GB125" s="97"/>
      <c r="GC125" s="97"/>
      <c r="GD125" s="97"/>
      <c r="GE125" s="97"/>
      <c r="GF125" s="97"/>
      <c r="GG125" s="97"/>
      <c r="GH125" s="97"/>
      <c r="GI125" s="97"/>
      <c r="GJ125" s="97"/>
      <c r="GK125" s="97"/>
      <c r="GL125" s="97"/>
      <c r="GM125" s="97"/>
      <c r="GN125" s="97"/>
      <c r="GO125" s="97"/>
      <c r="GP125" s="97"/>
      <c r="GQ125" s="97"/>
      <c r="GR125" s="97"/>
      <c r="GS125" s="97"/>
      <c r="GT125" s="97"/>
      <c r="GU125" s="97"/>
      <c r="GV125" s="97"/>
      <c r="GW125" s="97"/>
      <c r="GX125" s="97"/>
      <c r="GY125" s="97"/>
      <c r="GZ125" s="97"/>
      <c r="HA125" s="97"/>
      <c r="HB125" s="97"/>
      <c r="HC125" s="97"/>
      <c r="HD125" s="97"/>
      <c r="HE125" s="97"/>
      <c r="HF125" s="97"/>
      <c r="HG125" s="97"/>
      <c r="HH125" s="97"/>
      <c r="HI125" s="97"/>
      <c r="HJ125" s="97"/>
      <c r="HK125" s="97"/>
      <c r="HL125" s="97"/>
      <c r="HM125" s="97"/>
      <c r="HN125" s="97"/>
      <c r="HO125" s="97"/>
      <c r="HP125" s="97"/>
      <c r="HQ125" s="97"/>
      <c r="HR125" s="97"/>
      <c r="HS125" s="97"/>
      <c r="HT125" s="97"/>
      <c r="HU125" s="97"/>
      <c r="HV125" s="97"/>
      <c r="HW125" s="97"/>
      <c r="HX125" s="97"/>
      <c r="HY125" s="97"/>
      <c r="HZ125" s="97"/>
      <c r="IA125" s="97"/>
      <c r="IB125" s="97"/>
      <c r="IC125" s="97"/>
      <c r="ID125" s="97"/>
      <c r="IE125" s="97"/>
      <c r="IF125" s="97"/>
      <c r="IG125" s="97"/>
      <c r="IH125" s="97"/>
      <c r="II125" s="97"/>
      <c r="IJ125" s="97"/>
      <c r="IK125" s="97"/>
      <c r="IL125" s="97"/>
      <c r="IM125" s="97"/>
      <c r="IN125" s="97"/>
      <c r="IO125" s="97"/>
      <c r="IP125" s="97"/>
      <c r="IQ125" s="97"/>
      <c r="IR125" s="97"/>
      <c r="IS125" s="97"/>
    </row>
    <row r="126" spans="1:253" hidden="1">
      <c r="A126" s="28"/>
      <c r="K126" s="84" t="s">
        <v>77</v>
      </c>
      <c r="L126" s="22">
        <f>SUM(L118:L125)</f>
        <v>0</v>
      </c>
      <c r="M126" s="90">
        <f>SUM(M118:M125)</f>
        <v>0</v>
      </c>
      <c r="N126" s="31">
        <f>SUM(N118:N125)</f>
        <v>0</v>
      </c>
      <c r="O126" s="83">
        <f>SUM(O118:O125)</f>
        <v>0</v>
      </c>
      <c r="Q126" s="97"/>
      <c r="R126" s="146">
        <v>90</v>
      </c>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7"/>
      <c r="AT126" s="97"/>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97"/>
      <c r="CE126" s="97"/>
      <c r="CF126" s="97"/>
      <c r="CG126" s="97"/>
      <c r="CH126" s="97"/>
      <c r="CI126" s="97"/>
      <c r="CJ126" s="97"/>
      <c r="CK126" s="97"/>
      <c r="CL126" s="97"/>
      <c r="CM126" s="97"/>
      <c r="CN126" s="97"/>
      <c r="CO126" s="97"/>
      <c r="CP126" s="97"/>
      <c r="CQ126" s="97"/>
      <c r="CR126" s="97"/>
      <c r="CS126" s="97"/>
      <c r="CT126" s="97"/>
      <c r="CU126" s="97"/>
      <c r="CV126" s="97"/>
      <c r="CW126" s="97"/>
      <c r="CX126" s="97"/>
      <c r="CY126" s="97"/>
      <c r="CZ126" s="97"/>
      <c r="DA126" s="97"/>
      <c r="DB126" s="97"/>
      <c r="DC126" s="97"/>
      <c r="DD126" s="97"/>
      <c r="DE126" s="97"/>
      <c r="DF126" s="97"/>
      <c r="DG126" s="97"/>
      <c r="DH126" s="97"/>
      <c r="DI126" s="97"/>
      <c r="DJ126" s="97"/>
      <c r="DK126" s="97"/>
      <c r="DL126" s="97"/>
      <c r="DM126" s="97"/>
      <c r="DN126" s="97"/>
      <c r="DO126" s="97"/>
      <c r="DP126" s="97"/>
      <c r="DQ126" s="97"/>
      <c r="DR126" s="97"/>
      <c r="DS126" s="97"/>
      <c r="DT126" s="97"/>
      <c r="DU126" s="97"/>
      <c r="DV126" s="97"/>
      <c r="DW126" s="97"/>
      <c r="DX126" s="97"/>
      <c r="DY126" s="97"/>
      <c r="DZ126" s="97"/>
      <c r="EA126" s="97"/>
      <c r="EB126" s="97"/>
      <c r="EC126" s="97"/>
      <c r="ED126" s="97"/>
      <c r="EE126" s="97"/>
      <c r="EF126" s="97"/>
      <c r="EG126" s="97"/>
      <c r="EH126" s="97"/>
      <c r="EI126" s="97"/>
      <c r="EJ126" s="97"/>
      <c r="EK126" s="97"/>
      <c r="EL126" s="97"/>
      <c r="EM126" s="97"/>
      <c r="EN126" s="97"/>
      <c r="EO126" s="97"/>
      <c r="EP126" s="97"/>
      <c r="EQ126" s="97"/>
      <c r="ER126" s="97"/>
      <c r="ES126" s="97"/>
      <c r="ET126" s="97"/>
      <c r="EU126" s="97"/>
      <c r="EV126" s="97"/>
      <c r="EW126" s="97"/>
      <c r="EX126" s="97"/>
      <c r="EY126" s="97"/>
      <c r="EZ126" s="97"/>
      <c r="FA126" s="97"/>
      <c r="FB126" s="97"/>
      <c r="FC126" s="97"/>
      <c r="FD126" s="97"/>
      <c r="FE126" s="97"/>
      <c r="FF126" s="97"/>
      <c r="FG126" s="97"/>
      <c r="FH126" s="97"/>
      <c r="FI126" s="97"/>
      <c r="FJ126" s="97"/>
      <c r="FK126" s="97"/>
      <c r="FL126" s="97"/>
      <c r="FM126" s="97"/>
      <c r="FN126" s="97"/>
      <c r="FO126" s="97"/>
      <c r="FP126" s="97"/>
      <c r="FQ126" s="97"/>
      <c r="FR126" s="97"/>
      <c r="FS126" s="97"/>
      <c r="FT126" s="97"/>
      <c r="FU126" s="97"/>
      <c r="FV126" s="97"/>
      <c r="FW126" s="97"/>
      <c r="FX126" s="97"/>
      <c r="FY126" s="97"/>
      <c r="FZ126" s="97"/>
      <c r="GA126" s="97"/>
      <c r="GB126" s="97"/>
      <c r="GC126" s="97"/>
      <c r="GD126" s="97"/>
      <c r="GE126" s="97"/>
      <c r="GF126" s="97"/>
      <c r="GG126" s="97"/>
      <c r="GH126" s="97"/>
      <c r="GI126" s="97"/>
      <c r="GJ126" s="97"/>
      <c r="GK126" s="97"/>
      <c r="GL126" s="97"/>
      <c r="GM126" s="97"/>
      <c r="GN126" s="97"/>
      <c r="GO126" s="97"/>
      <c r="GP126" s="97"/>
      <c r="GQ126" s="97"/>
      <c r="GR126" s="97"/>
      <c r="GS126" s="97"/>
      <c r="GT126" s="97"/>
      <c r="GU126" s="97"/>
      <c r="GV126" s="97"/>
      <c r="GW126" s="97"/>
      <c r="GX126" s="97"/>
      <c r="GY126" s="97"/>
      <c r="GZ126" s="97"/>
      <c r="HA126" s="97"/>
      <c r="HB126" s="97"/>
      <c r="HC126" s="97"/>
      <c r="HD126" s="97"/>
      <c r="HE126" s="97"/>
      <c r="HF126" s="97"/>
      <c r="HG126" s="97"/>
      <c r="HH126" s="97"/>
      <c r="HI126" s="97"/>
      <c r="HJ126" s="97"/>
      <c r="HK126" s="97"/>
      <c r="HL126" s="97"/>
      <c r="HM126" s="97"/>
      <c r="HN126" s="97"/>
      <c r="HO126" s="97"/>
      <c r="HP126" s="97"/>
      <c r="HQ126" s="97"/>
      <c r="HR126" s="97"/>
      <c r="HS126" s="97"/>
      <c r="HT126" s="97"/>
      <c r="HU126" s="97"/>
      <c r="HV126" s="97"/>
      <c r="HW126" s="97"/>
      <c r="HX126" s="97"/>
      <c r="HY126" s="97"/>
      <c r="HZ126" s="97"/>
      <c r="IA126" s="97"/>
      <c r="IB126" s="97"/>
      <c r="IC126" s="97"/>
      <c r="ID126" s="97"/>
      <c r="IE126" s="97"/>
      <c r="IF126" s="97"/>
      <c r="IG126" s="97"/>
      <c r="IH126" s="97"/>
      <c r="II126" s="97"/>
      <c r="IJ126" s="97"/>
      <c r="IK126" s="97"/>
      <c r="IL126" s="97"/>
      <c r="IM126" s="97"/>
      <c r="IN126" s="97"/>
      <c r="IO126" s="97"/>
      <c r="IP126" s="97"/>
      <c r="IQ126" s="97"/>
      <c r="IR126" s="97"/>
      <c r="IS126" s="97"/>
    </row>
    <row r="127" spans="1:253" hidden="1">
      <c r="A127" s="28"/>
      <c r="J127" s="86" t="s">
        <v>73</v>
      </c>
      <c r="L127" s="37"/>
      <c r="M127" s="36"/>
      <c r="N127" s="38"/>
      <c r="O127" s="35"/>
      <c r="P127" s="82" t="s">
        <v>76</v>
      </c>
      <c r="Q127" s="97"/>
      <c r="R127" s="146">
        <v>91</v>
      </c>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BJ127" s="97"/>
      <c r="BK127" s="97"/>
      <c r="BL127" s="97"/>
      <c r="BM127" s="97"/>
      <c r="BN127" s="97"/>
      <c r="BO127" s="97"/>
      <c r="BP127" s="97"/>
      <c r="BQ127" s="97"/>
      <c r="BR127" s="97"/>
      <c r="BS127" s="97"/>
      <c r="BT127" s="97"/>
      <c r="BU127" s="97"/>
      <c r="BV127" s="97"/>
      <c r="BW127" s="97"/>
      <c r="BX127" s="97"/>
      <c r="BY127" s="97"/>
      <c r="BZ127" s="97"/>
      <c r="CA127" s="97"/>
      <c r="CB127" s="97"/>
      <c r="CC127" s="97"/>
      <c r="CD127" s="97"/>
      <c r="CE127" s="97"/>
      <c r="CF127" s="97"/>
      <c r="CG127" s="97"/>
      <c r="CH127" s="97"/>
      <c r="CI127" s="97"/>
      <c r="CJ127" s="97"/>
      <c r="CK127" s="97"/>
      <c r="CL127" s="97"/>
      <c r="CM127" s="97"/>
      <c r="CN127" s="97"/>
      <c r="CO127" s="97"/>
      <c r="CP127" s="97"/>
      <c r="CQ127" s="97"/>
      <c r="CR127" s="97"/>
      <c r="CS127" s="97"/>
      <c r="CT127" s="97"/>
      <c r="CU127" s="97"/>
      <c r="CV127" s="97"/>
      <c r="CW127" s="97"/>
      <c r="CX127" s="97"/>
      <c r="CY127" s="97"/>
      <c r="CZ127" s="97"/>
      <c r="DA127" s="97"/>
      <c r="DB127" s="97"/>
      <c r="DC127" s="97"/>
      <c r="DD127" s="97"/>
      <c r="DE127" s="97"/>
      <c r="DF127" s="97"/>
      <c r="DG127" s="97"/>
      <c r="DH127" s="97"/>
      <c r="DI127" s="97"/>
      <c r="DJ127" s="97"/>
      <c r="DK127" s="97"/>
      <c r="DL127" s="97"/>
      <c r="DM127" s="97"/>
      <c r="DN127" s="97"/>
      <c r="DO127" s="97"/>
      <c r="DP127" s="97"/>
      <c r="DQ127" s="97"/>
      <c r="DR127" s="97"/>
      <c r="DS127" s="97"/>
      <c r="DT127" s="97"/>
      <c r="DU127" s="97"/>
      <c r="DV127" s="97"/>
      <c r="DW127" s="97"/>
      <c r="DX127" s="97"/>
      <c r="DY127" s="97"/>
      <c r="DZ127" s="97"/>
      <c r="EA127" s="97"/>
      <c r="EB127" s="97"/>
      <c r="EC127" s="97"/>
      <c r="ED127" s="97"/>
      <c r="EE127" s="97"/>
      <c r="EF127" s="97"/>
      <c r="EG127" s="97"/>
      <c r="EH127" s="97"/>
      <c r="EI127" s="97"/>
      <c r="EJ127" s="97"/>
      <c r="EK127" s="97"/>
      <c r="EL127" s="97"/>
      <c r="EM127" s="97"/>
      <c r="EN127" s="97"/>
      <c r="EO127" s="97"/>
      <c r="EP127" s="97"/>
      <c r="EQ127" s="97"/>
      <c r="ER127" s="97"/>
      <c r="ES127" s="97"/>
      <c r="ET127" s="97"/>
      <c r="EU127" s="97"/>
      <c r="EV127" s="97"/>
      <c r="EW127" s="97"/>
      <c r="EX127" s="97"/>
      <c r="EY127" s="97"/>
      <c r="EZ127" s="97"/>
      <c r="FA127" s="97"/>
      <c r="FB127" s="97"/>
      <c r="FC127" s="97"/>
      <c r="FD127" s="97"/>
      <c r="FE127" s="97"/>
      <c r="FF127" s="97"/>
      <c r="FG127" s="97"/>
      <c r="FH127" s="97"/>
      <c r="FI127" s="97"/>
      <c r="FJ127" s="97"/>
      <c r="FK127" s="97"/>
      <c r="FL127" s="97"/>
      <c r="FM127" s="97"/>
      <c r="FN127" s="97"/>
      <c r="FO127" s="97"/>
      <c r="FP127" s="97"/>
      <c r="FQ127" s="97"/>
      <c r="FR127" s="97"/>
      <c r="FS127" s="97"/>
      <c r="FT127" s="97"/>
      <c r="FU127" s="97"/>
      <c r="FV127" s="97"/>
      <c r="FW127" s="97"/>
      <c r="FX127" s="97"/>
      <c r="FY127" s="97"/>
      <c r="FZ127" s="97"/>
      <c r="GA127" s="97"/>
      <c r="GB127" s="97"/>
      <c r="GC127" s="97"/>
      <c r="GD127" s="97"/>
      <c r="GE127" s="97"/>
      <c r="GF127" s="97"/>
      <c r="GG127" s="97"/>
      <c r="GH127" s="97"/>
      <c r="GI127" s="97"/>
      <c r="GJ127" s="97"/>
      <c r="GK127" s="97"/>
      <c r="GL127" s="97"/>
      <c r="GM127" s="97"/>
      <c r="GN127" s="97"/>
      <c r="GO127" s="97"/>
      <c r="GP127" s="97"/>
      <c r="GQ127" s="97"/>
      <c r="GR127" s="97"/>
      <c r="GS127" s="97"/>
      <c r="GT127" s="97"/>
      <c r="GU127" s="97"/>
      <c r="GV127" s="97"/>
      <c r="GW127" s="97"/>
      <c r="GX127" s="97"/>
      <c r="GY127" s="97"/>
      <c r="GZ127" s="97"/>
      <c r="HA127" s="97"/>
      <c r="HB127" s="97"/>
      <c r="HC127" s="97"/>
      <c r="HD127" s="97"/>
      <c r="HE127" s="97"/>
      <c r="HF127" s="97"/>
      <c r="HG127" s="97"/>
      <c r="HH127" s="97"/>
      <c r="HI127" s="97"/>
      <c r="HJ127" s="97"/>
      <c r="HK127" s="97"/>
      <c r="HL127" s="97"/>
      <c r="HM127" s="97"/>
      <c r="HN127" s="97"/>
      <c r="HO127" s="97"/>
      <c r="HP127" s="97"/>
      <c r="HQ127" s="97"/>
      <c r="HR127" s="97"/>
      <c r="HS127" s="97"/>
      <c r="HT127" s="97"/>
      <c r="HU127" s="97"/>
      <c r="HV127" s="97"/>
      <c r="HW127" s="97"/>
      <c r="HX127" s="97"/>
      <c r="HY127" s="97"/>
      <c r="HZ127" s="97"/>
      <c r="IA127" s="97"/>
      <c r="IB127" s="97"/>
      <c r="IC127" s="97"/>
      <c r="ID127" s="97"/>
      <c r="IE127" s="97"/>
      <c r="IF127" s="97"/>
      <c r="IG127" s="97"/>
      <c r="IH127" s="97"/>
      <c r="II127" s="97"/>
      <c r="IJ127" s="97"/>
      <c r="IK127" s="97"/>
      <c r="IL127" s="97"/>
      <c r="IM127" s="97"/>
      <c r="IN127" s="97"/>
      <c r="IO127" s="97"/>
      <c r="IP127" s="97"/>
      <c r="IQ127" s="97"/>
      <c r="IR127" s="97"/>
      <c r="IS127" s="97"/>
    </row>
    <row r="128" spans="1:253" hidden="1">
      <c r="A128" s="28"/>
      <c r="J128" s="6">
        <v>73</v>
      </c>
      <c r="K128" s="19" t="str">
        <f>'Data Export'!B74</f>
        <v/>
      </c>
      <c r="L128" s="22" t="str">
        <f>IF(K128="", "", 'Convection Ovens'!V8)</f>
        <v/>
      </c>
      <c r="M128" s="22" t="str">
        <f>IF(K128="", "", 'Convection Ovens'!W8)</f>
        <v/>
      </c>
      <c r="N128" s="31" t="str">
        <f>IF(K128="", "", 'Convection Ovens'!J8)</f>
        <v/>
      </c>
      <c r="O128" s="83" t="str">
        <f>IF(K128="", "", 'Convection Ovens'!X8)</f>
        <v/>
      </c>
      <c r="P128" s="6" t="str">
        <f t="shared" ref="P128:P135" si="9">IF(K128="","",CONCATENATE($C$10,J128))</f>
        <v/>
      </c>
      <c r="Q128" s="97"/>
      <c r="R128" s="146">
        <v>92</v>
      </c>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7"/>
      <c r="AT128" s="97"/>
      <c r="AU128" s="97"/>
      <c r="AV128" s="97"/>
      <c r="AW128" s="97"/>
      <c r="AX128" s="97"/>
      <c r="AY128" s="97"/>
      <c r="AZ128" s="97"/>
      <c r="BA128" s="97"/>
      <c r="BB128" s="97"/>
      <c r="BC128" s="97"/>
      <c r="BD128" s="97"/>
      <c r="BE128" s="97"/>
      <c r="BF128" s="97"/>
      <c r="BG128" s="97"/>
      <c r="BH128" s="97"/>
      <c r="BI128" s="97"/>
      <c r="BJ128" s="97"/>
      <c r="BK128" s="97"/>
      <c r="BL128" s="97"/>
      <c r="BM128" s="97"/>
      <c r="BN128" s="97"/>
      <c r="BO128" s="97"/>
      <c r="BP128" s="97"/>
      <c r="BQ128" s="97"/>
      <c r="BR128" s="97"/>
      <c r="BS128" s="97"/>
      <c r="BT128" s="97"/>
      <c r="BU128" s="97"/>
      <c r="BV128" s="97"/>
      <c r="BW128" s="97"/>
      <c r="BX128" s="97"/>
      <c r="BY128" s="97"/>
      <c r="BZ128" s="97"/>
      <c r="CA128" s="97"/>
      <c r="CB128" s="97"/>
      <c r="CC128" s="97"/>
      <c r="CD128" s="97"/>
      <c r="CE128" s="97"/>
      <c r="CF128" s="97"/>
      <c r="CG128" s="97"/>
      <c r="CH128" s="97"/>
      <c r="CI128" s="97"/>
      <c r="CJ128" s="97"/>
      <c r="CK128" s="97"/>
      <c r="CL128" s="97"/>
      <c r="CM128" s="97"/>
      <c r="CN128" s="97"/>
      <c r="CO128" s="97"/>
      <c r="CP128" s="97"/>
      <c r="CQ128" s="97"/>
      <c r="CR128" s="97"/>
      <c r="CS128" s="97"/>
      <c r="CT128" s="97"/>
      <c r="CU128" s="97"/>
      <c r="CV128" s="97"/>
      <c r="CW128" s="97"/>
      <c r="CX128" s="97"/>
      <c r="CY128" s="97"/>
      <c r="CZ128" s="97"/>
      <c r="DA128" s="97"/>
      <c r="DB128" s="97"/>
      <c r="DC128" s="97"/>
      <c r="DD128" s="97"/>
      <c r="DE128" s="97"/>
      <c r="DF128" s="97"/>
      <c r="DG128" s="97"/>
      <c r="DH128" s="97"/>
      <c r="DI128" s="97"/>
      <c r="DJ128" s="97"/>
      <c r="DK128" s="97"/>
      <c r="DL128" s="97"/>
      <c r="DM128" s="97"/>
      <c r="DN128" s="97"/>
      <c r="DO128" s="97"/>
      <c r="DP128" s="97"/>
      <c r="DQ128" s="97"/>
      <c r="DR128" s="97"/>
      <c r="DS128" s="97"/>
      <c r="DT128" s="97"/>
      <c r="DU128" s="97"/>
      <c r="DV128" s="97"/>
      <c r="DW128" s="97"/>
      <c r="DX128" s="97"/>
      <c r="DY128" s="97"/>
      <c r="DZ128" s="97"/>
      <c r="EA128" s="97"/>
      <c r="EB128" s="97"/>
      <c r="EC128" s="97"/>
      <c r="ED128" s="97"/>
      <c r="EE128" s="97"/>
      <c r="EF128" s="97"/>
      <c r="EG128" s="97"/>
      <c r="EH128" s="97"/>
      <c r="EI128" s="97"/>
      <c r="EJ128" s="97"/>
      <c r="EK128" s="97"/>
      <c r="EL128" s="97"/>
      <c r="EM128" s="97"/>
      <c r="EN128" s="97"/>
      <c r="EO128" s="97"/>
      <c r="EP128" s="97"/>
      <c r="EQ128" s="97"/>
      <c r="ER128" s="97"/>
      <c r="ES128" s="97"/>
      <c r="ET128" s="97"/>
      <c r="EU128" s="97"/>
      <c r="EV128" s="97"/>
      <c r="EW128" s="97"/>
      <c r="EX128" s="97"/>
      <c r="EY128" s="97"/>
      <c r="EZ128" s="97"/>
      <c r="FA128" s="97"/>
      <c r="FB128" s="97"/>
      <c r="FC128" s="97"/>
      <c r="FD128" s="97"/>
      <c r="FE128" s="97"/>
      <c r="FF128" s="97"/>
      <c r="FG128" s="97"/>
      <c r="FH128" s="97"/>
      <c r="FI128" s="97"/>
      <c r="FJ128" s="97"/>
      <c r="FK128" s="97"/>
      <c r="FL128" s="97"/>
      <c r="FM128" s="97"/>
      <c r="FN128" s="97"/>
      <c r="FO128" s="97"/>
      <c r="FP128" s="97"/>
      <c r="FQ128" s="97"/>
      <c r="FR128" s="97"/>
      <c r="FS128" s="97"/>
      <c r="FT128" s="97"/>
      <c r="FU128" s="97"/>
      <c r="FV128" s="97"/>
      <c r="FW128" s="97"/>
      <c r="FX128" s="97"/>
      <c r="FY128" s="97"/>
      <c r="FZ128" s="97"/>
      <c r="GA128" s="97"/>
      <c r="GB128" s="97"/>
      <c r="GC128" s="97"/>
      <c r="GD128" s="97"/>
      <c r="GE128" s="97"/>
      <c r="GF128" s="97"/>
      <c r="GG128" s="97"/>
      <c r="GH128" s="97"/>
      <c r="GI128" s="97"/>
      <c r="GJ128" s="97"/>
      <c r="GK128" s="97"/>
      <c r="GL128" s="97"/>
      <c r="GM128" s="97"/>
      <c r="GN128" s="97"/>
      <c r="GO128" s="97"/>
      <c r="GP128" s="97"/>
      <c r="GQ128" s="97"/>
      <c r="GR128" s="97"/>
      <c r="GS128" s="97"/>
      <c r="GT128" s="97"/>
      <c r="GU128" s="97"/>
      <c r="GV128" s="97"/>
      <c r="GW128" s="97"/>
      <c r="GX128" s="97"/>
      <c r="GY128" s="97"/>
      <c r="GZ128" s="97"/>
      <c r="HA128" s="97"/>
      <c r="HB128" s="97"/>
      <c r="HC128" s="97"/>
      <c r="HD128" s="97"/>
      <c r="HE128" s="97"/>
      <c r="HF128" s="97"/>
      <c r="HG128" s="97"/>
      <c r="HH128" s="97"/>
      <c r="HI128" s="97"/>
      <c r="HJ128" s="97"/>
      <c r="HK128" s="97"/>
      <c r="HL128" s="97"/>
      <c r="HM128" s="97"/>
      <c r="HN128" s="97"/>
      <c r="HO128" s="97"/>
      <c r="HP128" s="97"/>
      <c r="HQ128" s="97"/>
      <c r="HR128" s="97"/>
      <c r="HS128" s="97"/>
      <c r="HT128" s="97"/>
      <c r="HU128" s="97"/>
      <c r="HV128" s="97"/>
      <c r="HW128" s="97"/>
      <c r="HX128" s="97"/>
      <c r="HY128" s="97"/>
      <c r="HZ128" s="97"/>
      <c r="IA128" s="97"/>
      <c r="IB128" s="97"/>
      <c r="IC128" s="97"/>
      <c r="ID128" s="97"/>
      <c r="IE128" s="97"/>
      <c r="IF128" s="97"/>
      <c r="IG128" s="97"/>
      <c r="IH128" s="97"/>
      <c r="II128" s="97"/>
      <c r="IJ128" s="97"/>
      <c r="IK128" s="97"/>
      <c r="IL128" s="97"/>
      <c r="IM128" s="97"/>
      <c r="IN128" s="97"/>
      <c r="IO128" s="97"/>
      <c r="IP128" s="97"/>
      <c r="IQ128" s="97"/>
      <c r="IR128" s="97"/>
      <c r="IS128" s="97"/>
    </row>
    <row r="129" spans="1:253" hidden="1">
      <c r="A129" s="28"/>
      <c r="J129" s="6">
        <v>74</v>
      </c>
      <c r="K129" s="19" t="str">
        <f>'Data Export'!B75</f>
        <v/>
      </c>
      <c r="L129" s="22" t="str">
        <f>IF(K129="", "", 'Convection Ovens'!V9)</f>
        <v/>
      </c>
      <c r="M129" s="22" t="str">
        <f>IF(K129="", "", 'Convection Ovens'!W9)</f>
        <v/>
      </c>
      <c r="N129" s="31" t="str">
        <f>IF(K129="", "", 'Convection Ovens'!J9)</f>
        <v/>
      </c>
      <c r="O129" s="83" t="str">
        <f>IF(K129="", "", 'Convection Ovens'!X9)</f>
        <v/>
      </c>
      <c r="P129" s="6" t="str">
        <f t="shared" si="9"/>
        <v/>
      </c>
      <c r="Q129" s="97"/>
      <c r="R129" s="146">
        <v>93</v>
      </c>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c r="BJ129" s="97"/>
      <c r="BK129" s="97"/>
      <c r="BL129" s="97"/>
      <c r="BM129" s="97"/>
      <c r="BN129" s="97"/>
      <c r="BO129" s="97"/>
      <c r="BP129" s="97"/>
      <c r="BQ129" s="97"/>
      <c r="BR129" s="97"/>
      <c r="BS129" s="97"/>
      <c r="BT129" s="97"/>
      <c r="BU129" s="97"/>
      <c r="BV129" s="97"/>
      <c r="BW129" s="97"/>
      <c r="BX129" s="97"/>
      <c r="BY129" s="97"/>
      <c r="BZ129" s="97"/>
      <c r="CA129" s="97"/>
      <c r="CB129" s="97"/>
      <c r="CC129" s="97"/>
      <c r="CD129" s="97"/>
      <c r="CE129" s="97"/>
      <c r="CF129" s="97"/>
      <c r="CG129" s="97"/>
      <c r="CH129" s="97"/>
      <c r="CI129" s="97"/>
      <c r="CJ129" s="97"/>
      <c r="CK129" s="97"/>
      <c r="CL129" s="97"/>
      <c r="CM129" s="97"/>
      <c r="CN129" s="97"/>
      <c r="CO129" s="97"/>
      <c r="CP129" s="97"/>
      <c r="CQ129" s="97"/>
      <c r="CR129" s="97"/>
      <c r="CS129" s="97"/>
      <c r="CT129" s="97"/>
      <c r="CU129" s="97"/>
      <c r="CV129" s="97"/>
      <c r="CW129" s="97"/>
      <c r="CX129" s="97"/>
      <c r="CY129" s="97"/>
      <c r="CZ129" s="97"/>
      <c r="DA129" s="97"/>
      <c r="DB129" s="97"/>
      <c r="DC129" s="97"/>
      <c r="DD129" s="97"/>
      <c r="DE129" s="97"/>
      <c r="DF129" s="97"/>
      <c r="DG129" s="97"/>
      <c r="DH129" s="97"/>
      <c r="DI129" s="97"/>
      <c r="DJ129" s="97"/>
      <c r="DK129" s="97"/>
      <c r="DL129" s="97"/>
      <c r="DM129" s="97"/>
      <c r="DN129" s="97"/>
      <c r="DO129" s="97"/>
      <c r="DP129" s="97"/>
      <c r="DQ129" s="97"/>
      <c r="DR129" s="97"/>
      <c r="DS129" s="97"/>
      <c r="DT129" s="97"/>
      <c r="DU129" s="97"/>
      <c r="DV129" s="97"/>
      <c r="DW129" s="97"/>
      <c r="DX129" s="97"/>
      <c r="DY129" s="97"/>
      <c r="DZ129" s="97"/>
      <c r="EA129" s="97"/>
      <c r="EB129" s="97"/>
      <c r="EC129" s="97"/>
      <c r="ED129" s="97"/>
      <c r="EE129" s="97"/>
      <c r="EF129" s="97"/>
      <c r="EG129" s="97"/>
      <c r="EH129" s="97"/>
      <c r="EI129" s="97"/>
      <c r="EJ129" s="97"/>
      <c r="EK129" s="97"/>
      <c r="EL129" s="97"/>
      <c r="EM129" s="97"/>
      <c r="EN129" s="97"/>
      <c r="EO129" s="97"/>
      <c r="EP129" s="97"/>
      <c r="EQ129" s="97"/>
      <c r="ER129" s="97"/>
      <c r="ES129" s="97"/>
      <c r="ET129" s="97"/>
      <c r="EU129" s="97"/>
      <c r="EV129" s="97"/>
      <c r="EW129" s="97"/>
      <c r="EX129" s="97"/>
      <c r="EY129" s="97"/>
      <c r="EZ129" s="97"/>
      <c r="FA129" s="97"/>
      <c r="FB129" s="97"/>
      <c r="FC129" s="97"/>
      <c r="FD129" s="97"/>
      <c r="FE129" s="97"/>
      <c r="FF129" s="97"/>
      <c r="FG129" s="97"/>
      <c r="FH129" s="97"/>
      <c r="FI129" s="97"/>
      <c r="FJ129" s="97"/>
      <c r="FK129" s="97"/>
      <c r="FL129" s="97"/>
      <c r="FM129" s="97"/>
      <c r="FN129" s="97"/>
      <c r="FO129" s="97"/>
      <c r="FP129" s="97"/>
      <c r="FQ129" s="97"/>
      <c r="FR129" s="97"/>
      <c r="FS129" s="97"/>
      <c r="FT129" s="97"/>
      <c r="FU129" s="97"/>
      <c r="FV129" s="97"/>
      <c r="FW129" s="97"/>
      <c r="FX129" s="97"/>
      <c r="FY129" s="97"/>
      <c r="FZ129" s="97"/>
      <c r="GA129" s="97"/>
      <c r="GB129" s="97"/>
      <c r="GC129" s="97"/>
      <c r="GD129" s="97"/>
      <c r="GE129" s="97"/>
      <c r="GF129" s="97"/>
      <c r="GG129" s="97"/>
      <c r="GH129" s="97"/>
      <c r="GI129" s="97"/>
      <c r="GJ129" s="97"/>
      <c r="GK129" s="97"/>
      <c r="GL129" s="97"/>
      <c r="GM129" s="97"/>
      <c r="GN129" s="97"/>
      <c r="GO129" s="97"/>
      <c r="GP129" s="97"/>
      <c r="GQ129" s="97"/>
      <c r="GR129" s="97"/>
      <c r="GS129" s="97"/>
      <c r="GT129" s="97"/>
      <c r="GU129" s="97"/>
      <c r="GV129" s="97"/>
      <c r="GW129" s="97"/>
      <c r="GX129" s="97"/>
      <c r="GY129" s="97"/>
      <c r="GZ129" s="97"/>
      <c r="HA129" s="97"/>
      <c r="HB129" s="97"/>
      <c r="HC129" s="97"/>
      <c r="HD129" s="97"/>
      <c r="HE129" s="97"/>
      <c r="HF129" s="97"/>
      <c r="HG129" s="97"/>
      <c r="HH129" s="97"/>
      <c r="HI129" s="97"/>
      <c r="HJ129" s="97"/>
      <c r="HK129" s="97"/>
      <c r="HL129" s="97"/>
      <c r="HM129" s="97"/>
      <c r="HN129" s="97"/>
      <c r="HO129" s="97"/>
      <c r="HP129" s="97"/>
      <c r="HQ129" s="97"/>
      <c r="HR129" s="97"/>
      <c r="HS129" s="97"/>
      <c r="HT129" s="97"/>
      <c r="HU129" s="97"/>
      <c r="HV129" s="97"/>
      <c r="HW129" s="97"/>
      <c r="HX129" s="97"/>
      <c r="HY129" s="97"/>
      <c r="HZ129" s="97"/>
      <c r="IA129" s="97"/>
      <c r="IB129" s="97"/>
      <c r="IC129" s="97"/>
      <c r="ID129" s="97"/>
      <c r="IE129" s="97"/>
      <c r="IF129" s="97"/>
      <c r="IG129" s="97"/>
      <c r="IH129" s="97"/>
      <c r="II129" s="97"/>
      <c r="IJ129" s="97"/>
      <c r="IK129" s="97"/>
      <c r="IL129" s="97"/>
      <c r="IM129" s="97"/>
      <c r="IN129" s="97"/>
      <c r="IO129" s="97"/>
      <c r="IP129" s="97"/>
      <c r="IQ129" s="97"/>
      <c r="IR129" s="97"/>
      <c r="IS129" s="97"/>
    </row>
    <row r="130" spans="1:253" hidden="1">
      <c r="A130" s="28"/>
      <c r="J130" s="6">
        <v>75</v>
      </c>
      <c r="K130" s="19" t="str">
        <f>'Data Export'!B76</f>
        <v/>
      </c>
      <c r="L130" s="22" t="str">
        <f>IF(K130="", "", 'Convection Ovens'!V10)</f>
        <v/>
      </c>
      <c r="M130" s="22" t="str">
        <f>IF(K130="", "", 'Convection Ovens'!W10)</f>
        <v/>
      </c>
      <c r="N130" s="31" t="str">
        <f>IF(K130="", "", 'Convection Ovens'!J10)</f>
        <v/>
      </c>
      <c r="O130" s="83" t="str">
        <f>IF(K130="", "", 'Convection Ovens'!X10)</f>
        <v/>
      </c>
      <c r="P130" s="6" t="str">
        <f t="shared" si="9"/>
        <v/>
      </c>
      <c r="Q130" s="97"/>
      <c r="R130" s="146">
        <v>94</v>
      </c>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c r="BN130" s="97"/>
      <c r="BO130" s="97"/>
      <c r="BP130" s="97"/>
      <c r="BQ130" s="97"/>
      <c r="BR130" s="97"/>
      <c r="BS130" s="97"/>
      <c r="BT130" s="97"/>
      <c r="BU130" s="97"/>
      <c r="BV130" s="97"/>
      <c r="BW130" s="97"/>
      <c r="BX130" s="97"/>
      <c r="BY130" s="97"/>
      <c r="BZ130" s="97"/>
      <c r="CA130" s="97"/>
      <c r="CB130" s="97"/>
      <c r="CC130" s="97"/>
      <c r="CD130" s="97"/>
      <c r="CE130" s="97"/>
      <c r="CF130" s="97"/>
      <c r="CG130" s="97"/>
      <c r="CH130" s="97"/>
      <c r="CI130" s="97"/>
      <c r="CJ130" s="97"/>
      <c r="CK130" s="97"/>
      <c r="CL130" s="97"/>
      <c r="CM130" s="97"/>
      <c r="CN130" s="97"/>
      <c r="CO130" s="97"/>
      <c r="CP130" s="97"/>
      <c r="CQ130" s="97"/>
      <c r="CR130" s="97"/>
      <c r="CS130" s="97"/>
      <c r="CT130" s="97"/>
      <c r="CU130" s="97"/>
      <c r="CV130" s="97"/>
      <c r="CW130" s="97"/>
      <c r="CX130" s="97"/>
      <c r="CY130" s="97"/>
      <c r="CZ130" s="97"/>
      <c r="DA130" s="97"/>
      <c r="DB130" s="97"/>
      <c r="DC130" s="97"/>
      <c r="DD130" s="97"/>
      <c r="DE130" s="97"/>
      <c r="DF130" s="97"/>
      <c r="DG130" s="97"/>
      <c r="DH130" s="97"/>
      <c r="DI130" s="97"/>
      <c r="DJ130" s="97"/>
      <c r="DK130" s="97"/>
      <c r="DL130" s="97"/>
      <c r="DM130" s="97"/>
      <c r="DN130" s="97"/>
      <c r="DO130" s="97"/>
      <c r="DP130" s="97"/>
      <c r="DQ130" s="97"/>
      <c r="DR130" s="97"/>
      <c r="DS130" s="97"/>
      <c r="DT130" s="97"/>
      <c r="DU130" s="97"/>
      <c r="DV130" s="97"/>
      <c r="DW130" s="97"/>
      <c r="DX130" s="97"/>
      <c r="DY130" s="97"/>
      <c r="DZ130" s="97"/>
      <c r="EA130" s="97"/>
      <c r="EB130" s="97"/>
      <c r="EC130" s="97"/>
      <c r="ED130" s="97"/>
      <c r="EE130" s="97"/>
      <c r="EF130" s="97"/>
      <c r="EG130" s="97"/>
      <c r="EH130" s="97"/>
      <c r="EI130" s="97"/>
      <c r="EJ130" s="97"/>
      <c r="EK130" s="97"/>
      <c r="EL130" s="97"/>
      <c r="EM130" s="97"/>
      <c r="EN130" s="97"/>
      <c r="EO130" s="97"/>
      <c r="EP130" s="97"/>
      <c r="EQ130" s="97"/>
      <c r="ER130" s="97"/>
      <c r="ES130" s="97"/>
      <c r="ET130" s="97"/>
      <c r="EU130" s="97"/>
      <c r="EV130" s="97"/>
      <c r="EW130" s="97"/>
      <c r="EX130" s="97"/>
      <c r="EY130" s="97"/>
      <c r="EZ130" s="97"/>
      <c r="FA130" s="97"/>
      <c r="FB130" s="97"/>
      <c r="FC130" s="97"/>
      <c r="FD130" s="97"/>
      <c r="FE130" s="97"/>
      <c r="FF130" s="97"/>
      <c r="FG130" s="97"/>
      <c r="FH130" s="97"/>
      <c r="FI130" s="97"/>
      <c r="FJ130" s="97"/>
      <c r="FK130" s="97"/>
      <c r="FL130" s="97"/>
      <c r="FM130" s="97"/>
      <c r="FN130" s="97"/>
      <c r="FO130" s="97"/>
      <c r="FP130" s="97"/>
      <c r="FQ130" s="97"/>
      <c r="FR130" s="97"/>
      <c r="FS130" s="97"/>
      <c r="FT130" s="97"/>
      <c r="FU130" s="97"/>
      <c r="FV130" s="97"/>
      <c r="FW130" s="97"/>
      <c r="FX130" s="97"/>
      <c r="FY130" s="97"/>
      <c r="FZ130" s="97"/>
      <c r="GA130" s="97"/>
      <c r="GB130" s="97"/>
      <c r="GC130" s="97"/>
      <c r="GD130" s="97"/>
      <c r="GE130" s="97"/>
      <c r="GF130" s="97"/>
      <c r="GG130" s="97"/>
      <c r="GH130" s="97"/>
      <c r="GI130" s="97"/>
      <c r="GJ130" s="97"/>
      <c r="GK130" s="97"/>
      <c r="GL130" s="97"/>
      <c r="GM130" s="97"/>
      <c r="GN130" s="97"/>
      <c r="GO130" s="97"/>
      <c r="GP130" s="97"/>
      <c r="GQ130" s="97"/>
      <c r="GR130" s="97"/>
      <c r="GS130" s="97"/>
      <c r="GT130" s="97"/>
      <c r="GU130" s="97"/>
      <c r="GV130" s="97"/>
      <c r="GW130" s="97"/>
      <c r="GX130" s="97"/>
      <c r="GY130" s="97"/>
      <c r="GZ130" s="97"/>
      <c r="HA130" s="97"/>
      <c r="HB130" s="97"/>
      <c r="HC130" s="97"/>
      <c r="HD130" s="97"/>
      <c r="HE130" s="97"/>
      <c r="HF130" s="97"/>
      <c r="HG130" s="97"/>
      <c r="HH130" s="97"/>
      <c r="HI130" s="97"/>
      <c r="HJ130" s="97"/>
      <c r="HK130" s="97"/>
      <c r="HL130" s="97"/>
      <c r="HM130" s="97"/>
      <c r="HN130" s="97"/>
      <c r="HO130" s="97"/>
      <c r="HP130" s="97"/>
      <c r="HQ130" s="97"/>
      <c r="HR130" s="97"/>
      <c r="HS130" s="97"/>
      <c r="HT130" s="97"/>
      <c r="HU130" s="97"/>
      <c r="HV130" s="97"/>
      <c r="HW130" s="97"/>
      <c r="HX130" s="97"/>
      <c r="HY130" s="97"/>
      <c r="HZ130" s="97"/>
      <c r="IA130" s="97"/>
      <c r="IB130" s="97"/>
      <c r="IC130" s="97"/>
      <c r="ID130" s="97"/>
      <c r="IE130" s="97"/>
      <c r="IF130" s="97"/>
      <c r="IG130" s="97"/>
      <c r="IH130" s="97"/>
      <c r="II130" s="97"/>
      <c r="IJ130" s="97"/>
      <c r="IK130" s="97"/>
      <c r="IL130" s="97"/>
      <c r="IM130" s="97"/>
      <c r="IN130" s="97"/>
      <c r="IO130" s="97"/>
      <c r="IP130" s="97"/>
      <c r="IQ130" s="97"/>
      <c r="IR130" s="97"/>
      <c r="IS130" s="97"/>
    </row>
    <row r="131" spans="1:253" hidden="1">
      <c r="A131" s="28"/>
      <c r="J131" s="6">
        <v>76</v>
      </c>
      <c r="K131" s="19" t="str">
        <f>'Data Export'!B77</f>
        <v/>
      </c>
      <c r="L131" s="22" t="str">
        <f>IF(K131="", "", 'Convection Ovens'!V11)</f>
        <v/>
      </c>
      <c r="M131" s="22" t="str">
        <f>IF(K131="", "", 'Convection Ovens'!W11)</f>
        <v/>
      </c>
      <c r="N131" s="31" t="str">
        <f>IF(K131="", "", 'Convection Ovens'!J11)</f>
        <v/>
      </c>
      <c r="O131" s="83" t="str">
        <f>IF(K131="", "", 'Convection Ovens'!X11)</f>
        <v/>
      </c>
      <c r="P131" s="6" t="str">
        <f t="shared" si="9"/>
        <v/>
      </c>
      <c r="Q131" s="97"/>
      <c r="R131" s="146">
        <v>95</v>
      </c>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c r="BJ131" s="97"/>
      <c r="BK131" s="97"/>
      <c r="BL131" s="97"/>
      <c r="BM131" s="97"/>
      <c r="BN131" s="97"/>
      <c r="BO131" s="97"/>
      <c r="BP131" s="97"/>
      <c r="BQ131" s="97"/>
      <c r="BR131" s="97"/>
      <c r="BS131" s="97"/>
      <c r="BT131" s="97"/>
      <c r="BU131" s="97"/>
      <c r="BV131" s="97"/>
      <c r="BW131" s="97"/>
      <c r="BX131" s="97"/>
      <c r="BY131" s="97"/>
      <c r="BZ131" s="97"/>
      <c r="CA131" s="97"/>
      <c r="CB131" s="97"/>
      <c r="CC131" s="97"/>
      <c r="CD131" s="97"/>
      <c r="CE131" s="97"/>
      <c r="CF131" s="97"/>
      <c r="CG131" s="97"/>
      <c r="CH131" s="97"/>
      <c r="CI131" s="97"/>
      <c r="CJ131" s="97"/>
      <c r="CK131" s="97"/>
      <c r="CL131" s="97"/>
      <c r="CM131" s="97"/>
      <c r="CN131" s="97"/>
      <c r="CO131" s="97"/>
      <c r="CP131" s="97"/>
      <c r="CQ131" s="97"/>
      <c r="CR131" s="97"/>
      <c r="CS131" s="97"/>
      <c r="CT131" s="97"/>
      <c r="CU131" s="97"/>
      <c r="CV131" s="97"/>
      <c r="CW131" s="97"/>
      <c r="CX131" s="97"/>
      <c r="CY131" s="97"/>
      <c r="CZ131" s="97"/>
      <c r="DA131" s="97"/>
      <c r="DB131" s="97"/>
      <c r="DC131" s="97"/>
      <c r="DD131" s="97"/>
      <c r="DE131" s="97"/>
      <c r="DF131" s="97"/>
      <c r="DG131" s="97"/>
      <c r="DH131" s="97"/>
      <c r="DI131" s="97"/>
      <c r="DJ131" s="97"/>
      <c r="DK131" s="97"/>
      <c r="DL131" s="97"/>
      <c r="DM131" s="97"/>
      <c r="DN131" s="97"/>
      <c r="DO131" s="97"/>
      <c r="DP131" s="97"/>
      <c r="DQ131" s="97"/>
      <c r="DR131" s="97"/>
      <c r="DS131" s="97"/>
      <c r="DT131" s="97"/>
      <c r="DU131" s="97"/>
      <c r="DV131" s="97"/>
      <c r="DW131" s="97"/>
      <c r="DX131" s="97"/>
      <c r="DY131" s="97"/>
      <c r="DZ131" s="97"/>
      <c r="EA131" s="97"/>
      <c r="EB131" s="97"/>
      <c r="EC131" s="97"/>
      <c r="ED131" s="97"/>
      <c r="EE131" s="97"/>
      <c r="EF131" s="97"/>
      <c r="EG131" s="97"/>
      <c r="EH131" s="97"/>
      <c r="EI131" s="97"/>
      <c r="EJ131" s="97"/>
      <c r="EK131" s="97"/>
      <c r="EL131" s="97"/>
      <c r="EM131" s="97"/>
      <c r="EN131" s="97"/>
      <c r="EO131" s="97"/>
      <c r="EP131" s="97"/>
      <c r="EQ131" s="97"/>
      <c r="ER131" s="97"/>
      <c r="ES131" s="97"/>
      <c r="ET131" s="97"/>
      <c r="EU131" s="97"/>
      <c r="EV131" s="97"/>
      <c r="EW131" s="97"/>
      <c r="EX131" s="97"/>
      <c r="EY131" s="97"/>
      <c r="EZ131" s="97"/>
      <c r="FA131" s="97"/>
      <c r="FB131" s="97"/>
      <c r="FC131" s="97"/>
      <c r="FD131" s="97"/>
      <c r="FE131" s="97"/>
      <c r="FF131" s="97"/>
      <c r="FG131" s="97"/>
      <c r="FH131" s="97"/>
      <c r="FI131" s="97"/>
      <c r="FJ131" s="97"/>
      <c r="FK131" s="97"/>
      <c r="FL131" s="97"/>
      <c r="FM131" s="97"/>
      <c r="FN131" s="97"/>
      <c r="FO131" s="97"/>
      <c r="FP131" s="97"/>
      <c r="FQ131" s="97"/>
      <c r="FR131" s="97"/>
      <c r="FS131" s="97"/>
      <c r="FT131" s="97"/>
      <c r="FU131" s="97"/>
      <c r="FV131" s="97"/>
      <c r="FW131" s="97"/>
      <c r="FX131" s="97"/>
      <c r="FY131" s="97"/>
      <c r="FZ131" s="97"/>
      <c r="GA131" s="97"/>
      <c r="GB131" s="97"/>
      <c r="GC131" s="97"/>
      <c r="GD131" s="97"/>
      <c r="GE131" s="97"/>
      <c r="GF131" s="97"/>
      <c r="GG131" s="97"/>
      <c r="GH131" s="97"/>
      <c r="GI131" s="97"/>
      <c r="GJ131" s="97"/>
      <c r="GK131" s="97"/>
      <c r="GL131" s="97"/>
      <c r="GM131" s="97"/>
      <c r="GN131" s="97"/>
      <c r="GO131" s="97"/>
      <c r="GP131" s="97"/>
      <c r="GQ131" s="97"/>
      <c r="GR131" s="97"/>
      <c r="GS131" s="97"/>
      <c r="GT131" s="97"/>
      <c r="GU131" s="97"/>
      <c r="GV131" s="97"/>
      <c r="GW131" s="97"/>
      <c r="GX131" s="97"/>
      <c r="GY131" s="97"/>
      <c r="GZ131" s="97"/>
      <c r="HA131" s="97"/>
      <c r="HB131" s="97"/>
      <c r="HC131" s="97"/>
      <c r="HD131" s="97"/>
      <c r="HE131" s="97"/>
      <c r="HF131" s="97"/>
      <c r="HG131" s="97"/>
      <c r="HH131" s="97"/>
      <c r="HI131" s="97"/>
      <c r="HJ131" s="97"/>
      <c r="HK131" s="97"/>
      <c r="HL131" s="97"/>
      <c r="HM131" s="97"/>
      <c r="HN131" s="97"/>
      <c r="HO131" s="97"/>
      <c r="HP131" s="97"/>
      <c r="HQ131" s="97"/>
      <c r="HR131" s="97"/>
      <c r="HS131" s="97"/>
      <c r="HT131" s="97"/>
      <c r="HU131" s="97"/>
      <c r="HV131" s="97"/>
      <c r="HW131" s="97"/>
      <c r="HX131" s="97"/>
      <c r="HY131" s="97"/>
      <c r="HZ131" s="97"/>
      <c r="IA131" s="97"/>
      <c r="IB131" s="97"/>
      <c r="IC131" s="97"/>
      <c r="ID131" s="97"/>
      <c r="IE131" s="97"/>
      <c r="IF131" s="97"/>
      <c r="IG131" s="97"/>
      <c r="IH131" s="97"/>
      <c r="II131" s="97"/>
      <c r="IJ131" s="97"/>
      <c r="IK131" s="97"/>
      <c r="IL131" s="97"/>
      <c r="IM131" s="97"/>
      <c r="IN131" s="97"/>
      <c r="IO131" s="97"/>
      <c r="IP131" s="97"/>
      <c r="IQ131" s="97"/>
      <c r="IR131" s="97"/>
      <c r="IS131" s="97"/>
    </row>
    <row r="132" spans="1:253" hidden="1">
      <c r="A132" s="28"/>
      <c r="J132" s="6">
        <v>77</v>
      </c>
      <c r="K132" s="19" t="str">
        <f>'Data Export'!B78</f>
        <v/>
      </c>
      <c r="L132" s="22" t="str">
        <f>IF(K132="", "", 'Convection Ovens'!V12)</f>
        <v/>
      </c>
      <c r="M132" s="22" t="str">
        <f>IF(K132="", "", 'Convection Ovens'!W12)</f>
        <v/>
      </c>
      <c r="N132" s="31" t="str">
        <f>IF(K132="", "", 'Convection Ovens'!J12)</f>
        <v/>
      </c>
      <c r="O132" s="83" t="str">
        <f>IF(K132="", "", 'Convection Ovens'!X12)</f>
        <v/>
      </c>
      <c r="P132" s="6" t="str">
        <f t="shared" si="9"/>
        <v/>
      </c>
      <c r="Q132" s="97"/>
      <c r="R132" s="146">
        <v>96</v>
      </c>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c r="BY132" s="97"/>
      <c r="BZ132" s="97"/>
      <c r="CA132" s="97"/>
      <c r="CB132" s="97"/>
      <c r="CC132" s="97"/>
      <c r="CD132" s="97"/>
      <c r="CE132" s="97"/>
      <c r="CF132" s="97"/>
      <c r="CG132" s="97"/>
      <c r="CH132" s="97"/>
      <c r="CI132" s="97"/>
      <c r="CJ132" s="97"/>
      <c r="CK132" s="97"/>
      <c r="CL132" s="97"/>
      <c r="CM132" s="97"/>
      <c r="CN132" s="97"/>
      <c r="CO132" s="97"/>
      <c r="CP132" s="97"/>
      <c r="CQ132" s="97"/>
      <c r="CR132" s="97"/>
      <c r="CS132" s="97"/>
      <c r="CT132" s="97"/>
      <c r="CU132" s="97"/>
      <c r="CV132" s="97"/>
      <c r="CW132" s="97"/>
      <c r="CX132" s="97"/>
      <c r="CY132" s="97"/>
      <c r="CZ132" s="97"/>
      <c r="DA132" s="97"/>
      <c r="DB132" s="97"/>
      <c r="DC132" s="97"/>
      <c r="DD132" s="97"/>
      <c r="DE132" s="97"/>
      <c r="DF132" s="97"/>
      <c r="DG132" s="97"/>
      <c r="DH132" s="97"/>
      <c r="DI132" s="97"/>
      <c r="DJ132" s="97"/>
      <c r="DK132" s="97"/>
      <c r="DL132" s="97"/>
      <c r="DM132" s="97"/>
      <c r="DN132" s="97"/>
      <c r="DO132" s="97"/>
      <c r="DP132" s="97"/>
      <c r="DQ132" s="97"/>
      <c r="DR132" s="97"/>
      <c r="DS132" s="97"/>
      <c r="DT132" s="97"/>
      <c r="DU132" s="97"/>
      <c r="DV132" s="97"/>
      <c r="DW132" s="97"/>
      <c r="DX132" s="97"/>
      <c r="DY132" s="97"/>
      <c r="DZ132" s="97"/>
      <c r="EA132" s="97"/>
      <c r="EB132" s="97"/>
      <c r="EC132" s="97"/>
      <c r="ED132" s="97"/>
      <c r="EE132" s="97"/>
      <c r="EF132" s="97"/>
      <c r="EG132" s="97"/>
      <c r="EH132" s="97"/>
      <c r="EI132" s="97"/>
      <c r="EJ132" s="97"/>
      <c r="EK132" s="97"/>
      <c r="EL132" s="97"/>
      <c r="EM132" s="97"/>
      <c r="EN132" s="97"/>
      <c r="EO132" s="97"/>
      <c r="EP132" s="97"/>
      <c r="EQ132" s="97"/>
      <c r="ER132" s="97"/>
      <c r="ES132" s="97"/>
      <c r="ET132" s="97"/>
      <c r="EU132" s="97"/>
      <c r="EV132" s="97"/>
      <c r="EW132" s="97"/>
      <c r="EX132" s="97"/>
      <c r="EY132" s="97"/>
      <c r="EZ132" s="97"/>
      <c r="FA132" s="97"/>
      <c r="FB132" s="97"/>
      <c r="FC132" s="97"/>
      <c r="FD132" s="97"/>
      <c r="FE132" s="97"/>
      <c r="FF132" s="97"/>
      <c r="FG132" s="97"/>
      <c r="FH132" s="97"/>
      <c r="FI132" s="97"/>
      <c r="FJ132" s="97"/>
      <c r="FK132" s="97"/>
      <c r="FL132" s="97"/>
      <c r="FM132" s="97"/>
      <c r="FN132" s="97"/>
      <c r="FO132" s="97"/>
      <c r="FP132" s="97"/>
      <c r="FQ132" s="97"/>
      <c r="FR132" s="97"/>
      <c r="FS132" s="97"/>
      <c r="FT132" s="97"/>
      <c r="FU132" s="97"/>
      <c r="FV132" s="97"/>
      <c r="FW132" s="97"/>
      <c r="FX132" s="97"/>
      <c r="FY132" s="97"/>
      <c r="FZ132" s="97"/>
      <c r="GA132" s="97"/>
      <c r="GB132" s="97"/>
      <c r="GC132" s="97"/>
      <c r="GD132" s="97"/>
      <c r="GE132" s="97"/>
      <c r="GF132" s="97"/>
      <c r="GG132" s="97"/>
      <c r="GH132" s="97"/>
      <c r="GI132" s="97"/>
      <c r="GJ132" s="97"/>
      <c r="GK132" s="97"/>
      <c r="GL132" s="97"/>
      <c r="GM132" s="97"/>
      <c r="GN132" s="97"/>
      <c r="GO132" s="97"/>
      <c r="GP132" s="97"/>
      <c r="GQ132" s="97"/>
      <c r="GR132" s="97"/>
      <c r="GS132" s="97"/>
      <c r="GT132" s="97"/>
      <c r="GU132" s="97"/>
      <c r="GV132" s="97"/>
      <c r="GW132" s="97"/>
      <c r="GX132" s="97"/>
      <c r="GY132" s="97"/>
      <c r="GZ132" s="97"/>
      <c r="HA132" s="97"/>
      <c r="HB132" s="97"/>
      <c r="HC132" s="97"/>
      <c r="HD132" s="97"/>
      <c r="HE132" s="97"/>
      <c r="HF132" s="97"/>
      <c r="HG132" s="97"/>
      <c r="HH132" s="97"/>
      <c r="HI132" s="97"/>
      <c r="HJ132" s="97"/>
      <c r="HK132" s="97"/>
      <c r="HL132" s="97"/>
      <c r="HM132" s="97"/>
      <c r="HN132" s="97"/>
      <c r="HO132" s="97"/>
      <c r="HP132" s="97"/>
      <c r="HQ132" s="97"/>
      <c r="HR132" s="97"/>
      <c r="HS132" s="97"/>
      <c r="HT132" s="97"/>
      <c r="HU132" s="97"/>
      <c r="HV132" s="97"/>
      <c r="HW132" s="97"/>
      <c r="HX132" s="97"/>
      <c r="HY132" s="97"/>
      <c r="HZ132" s="97"/>
      <c r="IA132" s="97"/>
      <c r="IB132" s="97"/>
      <c r="IC132" s="97"/>
      <c r="ID132" s="97"/>
      <c r="IE132" s="97"/>
      <c r="IF132" s="97"/>
      <c r="IG132" s="97"/>
      <c r="IH132" s="97"/>
      <c r="II132" s="97"/>
      <c r="IJ132" s="97"/>
      <c r="IK132" s="97"/>
      <c r="IL132" s="97"/>
      <c r="IM132" s="97"/>
      <c r="IN132" s="97"/>
      <c r="IO132" s="97"/>
      <c r="IP132" s="97"/>
      <c r="IQ132" s="97"/>
      <c r="IR132" s="97"/>
      <c r="IS132" s="97"/>
    </row>
    <row r="133" spans="1:253" hidden="1">
      <c r="A133" s="28"/>
      <c r="J133" s="6">
        <v>78</v>
      </c>
      <c r="K133" s="19" t="str">
        <f>'Data Export'!B79</f>
        <v/>
      </c>
      <c r="L133" s="22" t="str">
        <f>IF(K133="", "", 'Convection Ovens'!V13)</f>
        <v/>
      </c>
      <c r="M133" s="22" t="str">
        <f>IF(K133="", "", 'Convection Ovens'!W13)</f>
        <v/>
      </c>
      <c r="N133" s="31" t="str">
        <f>IF(K133="", "", 'Convection Ovens'!J13)</f>
        <v/>
      </c>
      <c r="O133" s="83" t="str">
        <f>IF(K133="", "", 'Convection Ovens'!X13)</f>
        <v/>
      </c>
      <c r="P133" s="6" t="str">
        <f t="shared" si="9"/>
        <v/>
      </c>
      <c r="Q133" s="97"/>
      <c r="R133" s="146">
        <v>97</v>
      </c>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c r="BJ133" s="97"/>
      <c r="BK133" s="97"/>
      <c r="BL133" s="97"/>
      <c r="BM133" s="97"/>
      <c r="BN133" s="97"/>
      <c r="BO133" s="97"/>
      <c r="BP133" s="97"/>
      <c r="BQ133" s="97"/>
      <c r="BR133" s="97"/>
      <c r="BS133" s="97"/>
      <c r="BT133" s="97"/>
      <c r="BU133" s="97"/>
      <c r="BV133" s="97"/>
      <c r="BW133" s="97"/>
      <c r="BX133" s="97"/>
      <c r="BY133" s="97"/>
      <c r="BZ133" s="97"/>
      <c r="CA133" s="97"/>
      <c r="CB133" s="97"/>
      <c r="CC133" s="97"/>
      <c r="CD133" s="97"/>
      <c r="CE133" s="97"/>
      <c r="CF133" s="97"/>
      <c r="CG133" s="97"/>
      <c r="CH133" s="97"/>
      <c r="CI133" s="97"/>
      <c r="CJ133" s="97"/>
      <c r="CK133" s="97"/>
      <c r="CL133" s="97"/>
      <c r="CM133" s="97"/>
      <c r="CN133" s="97"/>
      <c r="CO133" s="97"/>
      <c r="CP133" s="97"/>
      <c r="CQ133" s="97"/>
      <c r="CR133" s="97"/>
      <c r="CS133" s="97"/>
      <c r="CT133" s="97"/>
      <c r="CU133" s="97"/>
      <c r="CV133" s="97"/>
      <c r="CW133" s="97"/>
      <c r="CX133" s="97"/>
      <c r="CY133" s="97"/>
      <c r="CZ133" s="97"/>
      <c r="DA133" s="97"/>
      <c r="DB133" s="97"/>
      <c r="DC133" s="97"/>
      <c r="DD133" s="97"/>
      <c r="DE133" s="97"/>
      <c r="DF133" s="97"/>
      <c r="DG133" s="97"/>
      <c r="DH133" s="97"/>
      <c r="DI133" s="97"/>
      <c r="DJ133" s="97"/>
      <c r="DK133" s="97"/>
      <c r="DL133" s="97"/>
      <c r="DM133" s="97"/>
      <c r="DN133" s="97"/>
      <c r="DO133" s="97"/>
      <c r="DP133" s="97"/>
      <c r="DQ133" s="97"/>
      <c r="DR133" s="97"/>
      <c r="DS133" s="97"/>
      <c r="DT133" s="97"/>
      <c r="DU133" s="97"/>
      <c r="DV133" s="97"/>
      <c r="DW133" s="97"/>
      <c r="DX133" s="97"/>
      <c r="DY133" s="97"/>
      <c r="DZ133" s="97"/>
      <c r="EA133" s="97"/>
      <c r="EB133" s="97"/>
      <c r="EC133" s="97"/>
      <c r="ED133" s="97"/>
      <c r="EE133" s="97"/>
      <c r="EF133" s="97"/>
      <c r="EG133" s="97"/>
      <c r="EH133" s="97"/>
      <c r="EI133" s="97"/>
      <c r="EJ133" s="97"/>
      <c r="EK133" s="97"/>
      <c r="EL133" s="97"/>
      <c r="EM133" s="97"/>
      <c r="EN133" s="97"/>
      <c r="EO133" s="97"/>
      <c r="EP133" s="97"/>
      <c r="EQ133" s="97"/>
      <c r="ER133" s="97"/>
      <c r="ES133" s="97"/>
      <c r="ET133" s="97"/>
      <c r="EU133" s="97"/>
      <c r="EV133" s="97"/>
      <c r="EW133" s="97"/>
      <c r="EX133" s="97"/>
      <c r="EY133" s="97"/>
      <c r="EZ133" s="97"/>
      <c r="FA133" s="97"/>
      <c r="FB133" s="97"/>
      <c r="FC133" s="97"/>
      <c r="FD133" s="97"/>
      <c r="FE133" s="97"/>
      <c r="FF133" s="97"/>
      <c r="FG133" s="97"/>
      <c r="FH133" s="97"/>
      <c r="FI133" s="97"/>
      <c r="FJ133" s="97"/>
      <c r="FK133" s="97"/>
      <c r="FL133" s="97"/>
      <c r="FM133" s="97"/>
      <c r="FN133" s="97"/>
      <c r="FO133" s="97"/>
      <c r="FP133" s="97"/>
      <c r="FQ133" s="97"/>
      <c r="FR133" s="97"/>
      <c r="FS133" s="97"/>
      <c r="FT133" s="97"/>
      <c r="FU133" s="97"/>
      <c r="FV133" s="97"/>
      <c r="FW133" s="97"/>
      <c r="FX133" s="97"/>
      <c r="FY133" s="97"/>
      <c r="FZ133" s="97"/>
      <c r="GA133" s="97"/>
      <c r="GB133" s="97"/>
      <c r="GC133" s="97"/>
      <c r="GD133" s="97"/>
      <c r="GE133" s="97"/>
      <c r="GF133" s="97"/>
      <c r="GG133" s="97"/>
      <c r="GH133" s="97"/>
      <c r="GI133" s="97"/>
      <c r="GJ133" s="97"/>
      <c r="GK133" s="97"/>
      <c r="GL133" s="97"/>
      <c r="GM133" s="97"/>
      <c r="GN133" s="97"/>
      <c r="GO133" s="97"/>
      <c r="GP133" s="97"/>
      <c r="GQ133" s="97"/>
      <c r="GR133" s="97"/>
      <c r="GS133" s="97"/>
      <c r="GT133" s="97"/>
      <c r="GU133" s="97"/>
      <c r="GV133" s="97"/>
      <c r="GW133" s="97"/>
      <c r="GX133" s="97"/>
      <c r="GY133" s="97"/>
      <c r="GZ133" s="97"/>
      <c r="HA133" s="97"/>
      <c r="HB133" s="97"/>
      <c r="HC133" s="97"/>
      <c r="HD133" s="97"/>
      <c r="HE133" s="97"/>
      <c r="HF133" s="97"/>
      <c r="HG133" s="97"/>
      <c r="HH133" s="97"/>
      <c r="HI133" s="97"/>
      <c r="HJ133" s="97"/>
      <c r="HK133" s="97"/>
      <c r="HL133" s="97"/>
      <c r="HM133" s="97"/>
      <c r="HN133" s="97"/>
      <c r="HO133" s="97"/>
      <c r="HP133" s="97"/>
      <c r="HQ133" s="97"/>
      <c r="HR133" s="97"/>
      <c r="HS133" s="97"/>
      <c r="HT133" s="97"/>
      <c r="HU133" s="97"/>
      <c r="HV133" s="97"/>
      <c r="HW133" s="97"/>
      <c r="HX133" s="97"/>
      <c r="HY133" s="97"/>
      <c r="HZ133" s="97"/>
      <c r="IA133" s="97"/>
      <c r="IB133" s="97"/>
      <c r="IC133" s="97"/>
      <c r="ID133" s="97"/>
      <c r="IE133" s="97"/>
      <c r="IF133" s="97"/>
      <c r="IG133" s="97"/>
      <c r="IH133" s="97"/>
      <c r="II133" s="97"/>
      <c r="IJ133" s="97"/>
      <c r="IK133" s="97"/>
      <c r="IL133" s="97"/>
      <c r="IM133" s="97"/>
      <c r="IN133" s="97"/>
      <c r="IO133" s="97"/>
      <c r="IP133" s="97"/>
      <c r="IQ133" s="97"/>
      <c r="IR133" s="97"/>
      <c r="IS133" s="97"/>
    </row>
    <row r="134" spans="1:253" hidden="1">
      <c r="A134" s="28"/>
      <c r="J134" s="6">
        <v>79</v>
      </c>
      <c r="K134" s="19" t="str">
        <f>'Data Export'!B80</f>
        <v/>
      </c>
      <c r="L134" s="22" t="str">
        <f>IF(K134="", "", 'Convection Ovens'!V14)</f>
        <v/>
      </c>
      <c r="M134" s="22" t="str">
        <f>IF(K134="", "", 'Convection Ovens'!W14)</f>
        <v/>
      </c>
      <c r="N134" s="31" t="str">
        <f>IF(K134="", "", 'Convection Ovens'!J14)</f>
        <v/>
      </c>
      <c r="O134" s="83" t="str">
        <f>IF(K134="", "", 'Convection Ovens'!X14)</f>
        <v/>
      </c>
      <c r="P134" s="6" t="str">
        <f t="shared" si="9"/>
        <v/>
      </c>
      <c r="Q134" s="97"/>
      <c r="R134" s="146">
        <v>98</v>
      </c>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97"/>
      <c r="AW134" s="97"/>
      <c r="AX134" s="97"/>
      <c r="AY134" s="97"/>
      <c r="AZ134" s="97"/>
      <c r="BA134" s="97"/>
      <c r="BB134" s="97"/>
      <c r="BC134" s="97"/>
      <c r="BD134" s="97"/>
      <c r="BE134" s="97"/>
      <c r="BF134" s="97"/>
      <c r="BG134" s="97"/>
      <c r="BH134" s="97"/>
      <c r="BI134" s="97"/>
      <c r="BJ134" s="97"/>
      <c r="BK134" s="97"/>
      <c r="BL134" s="97"/>
      <c r="BM134" s="97"/>
      <c r="BN134" s="97"/>
      <c r="BO134" s="97"/>
      <c r="BP134" s="97"/>
      <c r="BQ134" s="97"/>
      <c r="BR134" s="97"/>
      <c r="BS134" s="97"/>
      <c r="BT134" s="97"/>
      <c r="BU134" s="97"/>
      <c r="BV134" s="97"/>
      <c r="BW134" s="97"/>
      <c r="BX134" s="97"/>
      <c r="BY134" s="97"/>
      <c r="BZ134" s="97"/>
      <c r="CA134" s="97"/>
      <c r="CB134" s="97"/>
      <c r="CC134" s="97"/>
      <c r="CD134" s="97"/>
      <c r="CE134" s="97"/>
      <c r="CF134" s="97"/>
      <c r="CG134" s="97"/>
      <c r="CH134" s="97"/>
      <c r="CI134" s="97"/>
      <c r="CJ134" s="97"/>
      <c r="CK134" s="97"/>
      <c r="CL134" s="97"/>
      <c r="CM134" s="97"/>
      <c r="CN134" s="97"/>
      <c r="CO134" s="97"/>
      <c r="CP134" s="97"/>
      <c r="CQ134" s="97"/>
      <c r="CR134" s="97"/>
      <c r="CS134" s="97"/>
      <c r="CT134" s="97"/>
      <c r="CU134" s="97"/>
      <c r="CV134" s="97"/>
      <c r="CW134" s="97"/>
      <c r="CX134" s="97"/>
      <c r="CY134" s="97"/>
      <c r="CZ134" s="97"/>
      <c r="DA134" s="97"/>
      <c r="DB134" s="97"/>
      <c r="DC134" s="97"/>
      <c r="DD134" s="97"/>
      <c r="DE134" s="97"/>
      <c r="DF134" s="97"/>
      <c r="DG134" s="97"/>
      <c r="DH134" s="97"/>
      <c r="DI134" s="97"/>
      <c r="DJ134" s="97"/>
      <c r="DK134" s="97"/>
      <c r="DL134" s="97"/>
      <c r="DM134" s="97"/>
      <c r="DN134" s="97"/>
      <c r="DO134" s="97"/>
      <c r="DP134" s="97"/>
      <c r="DQ134" s="97"/>
      <c r="DR134" s="97"/>
      <c r="DS134" s="97"/>
      <c r="DT134" s="97"/>
      <c r="DU134" s="97"/>
      <c r="DV134" s="97"/>
      <c r="DW134" s="97"/>
      <c r="DX134" s="97"/>
      <c r="DY134" s="97"/>
      <c r="DZ134" s="97"/>
      <c r="EA134" s="97"/>
      <c r="EB134" s="97"/>
      <c r="EC134" s="97"/>
      <c r="ED134" s="97"/>
      <c r="EE134" s="97"/>
      <c r="EF134" s="97"/>
      <c r="EG134" s="97"/>
      <c r="EH134" s="97"/>
      <c r="EI134" s="97"/>
      <c r="EJ134" s="97"/>
      <c r="EK134" s="97"/>
      <c r="EL134" s="97"/>
      <c r="EM134" s="97"/>
      <c r="EN134" s="97"/>
      <c r="EO134" s="97"/>
      <c r="EP134" s="97"/>
      <c r="EQ134" s="97"/>
      <c r="ER134" s="97"/>
      <c r="ES134" s="97"/>
      <c r="ET134" s="97"/>
      <c r="EU134" s="97"/>
      <c r="EV134" s="97"/>
      <c r="EW134" s="97"/>
      <c r="EX134" s="97"/>
      <c r="EY134" s="97"/>
      <c r="EZ134" s="97"/>
      <c r="FA134" s="97"/>
      <c r="FB134" s="97"/>
      <c r="FC134" s="97"/>
      <c r="FD134" s="97"/>
      <c r="FE134" s="97"/>
      <c r="FF134" s="97"/>
      <c r="FG134" s="97"/>
      <c r="FH134" s="97"/>
      <c r="FI134" s="97"/>
      <c r="FJ134" s="97"/>
      <c r="FK134" s="97"/>
      <c r="FL134" s="97"/>
      <c r="FM134" s="97"/>
      <c r="FN134" s="97"/>
      <c r="FO134" s="97"/>
      <c r="FP134" s="97"/>
      <c r="FQ134" s="97"/>
      <c r="FR134" s="97"/>
      <c r="FS134" s="97"/>
      <c r="FT134" s="97"/>
      <c r="FU134" s="97"/>
      <c r="FV134" s="97"/>
      <c r="FW134" s="97"/>
      <c r="FX134" s="97"/>
      <c r="FY134" s="97"/>
      <c r="FZ134" s="97"/>
      <c r="GA134" s="97"/>
      <c r="GB134" s="97"/>
      <c r="GC134" s="97"/>
      <c r="GD134" s="97"/>
      <c r="GE134" s="97"/>
      <c r="GF134" s="97"/>
      <c r="GG134" s="97"/>
      <c r="GH134" s="97"/>
      <c r="GI134" s="97"/>
      <c r="GJ134" s="97"/>
      <c r="GK134" s="97"/>
      <c r="GL134" s="97"/>
      <c r="GM134" s="97"/>
      <c r="GN134" s="97"/>
      <c r="GO134" s="97"/>
      <c r="GP134" s="97"/>
      <c r="GQ134" s="97"/>
      <c r="GR134" s="97"/>
      <c r="GS134" s="97"/>
      <c r="GT134" s="97"/>
      <c r="GU134" s="97"/>
      <c r="GV134" s="97"/>
      <c r="GW134" s="97"/>
      <c r="GX134" s="97"/>
      <c r="GY134" s="97"/>
      <c r="GZ134" s="97"/>
      <c r="HA134" s="97"/>
      <c r="HB134" s="97"/>
      <c r="HC134" s="97"/>
      <c r="HD134" s="97"/>
      <c r="HE134" s="97"/>
      <c r="HF134" s="97"/>
      <c r="HG134" s="97"/>
      <c r="HH134" s="97"/>
      <c r="HI134" s="97"/>
      <c r="HJ134" s="97"/>
      <c r="HK134" s="97"/>
      <c r="HL134" s="97"/>
      <c r="HM134" s="97"/>
      <c r="HN134" s="97"/>
      <c r="HO134" s="97"/>
      <c r="HP134" s="97"/>
      <c r="HQ134" s="97"/>
      <c r="HR134" s="97"/>
      <c r="HS134" s="97"/>
      <c r="HT134" s="97"/>
      <c r="HU134" s="97"/>
      <c r="HV134" s="97"/>
      <c r="HW134" s="97"/>
      <c r="HX134" s="97"/>
      <c r="HY134" s="97"/>
      <c r="HZ134" s="97"/>
      <c r="IA134" s="97"/>
      <c r="IB134" s="97"/>
      <c r="IC134" s="97"/>
      <c r="ID134" s="97"/>
      <c r="IE134" s="97"/>
      <c r="IF134" s="97"/>
      <c r="IG134" s="97"/>
      <c r="IH134" s="97"/>
      <c r="II134" s="97"/>
      <c r="IJ134" s="97"/>
      <c r="IK134" s="97"/>
      <c r="IL134" s="97"/>
      <c r="IM134" s="97"/>
      <c r="IN134" s="97"/>
      <c r="IO134" s="97"/>
      <c r="IP134" s="97"/>
      <c r="IQ134" s="97"/>
      <c r="IR134" s="97"/>
      <c r="IS134" s="97"/>
    </row>
    <row r="135" spans="1:253" hidden="1">
      <c r="A135" s="28"/>
      <c r="J135" s="6">
        <v>80</v>
      </c>
      <c r="K135" s="19" t="str">
        <f>'Data Export'!B81</f>
        <v/>
      </c>
      <c r="L135" s="22" t="str">
        <f>IF(K135="", "", 'Convection Ovens'!V15)</f>
        <v/>
      </c>
      <c r="M135" s="22" t="str">
        <f>IF(K135="", "", 'Convection Ovens'!W15)</f>
        <v/>
      </c>
      <c r="N135" s="31" t="str">
        <f>IF(K135="", "", 'Convection Ovens'!J15)</f>
        <v/>
      </c>
      <c r="O135" s="83" t="str">
        <f>IF(K135="", "", 'Convection Ovens'!X15)</f>
        <v/>
      </c>
      <c r="P135" s="6" t="str">
        <f t="shared" si="9"/>
        <v/>
      </c>
      <c r="Q135" s="97"/>
      <c r="R135" s="146">
        <v>99</v>
      </c>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c r="BJ135" s="97"/>
      <c r="BK135" s="97"/>
      <c r="BL135" s="97"/>
      <c r="BM135" s="97"/>
      <c r="BN135" s="97"/>
      <c r="BO135" s="97"/>
      <c r="BP135" s="97"/>
      <c r="BQ135" s="97"/>
      <c r="BR135" s="97"/>
      <c r="BS135" s="97"/>
      <c r="BT135" s="97"/>
      <c r="BU135" s="97"/>
      <c r="BV135" s="97"/>
      <c r="BW135" s="97"/>
      <c r="BX135" s="97"/>
      <c r="BY135" s="97"/>
      <c r="BZ135" s="97"/>
      <c r="CA135" s="97"/>
      <c r="CB135" s="97"/>
      <c r="CC135" s="97"/>
      <c r="CD135" s="97"/>
      <c r="CE135" s="97"/>
      <c r="CF135" s="97"/>
      <c r="CG135" s="97"/>
      <c r="CH135" s="97"/>
      <c r="CI135" s="97"/>
      <c r="CJ135" s="97"/>
      <c r="CK135" s="97"/>
      <c r="CL135" s="97"/>
      <c r="CM135" s="97"/>
      <c r="CN135" s="97"/>
      <c r="CO135" s="97"/>
      <c r="CP135" s="97"/>
      <c r="CQ135" s="97"/>
      <c r="CR135" s="97"/>
      <c r="CS135" s="97"/>
      <c r="CT135" s="97"/>
      <c r="CU135" s="97"/>
      <c r="CV135" s="97"/>
      <c r="CW135" s="97"/>
      <c r="CX135" s="97"/>
      <c r="CY135" s="97"/>
      <c r="CZ135" s="97"/>
      <c r="DA135" s="97"/>
      <c r="DB135" s="97"/>
      <c r="DC135" s="97"/>
      <c r="DD135" s="97"/>
      <c r="DE135" s="97"/>
      <c r="DF135" s="97"/>
      <c r="DG135" s="97"/>
      <c r="DH135" s="97"/>
      <c r="DI135" s="97"/>
      <c r="DJ135" s="97"/>
      <c r="DK135" s="97"/>
      <c r="DL135" s="97"/>
      <c r="DM135" s="97"/>
      <c r="DN135" s="97"/>
      <c r="DO135" s="97"/>
      <c r="DP135" s="97"/>
      <c r="DQ135" s="97"/>
      <c r="DR135" s="97"/>
      <c r="DS135" s="97"/>
      <c r="DT135" s="97"/>
      <c r="DU135" s="97"/>
      <c r="DV135" s="97"/>
      <c r="DW135" s="97"/>
      <c r="DX135" s="97"/>
      <c r="DY135" s="97"/>
      <c r="DZ135" s="97"/>
      <c r="EA135" s="97"/>
      <c r="EB135" s="97"/>
      <c r="EC135" s="97"/>
      <c r="ED135" s="97"/>
      <c r="EE135" s="97"/>
      <c r="EF135" s="97"/>
      <c r="EG135" s="97"/>
      <c r="EH135" s="97"/>
      <c r="EI135" s="97"/>
      <c r="EJ135" s="97"/>
      <c r="EK135" s="97"/>
      <c r="EL135" s="97"/>
      <c r="EM135" s="97"/>
      <c r="EN135" s="97"/>
      <c r="EO135" s="97"/>
      <c r="EP135" s="97"/>
      <c r="EQ135" s="97"/>
      <c r="ER135" s="97"/>
      <c r="ES135" s="97"/>
      <c r="ET135" s="97"/>
      <c r="EU135" s="97"/>
      <c r="EV135" s="97"/>
      <c r="EW135" s="97"/>
      <c r="EX135" s="97"/>
      <c r="EY135" s="97"/>
      <c r="EZ135" s="97"/>
      <c r="FA135" s="97"/>
      <c r="FB135" s="97"/>
      <c r="FC135" s="97"/>
      <c r="FD135" s="97"/>
      <c r="FE135" s="97"/>
      <c r="FF135" s="97"/>
      <c r="FG135" s="97"/>
      <c r="FH135" s="97"/>
      <c r="FI135" s="97"/>
      <c r="FJ135" s="97"/>
      <c r="FK135" s="97"/>
      <c r="FL135" s="97"/>
      <c r="FM135" s="97"/>
      <c r="FN135" s="97"/>
      <c r="FO135" s="97"/>
      <c r="FP135" s="97"/>
      <c r="FQ135" s="97"/>
      <c r="FR135" s="97"/>
      <c r="FS135" s="97"/>
      <c r="FT135" s="97"/>
      <c r="FU135" s="97"/>
      <c r="FV135" s="97"/>
      <c r="FW135" s="97"/>
      <c r="FX135" s="97"/>
      <c r="FY135" s="97"/>
      <c r="FZ135" s="97"/>
      <c r="GA135" s="97"/>
      <c r="GB135" s="97"/>
      <c r="GC135" s="97"/>
      <c r="GD135" s="97"/>
      <c r="GE135" s="97"/>
      <c r="GF135" s="97"/>
      <c r="GG135" s="97"/>
      <c r="GH135" s="97"/>
      <c r="GI135" s="97"/>
      <c r="GJ135" s="97"/>
      <c r="GK135" s="97"/>
      <c r="GL135" s="97"/>
      <c r="GM135" s="97"/>
      <c r="GN135" s="97"/>
      <c r="GO135" s="97"/>
      <c r="GP135" s="97"/>
      <c r="GQ135" s="97"/>
      <c r="GR135" s="97"/>
      <c r="GS135" s="97"/>
      <c r="GT135" s="97"/>
      <c r="GU135" s="97"/>
      <c r="GV135" s="97"/>
      <c r="GW135" s="97"/>
      <c r="GX135" s="97"/>
      <c r="GY135" s="97"/>
      <c r="GZ135" s="97"/>
      <c r="HA135" s="97"/>
      <c r="HB135" s="97"/>
      <c r="HC135" s="97"/>
      <c r="HD135" s="97"/>
      <c r="HE135" s="97"/>
      <c r="HF135" s="97"/>
      <c r="HG135" s="97"/>
      <c r="HH135" s="97"/>
      <c r="HI135" s="97"/>
      <c r="HJ135" s="97"/>
      <c r="HK135" s="97"/>
      <c r="HL135" s="97"/>
      <c r="HM135" s="97"/>
      <c r="HN135" s="97"/>
      <c r="HO135" s="97"/>
      <c r="HP135" s="97"/>
      <c r="HQ135" s="97"/>
      <c r="HR135" s="97"/>
      <c r="HS135" s="97"/>
      <c r="HT135" s="97"/>
      <c r="HU135" s="97"/>
      <c r="HV135" s="97"/>
      <c r="HW135" s="97"/>
      <c r="HX135" s="97"/>
      <c r="HY135" s="97"/>
      <c r="HZ135" s="97"/>
      <c r="IA135" s="97"/>
      <c r="IB135" s="97"/>
      <c r="IC135" s="97"/>
      <c r="ID135" s="97"/>
      <c r="IE135" s="97"/>
      <c r="IF135" s="97"/>
      <c r="IG135" s="97"/>
      <c r="IH135" s="97"/>
      <c r="II135" s="97"/>
      <c r="IJ135" s="97"/>
      <c r="IK135" s="97"/>
      <c r="IL135" s="97"/>
      <c r="IM135" s="97"/>
      <c r="IN135" s="97"/>
      <c r="IO135" s="97"/>
      <c r="IP135" s="97"/>
      <c r="IQ135" s="97"/>
      <c r="IR135" s="97"/>
      <c r="IS135" s="97"/>
    </row>
    <row r="136" spans="1:253" hidden="1">
      <c r="A136" s="28"/>
      <c r="K136" s="84" t="s">
        <v>77</v>
      </c>
      <c r="L136" s="22">
        <f>SUM(L128:L135)</f>
        <v>0</v>
      </c>
      <c r="M136" s="90">
        <f>SUM(M128:M135)</f>
        <v>0</v>
      </c>
      <c r="N136" s="31">
        <f>SUM(N128:N135)</f>
        <v>0</v>
      </c>
      <c r="O136" s="83">
        <f>SUM(O128:O135)</f>
        <v>0</v>
      </c>
      <c r="Q136" s="97"/>
      <c r="R136" s="146">
        <v>100</v>
      </c>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7"/>
      <c r="AT136" s="97"/>
      <c r="AU136" s="97"/>
      <c r="AV136" s="97"/>
      <c r="AW136" s="97"/>
      <c r="AX136" s="97"/>
      <c r="AY136" s="97"/>
      <c r="AZ136" s="97"/>
      <c r="BA136" s="97"/>
      <c r="BB136" s="97"/>
      <c r="BC136" s="97"/>
      <c r="BD136" s="97"/>
      <c r="BE136" s="97"/>
      <c r="BF136" s="97"/>
      <c r="BG136" s="97"/>
      <c r="BH136" s="97"/>
      <c r="BI136" s="97"/>
      <c r="BJ136" s="97"/>
      <c r="BK136" s="97"/>
      <c r="BL136" s="97"/>
      <c r="BM136" s="97"/>
      <c r="BN136" s="97"/>
      <c r="BO136" s="97"/>
      <c r="BP136" s="97"/>
      <c r="BQ136" s="97"/>
      <c r="BR136" s="97"/>
      <c r="BS136" s="97"/>
      <c r="BT136" s="97"/>
      <c r="BU136" s="97"/>
      <c r="BV136" s="97"/>
      <c r="BW136" s="97"/>
      <c r="BX136" s="97"/>
      <c r="BY136" s="97"/>
      <c r="BZ136" s="97"/>
      <c r="CA136" s="97"/>
      <c r="CB136" s="97"/>
      <c r="CC136" s="97"/>
      <c r="CD136" s="97"/>
      <c r="CE136" s="97"/>
      <c r="CF136" s="97"/>
      <c r="CG136" s="97"/>
      <c r="CH136" s="97"/>
      <c r="CI136" s="97"/>
      <c r="CJ136" s="97"/>
      <c r="CK136" s="97"/>
      <c r="CL136" s="97"/>
      <c r="CM136" s="97"/>
      <c r="CN136" s="97"/>
      <c r="CO136" s="97"/>
      <c r="CP136" s="97"/>
      <c r="CQ136" s="97"/>
      <c r="CR136" s="97"/>
      <c r="CS136" s="97"/>
      <c r="CT136" s="97"/>
      <c r="CU136" s="97"/>
      <c r="CV136" s="97"/>
      <c r="CW136" s="97"/>
      <c r="CX136" s="97"/>
      <c r="CY136" s="97"/>
      <c r="CZ136" s="97"/>
      <c r="DA136" s="97"/>
      <c r="DB136" s="97"/>
      <c r="DC136" s="97"/>
      <c r="DD136" s="97"/>
      <c r="DE136" s="97"/>
      <c r="DF136" s="97"/>
      <c r="DG136" s="97"/>
      <c r="DH136" s="97"/>
      <c r="DI136" s="97"/>
      <c r="DJ136" s="97"/>
      <c r="DK136" s="97"/>
      <c r="DL136" s="97"/>
      <c r="DM136" s="97"/>
      <c r="DN136" s="97"/>
      <c r="DO136" s="97"/>
      <c r="DP136" s="97"/>
      <c r="DQ136" s="97"/>
      <c r="DR136" s="97"/>
      <c r="DS136" s="97"/>
      <c r="DT136" s="97"/>
      <c r="DU136" s="97"/>
      <c r="DV136" s="97"/>
      <c r="DW136" s="97"/>
      <c r="DX136" s="97"/>
      <c r="DY136" s="97"/>
      <c r="DZ136" s="97"/>
      <c r="EA136" s="97"/>
      <c r="EB136" s="97"/>
      <c r="EC136" s="97"/>
      <c r="ED136" s="97"/>
      <c r="EE136" s="97"/>
      <c r="EF136" s="97"/>
      <c r="EG136" s="97"/>
      <c r="EH136" s="97"/>
      <c r="EI136" s="97"/>
      <c r="EJ136" s="97"/>
      <c r="EK136" s="97"/>
      <c r="EL136" s="97"/>
      <c r="EM136" s="97"/>
      <c r="EN136" s="97"/>
      <c r="EO136" s="97"/>
      <c r="EP136" s="97"/>
      <c r="EQ136" s="97"/>
      <c r="ER136" s="97"/>
      <c r="ES136" s="97"/>
      <c r="ET136" s="97"/>
      <c r="EU136" s="97"/>
      <c r="EV136" s="97"/>
      <c r="EW136" s="97"/>
      <c r="EX136" s="97"/>
      <c r="EY136" s="97"/>
      <c r="EZ136" s="97"/>
      <c r="FA136" s="97"/>
      <c r="FB136" s="97"/>
      <c r="FC136" s="97"/>
      <c r="FD136" s="97"/>
      <c r="FE136" s="97"/>
      <c r="FF136" s="97"/>
      <c r="FG136" s="97"/>
      <c r="FH136" s="97"/>
      <c r="FI136" s="97"/>
      <c r="FJ136" s="97"/>
      <c r="FK136" s="97"/>
      <c r="FL136" s="97"/>
      <c r="FM136" s="97"/>
      <c r="FN136" s="97"/>
      <c r="FO136" s="97"/>
      <c r="FP136" s="97"/>
      <c r="FQ136" s="97"/>
      <c r="FR136" s="97"/>
      <c r="FS136" s="97"/>
      <c r="FT136" s="97"/>
      <c r="FU136" s="97"/>
      <c r="FV136" s="97"/>
      <c r="FW136" s="97"/>
      <c r="FX136" s="97"/>
      <c r="FY136" s="97"/>
      <c r="FZ136" s="97"/>
      <c r="GA136" s="97"/>
      <c r="GB136" s="97"/>
      <c r="GC136" s="97"/>
      <c r="GD136" s="97"/>
      <c r="GE136" s="97"/>
      <c r="GF136" s="97"/>
      <c r="GG136" s="97"/>
      <c r="GH136" s="97"/>
      <c r="GI136" s="97"/>
      <c r="GJ136" s="97"/>
      <c r="GK136" s="97"/>
      <c r="GL136" s="97"/>
      <c r="GM136" s="97"/>
      <c r="GN136" s="97"/>
      <c r="GO136" s="97"/>
      <c r="GP136" s="97"/>
      <c r="GQ136" s="97"/>
      <c r="GR136" s="97"/>
      <c r="GS136" s="97"/>
      <c r="GT136" s="97"/>
      <c r="GU136" s="97"/>
      <c r="GV136" s="97"/>
      <c r="GW136" s="97"/>
      <c r="GX136" s="97"/>
      <c r="GY136" s="97"/>
      <c r="GZ136" s="97"/>
      <c r="HA136" s="97"/>
      <c r="HB136" s="97"/>
      <c r="HC136" s="97"/>
      <c r="HD136" s="97"/>
      <c r="HE136" s="97"/>
      <c r="HF136" s="97"/>
      <c r="HG136" s="97"/>
      <c r="HH136" s="97"/>
      <c r="HI136" s="97"/>
      <c r="HJ136" s="97"/>
      <c r="HK136" s="97"/>
      <c r="HL136" s="97"/>
      <c r="HM136" s="97"/>
      <c r="HN136" s="97"/>
      <c r="HO136" s="97"/>
      <c r="HP136" s="97"/>
      <c r="HQ136" s="97"/>
      <c r="HR136" s="97"/>
      <c r="HS136" s="97"/>
      <c r="HT136" s="97"/>
      <c r="HU136" s="97"/>
      <c r="HV136" s="97"/>
      <c r="HW136" s="97"/>
      <c r="HX136" s="97"/>
      <c r="HY136" s="97"/>
      <c r="HZ136" s="97"/>
      <c r="IA136" s="97"/>
      <c r="IB136" s="97"/>
      <c r="IC136" s="97"/>
      <c r="ID136" s="97"/>
      <c r="IE136" s="97"/>
      <c r="IF136" s="97"/>
      <c r="IG136" s="97"/>
      <c r="IH136" s="97"/>
      <c r="II136" s="97"/>
      <c r="IJ136" s="97"/>
      <c r="IK136" s="97"/>
      <c r="IL136" s="97"/>
      <c r="IM136" s="97"/>
      <c r="IN136" s="97"/>
      <c r="IO136" s="97"/>
      <c r="IP136" s="97"/>
      <c r="IQ136" s="97"/>
      <c r="IR136" s="97"/>
      <c r="IS136" s="97"/>
    </row>
    <row r="137" spans="1:253" hidden="1">
      <c r="A137" s="28"/>
      <c r="J137" s="86" t="s">
        <v>73</v>
      </c>
      <c r="L137" s="37"/>
      <c r="M137" s="36"/>
      <c r="N137" s="38"/>
      <c r="O137" s="35"/>
      <c r="P137" s="82" t="s">
        <v>76</v>
      </c>
      <c r="Q137" s="97"/>
      <c r="R137" s="146">
        <v>101</v>
      </c>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c r="BJ137" s="97"/>
      <c r="BK137" s="97"/>
      <c r="BL137" s="97"/>
      <c r="BM137" s="97"/>
      <c r="BN137" s="97"/>
      <c r="BO137" s="97"/>
      <c r="BP137" s="97"/>
      <c r="BQ137" s="97"/>
      <c r="BR137" s="97"/>
      <c r="BS137" s="97"/>
      <c r="BT137" s="97"/>
      <c r="BU137" s="97"/>
      <c r="BV137" s="97"/>
      <c r="BW137" s="97"/>
      <c r="BX137" s="97"/>
      <c r="BY137" s="97"/>
      <c r="BZ137" s="97"/>
      <c r="CA137" s="97"/>
      <c r="CB137" s="97"/>
      <c r="CC137" s="97"/>
      <c r="CD137" s="97"/>
      <c r="CE137" s="97"/>
      <c r="CF137" s="97"/>
      <c r="CG137" s="97"/>
      <c r="CH137" s="97"/>
      <c r="CI137" s="97"/>
      <c r="CJ137" s="97"/>
      <c r="CK137" s="97"/>
      <c r="CL137" s="97"/>
      <c r="CM137" s="97"/>
      <c r="CN137" s="97"/>
      <c r="CO137" s="97"/>
      <c r="CP137" s="97"/>
      <c r="CQ137" s="97"/>
      <c r="CR137" s="97"/>
      <c r="CS137" s="97"/>
      <c r="CT137" s="97"/>
      <c r="CU137" s="97"/>
      <c r="CV137" s="97"/>
      <c r="CW137" s="97"/>
      <c r="CX137" s="97"/>
      <c r="CY137" s="97"/>
      <c r="CZ137" s="97"/>
      <c r="DA137" s="97"/>
      <c r="DB137" s="97"/>
      <c r="DC137" s="97"/>
      <c r="DD137" s="97"/>
      <c r="DE137" s="97"/>
      <c r="DF137" s="97"/>
      <c r="DG137" s="97"/>
      <c r="DH137" s="97"/>
      <c r="DI137" s="97"/>
      <c r="DJ137" s="97"/>
      <c r="DK137" s="97"/>
      <c r="DL137" s="97"/>
      <c r="DM137" s="97"/>
      <c r="DN137" s="97"/>
      <c r="DO137" s="97"/>
      <c r="DP137" s="97"/>
      <c r="DQ137" s="97"/>
      <c r="DR137" s="97"/>
      <c r="DS137" s="97"/>
      <c r="DT137" s="97"/>
      <c r="DU137" s="97"/>
      <c r="DV137" s="97"/>
      <c r="DW137" s="97"/>
      <c r="DX137" s="97"/>
      <c r="DY137" s="97"/>
      <c r="DZ137" s="97"/>
      <c r="EA137" s="97"/>
      <c r="EB137" s="97"/>
      <c r="EC137" s="97"/>
      <c r="ED137" s="97"/>
      <c r="EE137" s="97"/>
      <c r="EF137" s="97"/>
      <c r="EG137" s="97"/>
      <c r="EH137" s="97"/>
      <c r="EI137" s="97"/>
      <c r="EJ137" s="97"/>
      <c r="EK137" s="97"/>
      <c r="EL137" s="97"/>
      <c r="EM137" s="97"/>
      <c r="EN137" s="97"/>
      <c r="EO137" s="97"/>
      <c r="EP137" s="97"/>
      <c r="EQ137" s="97"/>
      <c r="ER137" s="97"/>
      <c r="ES137" s="97"/>
      <c r="ET137" s="97"/>
      <c r="EU137" s="97"/>
      <c r="EV137" s="97"/>
      <c r="EW137" s="97"/>
      <c r="EX137" s="97"/>
      <c r="EY137" s="97"/>
      <c r="EZ137" s="97"/>
      <c r="FA137" s="97"/>
      <c r="FB137" s="97"/>
      <c r="FC137" s="97"/>
      <c r="FD137" s="97"/>
      <c r="FE137" s="97"/>
      <c r="FF137" s="97"/>
      <c r="FG137" s="97"/>
      <c r="FH137" s="97"/>
      <c r="FI137" s="97"/>
      <c r="FJ137" s="97"/>
      <c r="FK137" s="97"/>
      <c r="FL137" s="97"/>
      <c r="FM137" s="97"/>
      <c r="FN137" s="97"/>
      <c r="FO137" s="97"/>
      <c r="FP137" s="97"/>
      <c r="FQ137" s="97"/>
      <c r="FR137" s="97"/>
      <c r="FS137" s="97"/>
      <c r="FT137" s="97"/>
      <c r="FU137" s="97"/>
      <c r="FV137" s="97"/>
      <c r="FW137" s="97"/>
      <c r="FX137" s="97"/>
      <c r="FY137" s="97"/>
      <c r="FZ137" s="97"/>
      <c r="GA137" s="97"/>
      <c r="GB137" s="97"/>
      <c r="GC137" s="97"/>
      <c r="GD137" s="97"/>
      <c r="GE137" s="97"/>
      <c r="GF137" s="97"/>
      <c r="GG137" s="97"/>
      <c r="GH137" s="97"/>
      <c r="GI137" s="97"/>
      <c r="GJ137" s="97"/>
      <c r="GK137" s="97"/>
      <c r="GL137" s="97"/>
      <c r="GM137" s="97"/>
      <c r="GN137" s="97"/>
      <c r="GO137" s="97"/>
      <c r="GP137" s="97"/>
      <c r="GQ137" s="97"/>
      <c r="GR137" s="97"/>
      <c r="GS137" s="97"/>
      <c r="GT137" s="97"/>
      <c r="GU137" s="97"/>
      <c r="GV137" s="97"/>
      <c r="GW137" s="97"/>
      <c r="GX137" s="97"/>
      <c r="GY137" s="97"/>
      <c r="GZ137" s="97"/>
      <c r="HA137" s="97"/>
      <c r="HB137" s="97"/>
      <c r="HC137" s="97"/>
      <c r="HD137" s="97"/>
      <c r="HE137" s="97"/>
      <c r="HF137" s="97"/>
      <c r="HG137" s="97"/>
      <c r="HH137" s="97"/>
      <c r="HI137" s="97"/>
      <c r="HJ137" s="97"/>
      <c r="HK137" s="97"/>
      <c r="HL137" s="97"/>
      <c r="HM137" s="97"/>
      <c r="HN137" s="97"/>
      <c r="HO137" s="97"/>
      <c r="HP137" s="97"/>
      <c r="HQ137" s="97"/>
      <c r="HR137" s="97"/>
      <c r="HS137" s="97"/>
      <c r="HT137" s="97"/>
      <c r="HU137" s="97"/>
      <c r="HV137" s="97"/>
      <c r="HW137" s="97"/>
      <c r="HX137" s="97"/>
      <c r="HY137" s="97"/>
      <c r="HZ137" s="97"/>
      <c r="IA137" s="97"/>
      <c r="IB137" s="97"/>
      <c r="IC137" s="97"/>
      <c r="ID137" s="97"/>
      <c r="IE137" s="97"/>
      <c r="IF137" s="97"/>
      <c r="IG137" s="97"/>
      <c r="IH137" s="97"/>
      <c r="II137" s="97"/>
      <c r="IJ137" s="97"/>
      <c r="IK137" s="97"/>
      <c r="IL137" s="97"/>
      <c r="IM137" s="97"/>
      <c r="IN137" s="97"/>
      <c r="IO137" s="97"/>
      <c r="IP137" s="97"/>
      <c r="IQ137" s="97"/>
      <c r="IR137" s="97"/>
      <c r="IS137" s="97"/>
    </row>
    <row r="138" spans="1:253" hidden="1">
      <c r="A138" s="28"/>
      <c r="J138" s="6">
        <v>81</v>
      </c>
      <c r="K138" s="19" t="str">
        <f>'Data Export'!B82</f>
        <v/>
      </c>
      <c r="L138" s="22" t="str">
        <f>IF(K138="", "", 'Steam Cookers'!AA8)</f>
        <v/>
      </c>
      <c r="M138" s="22" t="str">
        <f>IF(K138="", "", 'Steam Cookers'!AF8)</f>
        <v/>
      </c>
      <c r="N138" s="31" t="str">
        <f>IF(K138="", "", 'Steam Cookers'!J8)</f>
        <v/>
      </c>
      <c r="O138" s="83" t="str">
        <f>IF(K138="", "", 'Steam Cookers'!AG8)</f>
        <v/>
      </c>
      <c r="P138" s="6" t="str">
        <f t="shared" ref="P138:P145" si="10">IF(K138="","",CONCATENATE($C$10,J138))</f>
        <v/>
      </c>
      <c r="Q138" s="97"/>
      <c r="R138" s="146">
        <v>102</v>
      </c>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7"/>
      <c r="AT138" s="97"/>
      <c r="AU138" s="97"/>
      <c r="AV138" s="97"/>
      <c r="AW138" s="97"/>
      <c r="AX138" s="97"/>
      <c r="AY138" s="97"/>
      <c r="AZ138" s="97"/>
      <c r="BA138" s="97"/>
      <c r="BB138" s="97"/>
      <c r="BC138" s="97"/>
      <c r="BD138" s="97"/>
      <c r="BE138" s="97"/>
      <c r="BF138" s="97"/>
      <c r="BG138" s="97"/>
      <c r="BH138" s="97"/>
      <c r="BI138" s="97"/>
      <c r="BJ138" s="97"/>
      <c r="BK138" s="97"/>
      <c r="BL138" s="97"/>
      <c r="BM138" s="97"/>
      <c r="BN138" s="97"/>
      <c r="BO138" s="97"/>
      <c r="BP138" s="97"/>
      <c r="BQ138" s="97"/>
      <c r="BR138" s="97"/>
      <c r="BS138" s="97"/>
      <c r="BT138" s="97"/>
      <c r="BU138" s="97"/>
      <c r="BV138" s="97"/>
      <c r="BW138" s="97"/>
      <c r="BX138" s="97"/>
      <c r="BY138" s="97"/>
      <c r="BZ138" s="97"/>
      <c r="CA138" s="97"/>
      <c r="CB138" s="97"/>
      <c r="CC138" s="97"/>
      <c r="CD138" s="97"/>
      <c r="CE138" s="97"/>
      <c r="CF138" s="97"/>
      <c r="CG138" s="97"/>
      <c r="CH138" s="97"/>
      <c r="CI138" s="97"/>
      <c r="CJ138" s="97"/>
      <c r="CK138" s="97"/>
      <c r="CL138" s="97"/>
      <c r="CM138" s="97"/>
      <c r="CN138" s="97"/>
      <c r="CO138" s="97"/>
      <c r="CP138" s="97"/>
      <c r="CQ138" s="97"/>
      <c r="CR138" s="97"/>
      <c r="CS138" s="97"/>
      <c r="CT138" s="97"/>
      <c r="CU138" s="97"/>
      <c r="CV138" s="97"/>
      <c r="CW138" s="97"/>
      <c r="CX138" s="97"/>
      <c r="CY138" s="97"/>
      <c r="CZ138" s="97"/>
      <c r="DA138" s="97"/>
      <c r="DB138" s="97"/>
      <c r="DC138" s="97"/>
      <c r="DD138" s="97"/>
      <c r="DE138" s="97"/>
      <c r="DF138" s="97"/>
      <c r="DG138" s="97"/>
      <c r="DH138" s="97"/>
      <c r="DI138" s="97"/>
      <c r="DJ138" s="97"/>
      <c r="DK138" s="97"/>
      <c r="DL138" s="97"/>
      <c r="DM138" s="97"/>
      <c r="DN138" s="97"/>
      <c r="DO138" s="97"/>
      <c r="DP138" s="97"/>
      <c r="DQ138" s="97"/>
      <c r="DR138" s="97"/>
      <c r="DS138" s="97"/>
      <c r="DT138" s="97"/>
      <c r="DU138" s="97"/>
      <c r="DV138" s="97"/>
      <c r="DW138" s="97"/>
      <c r="DX138" s="97"/>
      <c r="DY138" s="97"/>
      <c r="DZ138" s="97"/>
      <c r="EA138" s="97"/>
      <c r="EB138" s="97"/>
      <c r="EC138" s="97"/>
      <c r="ED138" s="97"/>
      <c r="EE138" s="97"/>
      <c r="EF138" s="97"/>
      <c r="EG138" s="97"/>
      <c r="EH138" s="97"/>
      <c r="EI138" s="97"/>
      <c r="EJ138" s="97"/>
      <c r="EK138" s="97"/>
      <c r="EL138" s="97"/>
      <c r="EM138" s="97"/>
      <c r="EN138" s="97"/>
      <c r="EO138" s="97"/>
      <c r="EP138" s="97"/>
      <c r="EQ138" s="97"/>
      <c r="ER138" s="97"/>
      <c r="ES138" s="97"/>
      <c r="ET138" s="97"/>
      <c r="EU138" s="97"/>
      <c r="EV138" s="97"/>
      <c r="EW138" s="97"/>
      <c r="EX138" s="97"/>
      <c r="EY138" s="97"/>
      <c r="EZ138" s="97"/>
      <c r="FA138" s="97"/>
      <c r="FB138" s="97"/>
      <c r="FC138" s="97"/>
      <c r="FD138" s="97"/>
      <c r="FE138" s="97"/>
      <c r="FF138" s="97"/>
      <c r="FG138" s="97"/>
      <c r="FH138" s="97"/>
      <c r="FI138" s="97"/>
      <c r="FJ138" s="97"/>
      <c r="FK138" s="97"/>
      <c r="FL138" s="97"/>
      <c r="FM138" s="97"/>
      <c r="FN138" s="97"/>
      <c r="FO138" s="97"/>
      <c r="FP138" s="97"/>
      <c r="FQ138" s="97"/>
      <c r="FR138" s="97"/>
      <c r="FS138" s="97"/>
      <c r="FT138" s="97"/>
      <c r="FU138" s="97"/>
      <c r="FV138" s="97"/>
      <c r="FW138" s="97"/>
      <c r="FX138" s="97"/>
      <c r="FY138" s="97"/>
      <c r="FZ138" s="97"/>
      <c r="GA138" s="97"/>
      <c r="GB138" s="97"/>
      <c r="GC138" s="97"/>
      <c r="GD138" s="97"/>
      <c r="GE138" s="97"/>
      <c r="GF138" s="97"/>
      <c r="GG138" s="97"/>
      <c r="GH138" s="97"/>
      <c r="GI138" s="97"/>
      <c r="GJ138" s="97"/>
      <c r="GK138" s="97"/>
      <c r="GL138" s="97"/>
      <c r="GM138" s="97"/>
      <c r="GN138" s="97"/>
      <c r="GO138" s="97"/>
      <c r="GP138" s="97"/>
      <c r="GQ138" s="97"/>
      <c r="GR138" s="97"/>
      <c r="GS138" s="97"/>
      <c r="GT138" s="97"/>
      <c r="GU138" s="97"/>
      <c r="GV138" s="97"/>
      <c r="GW138" s="97"/>
      <c r="GX138" s="97"/>
      <c r="GY138" s="97"/>
      <c r="GZ138" s="97"/>
      <c r="HA138" s="97"/>
      <c r="HB138" s="97"/>
      <c r="HC138" s="97"/>
      <c r="HD138" s="97"/>
      <c r="HE138" s="97"/>
      <c r="HF138" s="97"/>
      <c r="HG138" s="97"/>
      <c r="HH138" s="97"/>
      <c r="HI138" s="97"/>
      <c r="HJ138" s="97"/>
      <c r="HK138" s="97"/>
      <c r="HL138" s="97"/>
      <c r="HM138" s="97"/>
      <c r="HN138" s="97"/>
      <c r="HO138" s="97"/>
      <c r="HP138" s="97"/>
      <c r="HQ138" s="97"/>
      <c r="HR138" s="97"/>
      <c r="HS138" s="97"/>
      <c r="HT138" s="97"/>
      <c r="HU138" s="97"/>
      <c r="HV138" s="97"/>
      <c r="HW138" s="97"/>
      <c r="HX138" s="97"/>
      <c r="HY138" s="97"/>
      <c r="HZ138" s="97"/>
      <c r="IA138" s="97"/>
      <c r="IB138" s="97"/>
      <c r="IC138" s="97"/>
      <c r="ID138" s="97"/>
      <c r="IE138" s="97"/>
      <c r="IF138" s="97"/>
      <c r="IG138" s="97"/>
      <c r="IH138" s="97"/>
      <c r="II138" s="97"/>
      <c r="IJ138" s="97"/>
      <c r="IK138" s="97"/>
      <c r="IL138" s="97"/>
      <c r="IM138" s="97"/>
      <c r="IN138" s="97"/>
      <c r="IO138" s="97"/>
      <c r="IP138" s="97"/>
      <c r="IQ138" s="97"/>
      <c r="IR138" s="97"/>
      <c r="IS138" s="97"/>
    </row>
    <row r="139" spans="1:253" hidden="1">
      <c r="A139" s="28"/>
      <c r="J139" s="6">
        <v>82</v>
      </c>
      <c r="K139" s="19" t="str">
        <f>'Data Export'!B83</f>
        <v/>
      </c>
      <c r="L139" s="22" t="str">
        <f>IF(K139="", "", 'Steam Cookers'!AA9)</f>
        <v/>
      </c>
      <c r="M139" s="22" t="str">
        <f>IF(K139="", "", 'Steam Cookers'!AF9)</f>
        <v/>
      </c>
      <c r="N139" s="31" t="str">
        <f>IF(K139="", "", 'Steam Cookers'!J9)</f>
        <v/>
      </c>
      <c r="O139" s="83" t="str">
        <f>IF(K139="", "", 'Steam Cookers'!AG9)</f>
        <v/>
      </c>
      <c r="P139" s="6" t="str">
        <f t="shared" si="10"/>
        <v/>
      </c>
      <c r="Q139" s="97"/>
      <c r="R139" s="146">
        <v>103</v>
      </c>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c r="BJ139" s="97"/>
      <c r="BK139" s="97"/>
      <c r="BL139" s="97"/>
      <c r="BM139" s="97"/>
      <c r="BN139" s="97"/>
      <c r="BO139" s="97"/>
      <c r="BP139" s="97"/>
      <c r="BQ139" s="97"/>
      <c r="BR139" s="97"/>
      <c r="BS139" s="97"/>
      <c r="BT139" s="97"/>
      <c r="BU139" s="97"/>
      <c r="BV139" s="97"/>
      <c r="BW139" s="97"/>
      <c r="BX139" s="97"/>
      <c r="BY139" s="97"/>
      <c r="BZ139" s="97"/>
      <c r="CA139" s="97"/>
      <c r="CB139" s="97"/>
      <c r="CC139" s="97"/>
      <c r="CD139" s="97"/>
      <c r="CE139" s="97"/>
      <c r="CF139" s="97"/>
      <c r="CG139" s="97"/>
      <c r="CH139" s="97"/>
      <c r="CI139" s="97"/>
      <c r="CJ139" s="97"/>
      <c r="CK139" s="97"/>
      <c r="CL139" s="97"/>
      <c r="CM139" s="97"/>
      <c r="CN139" s="97"/>
      <c r="CO139" s="97"/>
      <c r="CP139" s="97"/>
      <c r="CQ139" s="97"/>
      <c r="CR139" s="97"/>
      <c r="CS139" s="97"/>
      <c r="CT139" s="97"/>
      <c r="CU139" s="97"/>
      <c r="CV139" s="97"/>
      <c r="CW139" s="97"/>
      <c r="CX139" s="97"/>
      <c r="CY139" s="97"/>
      <c r="CZ139" s="97"/>
      <c r="DA139" s="97"/>
      <c r="DB139" s="97"/>
      <c r="DC139" s="97"/>
      <c r="DD139" s="97"/>
      <c r="DE139" s="97"/>
      <c r="DF139" s="97"/>
      <c r="DG139" s="97"/>
      <c r="DH139" s="97"/>
      <c r="DI139" s="97"/>
      <c r="DJ139" s="97"/>
      <c r="DK139" s="97"/>
      <c r="DL139" s="97"/>
      <c r="DM139" s="97"/>
      <c r="DN139" s="97"/>
      <c r="DO139" s="97"/>
      <c r="DP139" s="97"/>
      <c r="DQ139" s="97"/>
      <c r="DR139" s="97"/>
      <c r="DS139" s="97"/>
      <c r="DT139" s="97"/>
      <c r="DU139" s="97"/>
      <c r="DV139" s="97"/>
      <c r="DW139" s="97"/>
      <c r="DX139" s="97"/>
      <c r="DY139" s="97"/>
      <c r="DZ139" s="97"/>
      <c r="EA139" s="97"/>
      <c r="EB139" s="97"/>
      <c r="EC139" s="97"/>
      <c r="ED139" s="97"/>
      <c r="EE139" s="97"/>
      <c r="EF139" s="97"/>
      <c r="EG139" s="97"/>
      <c r="EH139" s="97"/>
      <c r="EI139" s="97"/>
      <c r="EJ139" s="97"/>
      <c r="EK139" s="97"/>
      <c r="EL139" s="97"/>
      <c r="EM139" s="97"/>
      <c r="EN139" s="97"/>
      <c r="EO139" s="97"/>
      <c r="EP139" s="97"/>
      <c r="EQ139" s="97"/>
      <c r="ER139" s="97"/>
      <c r="ES139" s="97"/>
      <c r="ET139" s="97"/>
      <c r="EU139" s="97"/>
      <c r="EV139" s="97"/>
      <c r="EW139" s="97"/>
      <c r="EX139" s="97"/>
      <c r="EY139" s="97"/>
      <c r="EZ139" s="97"/>
      <c r="FA139" s="97"/>
      <c r="FB139" s="97"/>
      <c r="FC139" s="97"/>
      <c r="FD139" s="97"/>
      <c r="FE139" s="97"/>
      <c r="FF139" s="97"/>
      <c r="FG139" s="97"/>
      <c r="FH139" s="97"/>
      <c r="FI139" s="97"/>
      <c r="FJ139" s="97"/>
      <c r="FK139" s="97"/>
      <c r="FL139" s="97"/>
      <c r="FM139" s="97"/>
      <c r="FN139" s="97"/>
      <c r="FO139" s="97"/>
      <c r="FP139" s="97"/>
      <c r="FQ139" s="97"/>
      <c r="FR139" s="97"/>
      <c r="FS139" s="97"/>
      <c r="FT139" s="97"/>
      <c r="FU139" s="97"/>
      <c r="FV139" s="97"/>
      <c r="FW139" s="97"/>
      <c r="FX139" s="97"/>
      <c r="FY139" s="97"/>
      <c r="FZ139" s="97"/>
      <c r="GA139" s="97"/>
      <c r="GB139" s="97"/>
      <c r="GC139" s="97"/>
      <c r="GD139" s="97"/>
      <c r="GE139" s="97"/>
      <c r="GF139" s="97"/>
      <c r="GG139" s="97"/>
      <c r="GH139" s="97"/>
      <c r="GI139" s="97"/>
      <c r="GJ139" s="97"/>
      <c r="GK139" s="97"/>
      <c r="GL139" s="97"/>
      <c r="GM139" s="97"/>
      <c r="GN139" s="97"/>
      <c r="GO139" s="97"/>
      <c r="GP139" s="97"/>
      <c r="GQ139" s="97"/>
      <c r="GR139" s="97"/>
      <c r="GS139" s="97"/>
      <c r="GT139" s="97"/>
      <c r="GU139" s="97"/>
      <c r="GV139" s="97"/>
      <c r="GW139" s="97"/>
      <c r="GX139" s="97"/>
      <c r="GY139" s="97"/>
      <c r="GZ139" s="97"/>
      <c r="HA139" s="97"/>
      <c r="HB139" s="97"/>
      <c r="HC139" s="97"/>
      <c r="HD139" s="97"/>
      <c r="HE139" s="97"/>
      <c r="HF139" s="97"/>
      <c r="HG139" s="97"/>
      <c r="HH139" s="97"/>
      <c r="HI139" s="97"/>
      <c r="HJ139" s="97"/>
      <c r="HK139" s="97"/>
      <c r="HL139" s="97"/>
      <c r="HM139" s="97"/>
      <c r="HN139" s="97"/>
      <c r="HO139" s="97"/>
      <c r="HP139" s="97"/>
      <c r="HQ139" s="97"/>
      <c r="HR139" s="97"/>
      <c r="HS139" s="97"/>
      <c r="HT139" s="97"/>
      <c r="HU139" s="97"/>
      <c r="HV139" s="97"/>
      <c r="HW139" s="97"/>
      <c r="HX139" s="97"/>
      <c r="HY139" s="97"/>
      <c r="HZ139" s="97"/>
      <c r="IA139" s="97"/>
      <c r="IB139" s="97"/>
      <c r="IC139" s="97"/>
      <c r="ID139" s="97"/>
      <c r="IE139" s="97"/>
      <c r="IF139" s="97"/>
      <c r="IG139" s="97"/>
      <c r="IH139" s="97"/>
      <c r="II139" s="97"/>
      <c r="IJ139" s="97"/>
      <c r="IK139" s="97"/>
      <c r="IL139" s="97"/>
      <c r="IM139" s="97"/>
      <c r="IN139" s="97"/>
      <c r="IO139" s="97"/>
      <c r="IP139" s="97"/>
      <c r="IQ139" s="97"/>
      <c r="IR139" s="97"/>
      <c r="IS139" s="97"/>
    </row>
    <row r="140" spans="1:253" hidden="1">
      <c r="A140" s="28"/>
      <c r="J140" s="6">
        <v>83</v>
      </c>
      <c r="K140" s="19" t="str">
        <f>'Data Export'!B84</f>
        <v/>
      </c>
      <c r="L140" s="22" t="str">
        <f>IF(K140="", "", 'Steam Cookers'!AA10)</f>
        <v/>
      </c>
      <c r="M140" s="22" t="str">
        <f>IF(K140="", "", 'Steam Cookers'!AF10)</f>
        <v/>
      </c>
      <c r="N140" s="31" t="str">
        <f>IF(K140="", "", 'Steam Cookers'!J10)</f>
        <v/>
      </c>
      <c r="O140" s="83" t="str">
        <f>IF(K140="", "", 'Steam Cookers'!AG10)</f>
        <v/>
      </c>
      <c r="P140" s="6" t="str">
        <f t="shared" si="10"/>
        <v/>
      </c>
      <c r="Q140" s="97"/>
      <c r="R140" s="146">
        <v>104</v>
      </c>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D140" s="97"/>
      <c r="BE140" s="97"/>
      <c r="BF140" s="97"/>
      <c r="BG140" s="97"/>
      <c r="BH140" s="97"/>
      <c r="BI140" s="97"/>
      <c r="BJ140" s="97"/>
      <c r="BK140" s="97"/>
      <c r="BL140" s="97"/>
      <c r="BM140" s="97"/>
      <c r="BN140" s="97"/>
      <c r="BO140" s="97"/>
      <c r="BP140" s="97"/>
      <c r="BQ140" s="97"/>
      <c r="BR140" s="97"/>
      <c r="BS140" s="97"/>
      <c r="BT140" s="97"/>
      <c r="BU140" s="97"/>
      <c r="BV140" s="97"/>
      <c r="BW140" s="97"/>
      <c r="BX140" s="97"/>
      <c r="BY140" s="97"/>
      <c r="BZ140" s="97"/>
      <c r="CA140" s="97"/>
      <c r="CB140" s="97"/>
      <c r="CC140" s="97"/>
      <c r="CD140" s="97"/>
      <c r="CE140" s="97"/>
      <c r="CF140" s="97"/>
      <c r="CG140" s="97"/>
      <c r="CH140" s="97"/>
      <c r="CI140" s="97"/>
      <c r="CJ140" s="97"/>
      <c r="CK140" s="97"/>
      <c r="CL140" s="97"/>
      <c r="CM140" s="97"/>
      <c r="CN140" s="97"/>
      <c r="CO140" s="97"/>
      <c r="CP140" s="97"/>
      <c r="CQ140" s="97"/>
      <c r="CR140" s="97"/>
      <c r="CS140" s="97"/>
      <c r="CT140" s="97"/>
      <c r="CU140" s="97"/>
      <c r="CV140" s="97"/>
      <c r="CW140" s="97"/>
      <c r="CX140" s="97"/>
      <c r="CY140" s="97"/>
      <c r="CZ140" s="97"/>
      <c r="DA140" s="97"/>
      <c r="DB140" s="97"/>
      <c r="DC140" s="97"/>
      <c r="DD140" s="97"/>
      <c r="DE140" s="97"/>
      <c r="DF140" s="97"/>
      <c r="DG140" s="97"/>
      <c r="DH140" s="97"/>
      <c r="DI140" s="97"/>
      <c r="DJ140" s="97"/>
      <c r="DK140" s="97"/>
      <c r="DL140" s="97"/>
      <c r="DM140" s="97"/>
      <c r="DN140" s="97"/>
      <c r="DO140" s="97"/>
      <c r="DP140" s="97"/>
      <c r="DQ140" s="97"/>
      <c r="DR140" s="97"/>
      <c r="DS140" s="97"/>
      <c r="DT140" s="97"/>
      <c r="DU140" s="97"/>
      <c r="DV140" s="97"/>
      <c r="DW140" s="97"/>
      <c r="DX140" s="97"/>
      <c r="DY140" s="97"/>
      <c r="DZ140" s="97"/>
      <c r="EA140" s="97"/>
      <c r="EB140" s="97"/>
      <c r="EC140" s="97"/>
      <c r="ED140" s="97"/>
      <c r="EE140" s="97"/>
      <c r="EF140" s="97"/>
      <c r="EG140" s="97"/>
      <c r="EH140" s="97"/>
      <c r="EI140" s="97"/>
      <c r="EJ140" s="97"/>
      <c r="EK140" s="97"/>
      <c r="EL140" s="97"/>
      <c r="EM140" s="97"/>
      <c r="EN140" s="97"/>
      <c r="EO140" s="97"/>
      <c r="EP140" s="97"/>
      <c r="EQ140" s="97"/>
      <c r="ER140" s="97"/>
      <c r="ES140" s="97"/>
      <c r="ET140" s="97"/>
      <c r="EU140" s="97"/>
      <c r="EV140" s="97"/>
      <c r="EW140" s="97"/>
      <c r="EX140" s="97"/>
      <c r="EY140" s="97"/>
      <c r="EZ140" s="97"/>
      <c r="FA140" s="97"/>
      <c r="FB140" s="97"/>
      <c r="FC140" s="97"/>
      <c r="FD140" s="97"/>
      <c r="FE140" s="97"/>
      <c r="FF140" s="97"/>
      <c r="FG140" s="97"/>
      <c r="FH140" s="97"/>
      <c r="FI140" s="97"/>
      <c r="FJ140" s="97"/>
      <c r="FK140" s="97"/>
      <c r="FL140" s="97"/>
      <c r="FM140" s="97"/>
      <c r="FN140" s="97"/>
      <c r="FO140" s="97"/>
      <c r="FP140" s="97"/>
      <c r="FQ140" s="97"/>
      <c r="FR140" s="97"/>
      <c r="FS140" s="97"/>
      <c r="FT140" s="97"/>
      <c r="FU140" s="97"/>
      <c r="FV140" s="97"/>
      <c r="FW140" s="97"/>
      <c r="FX140" s="97"/>
      <c r="FY140" s="97"/>
      <c r="FZ140" s="97"/>
      <c r="GA140" s="97"/>
      <c r="GB140" s="97"/>
      <c r="GC140" s="97"/>
      <c r="GD140" s="97"/>
      <c r="GE140" s="97"/>
      <c r="GF140" s="97"/>
      <c r="GG140" s="97"/>
      <c r="GH140" s="97"/>
      <c r="GI140" s="97"/>
      <c r="GJ140" s="97"/>
      <c r="GK140" s="97"/>
      <c r="GL140" s="97"/>
      <c r="GM140" s="97"/>
      <c r="GN140" s="97"/>
      <c r="GO140" s="97"/>
      <c r="GP140" s="97"/>
      <c r="GQ140" s="97"/>
      <c r="GR140" s="97"/>
      <c r="GS140" s="97"/>
      <c r="GT140" s="97"/>
      <c r="GU140" s="97"/>
      <c r="GV140" s="97"/>
      <c r="GW140" s="97"/>
      <c r="GX140" s="97"/>
      <c r="GY140" s="97"/>
      <c r="GZ140" s="97"/>
      <c r="HA140" s="97"/>
      <c r="HB140" s="97"/>
      <c r="HC140" s="97"/>
      <c r="HD140" s="97"/>
      <c r="HE140" s="97"/>
      <c r="HF140" s="97"/>
      <c r="HG140" s="97"/>
      <c r="HH140" s="97"/>
      <c r="HI140" s="97"/>
      <c r="HJ140" s="97"/>
      <c r="HK140" s="97"/>
      <c r="HL140" s="97"/>
      <c r="HM140" s="97"/>
      <c r="HN140" s="97"/>
      <c r="HO140" s="97"/>
      <c r="HP140" s="97"/>
      <c r="HQ140" s="97"/>
      <c r="HR140" s="97"/>
      <c r="HS140" s="97"/>
      <c r="HT140" s="97"/>
      <c r="HU140" s="97"/>
      <c r="HV140" s="97"/>
      <c r="HW140" s="97"/>
      <c r="HX140" s="97"/>
      <c r="HY140" s="97"/>
      <c r="HZ140" s="97"/>
      <c r="IA140" s="97"/>
      <c r="IB140" s="97"/>
      <c r="IC140" s="97"/>
      <c r="ID140" s="97"/>
      <c r="IE140" s="97"/>
      <c r="IF140" s="97"/>
      <c r="IG140" s="97"/>
      <c r="IH140" s="97"/>
      <c r="II140" s="97"/>
      <c r="IJ140" s="97"/>
      <c r="IK140" s="97"/>
      <c r="IL140" s="97"/>
      <c r="IM140" s="97"/>
      <c r="IN140" s="97"/>
      <c r="IO140" s="97"/>
      <c r="IP140" s="97"/>
      <c r="IQ140" s="97"/>
      <c r="IR140" s="97"/>
      <c r="IS140" s="97"/>
    </row>
    <row r="141" spans="1:253" hidden="1">
      <c r="A141" s="28"/>
      <c r="J141" s="6">
        <v>84</v>
      </c>
      <c r="K141" s="19" t="str">
        <f>'Data Export'!B85</f>
        <v/>
      </c>
      <c r="L141" s="22" t="str">
        <f>IF(K141="", "", 'Steam Cookers'!AA11)</f>
        <v/>
      </c>
      <c r="M141" s="22" t="str">
        <f>IF(K141="", "", 'Steam Cookers'!AF11)</f>
        <v/>
      </c>
      <c r="N141" s="31" t="str">
        <f>IF(K141="", "", 'Steam Cookers'!J11)</f>
        <v/>
      </c>
      <c r="O141" s="83" t="str">
        <f>IF(K141="", "", 'Steam Cookers'!AG11)</f>
        <v/>
      </c>
      <c r="P141" s="6" t="str">
        <f t="shared" si="10"/>
        <v/>
      </c>
      <c r="Q141" s="97"/>
      <c r="R141" s="146">
        <v>105</v>
      </c>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7"/>
      <c r="AT141" s="97"/>
      <c r="AU141" s="97"/>
      <c r="AV141" s="97"/>
      <c r="AW141" s="97"/>
      <c r="AX141" s="97"/>
      <c r="AY141" s="97"/>
      <c r="AZ141" s="97"/>
      <c r="BA141" s="97"/>
      <c r="BB141" s="97"/>
      <c r="BC141" s="97"/>
      <c r="BD141" s="97"/>
      <c r="BE141" s="97"/>
      <c r="BF141" s="97"/>
      <c r="BG141" s="97"/>
      <c r="BH141" s="97"/>
      <c r="BI141" s="97"/>
      <c r="BJ141" s="97"/>
      <c r="BK141" s="97"/>
      <c r="BL141" s="97"/>
      <c r="BM141" s="97"/>
      <c r="BN141" s="97"/>
      <c r="BO141" s="97"/>
      <c r="BP141" s="97"/>
      <c r="BQ141" s="97"/>
      <c r="BR141" s="97"/>
      <c r="BS141" s="97"/>
      <c r="BT141" s="97"/>
      <c r="BU141" s="97"/>
      <c r="BV141" s="97"/>
      <c r="BW141" s="97"/>
      <c r="BX141" s="97"/>
      <c r="BY141" s="97"/>
      <c r="BZ141" s="97"/>
      <c r="CA141" s="97"/>
      <c r="CB141" s="97"/>
      <c r="CC141" s="97"/>
      <c r="CD141" s="97"/>
      <c r="CE141" s="97"/>
      <c r="CF141" s="97"/>
      <c r="CG141" s="97"/>
      <c r="CH141" s="97"/>
      <c r="CI141" s="97"/>
      <c r="CJ141" s="97"/>
      <c r="CK141" s="97"/>
      <c r="CL141" s="97"/>
      <c r="CM141" s="97"/>
      <c r="CN141" s="97"/>
      <c r="CO141" s="97"/>
      <c r="CP141" s="97"/>
      <c r="CQ141" s="97"/>
      <c r="CR141" s="97"/>
      <c r="CS141" s="97"/>
      <c r="CT141" s="97"/>
      <c r="CU141" s="97"/>
      <c r="CV141" s="97"/>
      <c r="CW141" s="97"/>
      <c r="CX141" s="97"/>
      <c r="CY141" s="97"/>
      <c r="CZ141" s="97"/>
      <c r="DA141" s="97"/>
      <c r="DB141" s="97"/>
      <c r="DC141" s="97"/>
      <c r="DD141" s="97"/>
      <c r="DE141" s="97"/>
      <c r="DF141" s="97"/>
      <c r="DG141" s="97"/>
      <c r="DH141" s="97"/>
      <c r="DI141" s="97"/>
      <c r="DJ141" s="97"/>
      <c r="DK141" s="97"/>
      <c r="DL141" s="97"/>
      <c r="DM141" s="97"/>
      <c r="DN141" s="97"/>
      <c r="DO141" s="97"/>
      <c r="DP141" s="97"/>
      <c r="DQ141" s="97"/>
      <c r="DR141" s="97"/>
      <c r="DS141" s="97"/>
      <c r="DT141" s="97"/>
      <c r="DU141" s="97"/>
      <c r="DV141" s="97"/>
      <c r="DW141" s="97"/>
      <c r="DX141" s="97"/>
      <c r="DY141" s="97"/>
      <c r="DZ141" s="97"/>
      <c r="EA141" s="97"/>
      <c r="EB141" s="97"/>
      <c r="EC141" s="97"/>
      <c r="ED141" s="97"/>
      <c r="EE141" s="97"/>
      <c r="EF141" s="97"/>
      <c r="EG141" s="97"/>
      <c r="EH141" s="97"/>
      <c r="EI141" s="97"/>
      <c r="EJ141" s="97"/>
      <c r="EK141" s="97"/>
      <c r="EL141" s="97"/>
      <c r="EM141" s="97"/>
      <c r="EN141" s="97"/>
      <c r="EO141" s="97"/>
      <c r="EP141" s="97"/>
      <c r="EQ141" s="97"/>
      <c r="ER141" s="97"/>
      <c r="ES141" s="97"/>
      <c r="ET141" s="97"/>
      <c r="EU141" s="97"/>
      <c r="EV141" s="97"/>
      <c r="EW141" s="97"/>
      <c r="EX141" s="97"/>
      <c r="EY141" s="97"/>
      <c r="EZ141" s="97"/>
      <c r="FA141" s="97"/>
      <c r="FB141" s="97"/>
      <c r="FC141" s="97"/>
      <c r="FD141" s="97"/>
      <c r="FE141" s="97"/>
      <c r="FF141" s="97"/>
      <c r="FG141" s="97"/>
      <c r="FH141" s="97"/>
      <c r="FI141" s="97"/>
      <c r="FJ141" s="97"/>
      <c r="FK141" s="97"/>
      <c r="FL141" s="97"/>
      <c r="FM141" s="97"/>
      <c r="FN141" s="97"/>
      <c r="FO141" s="97"/>
      <c r="FP141" s="97"/>
      <c r="FQ141" s="97"/>
      <c r="FR141" s="97"/>
      <c r="FS141" s="97"/>
      <c r="FT141" s="97"/>
      <c r="FU141" s="97"/>
      <c r="FV141" s="97"/>
      <c r="FW141" s="97"/>
      <c r="FX141" s="97"/>
      <c r="FY141" s="97"/>
      <c r="FZ141" s="97"/>
      <c r="GA141" s="97"/>
      <c r="GB141" s="97"/>
      <c r="GC141" s="97"/>
      <c r="GD141" s="97"/>
      <c r="GE141" s="97"/>
      <c r="GF141" s="97"/>
      <c r="GG141" s="97"/>
      <c r="GH141" s="97"/>
      <c r="GI141" s="97"/>
      <c r="GJ141" s="97"/>
      <c r="GK141" s="97"/>
      <c r="GL141" s="97"/>
      <c r="GM141" s="97"/>
      <c r="GN141" s="97"/>
      <c r="GO141" s="97"/>
      <c r="GP141" s="97"/>
      <c r="GQ141" s="97"/>
      <c r="GR141" s="97"/>
      <c r="GS141" s="97"/>
      <c r="GT141" s="97"/>
      <c r="GU141" s="97"/>
      <c r="GV141" s="97"/>
      <c r="GW141" s="97"/>
      <c r="GX141" s="97"/>
      <c r="GY141" s="97"/>
      <c r="GZ141" s="97"/>
      <c r="HA141" s="97"/>
      <c r="HB141" s="97"/>
      <c r="HC141" s="97"/>
      <c r="HD141" s="97"/>
      <c r="HE141" s="97"/>
      <c r="HF141" s="97"/>
      <c r="HG141" s="97"/>
      <c r="HH141" s="97"/>
      <c r="HI141" s="97"/>
      <c r="HJ141" s="97"/>
      <c r="HK141" s="97"/>
      <c r="HL141" s="97"/>
      <c r="HM141" s="97"/>
      <c r="HN141" s="97"/>
      <c r="HO141" s="97"/>
      <c r="HP141" s="97"/>
      <c r="HQ141" s="97"/>
      <c r="HR141" s="97"/>
      <c r="HS141" s="97"/>
      <c r="HT141" s="97"/>
      <c r="HU141" s="97"/>
      <c r="HV141" s="97"/>
      <c r="HW141" s="97"/>
      <c r="HX141" s="97"/>
      <c r="HY141" s="97"/>
      <c r="HZ141" s="97"/>
      <c r="IA141" s="97"/>
      <c r="IB141" s="97"/>
      <c r="IC141" s="97"/>
      <c r="ID141" s="97"/>
      <c r="IE141" s="97"/>
      <c r="IF141" s="97"/>
      <c r="IG141" s="97"/>
      <c r="IH141" s="97"/>
      <c r="II141" s="97"/>
      <c r="IJ141" s="97"/>
      <c r="IK141" s="97"/>
      <c r="IL141" s="97"/>
      <c r="IM141" s="97"/>
      <c r="IN141" s="97"/>
      <c r="IO141" s="97"/>
      <c r="IP141" s="97"/>
      <c r="IQ141" s="97"/>
      <c r="IR141" s="97"/>
      <c r="IS141" s="97"/>
    </row>
    <row r="142" spans="1:253" hidden="1">
      <c r="A142" s="28"/>
      <c r="J142" s="6">
        <v>85</v>
      </c>
      <c r="K142" s="19" t="str">
        <f>'Data Export'!B86</f>
        <v/>
      </c>
      <c r="L142" s="22" t="str">
        <f>IF(K142="", "", 'Steam Cookers'!AA12)</f>
        <v/>
      </c>
      <c r="M142" s="22" t="str">
        <f>IF(K142="", "", 'Steam Cookers'!AF12)</f>
        <v/>
      </c>
      <c r="N142" s="31" t="str">
        <f>IF(K142="", "", 'Steam Cookers'!J12)</f>
        <v/>
      </c>
      <c r="O142" s="83" t="str">
        <f>IF(K142="", "", 'Steam Cookers'!AG12)</f>
        <v/>
      </c>
      <c r="P142" s="6" t="str">
        <f t="shared" si="10"/>
        <v/>
      </c>
      <c r="Q142" s="97"/>
      <c r="R142" s="146">
        <v>106</v>
      </c>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7"/>
      <c r="BR142" s="97"/>
      <c r="BS142" s="97"/>
      <c r="BT142" s="97"/>
      <c r="BU142" s="97"/>
      <c r="BV142" s="97"/>
      <c r="BW142" s="97"/>
      <c r="BX142" s="97"/>
      <c r="BY142" s="97"/>
      <c r="BZ142" s="97"/>
      <c r="CA142" s="97"/>
      <c r="CB142" s="97"/>
      <c r="CC142" s="97"/>
      <c r="CD142" s="97"/>
      <c r="CE142" s="97"/>
      <c r="CF142" s="97"/>
      <c r="CG142" s="97"/>
      <c r="CH142" s="97"/>
      <c r="CI142" s="97"/>
      <c r="CJ142" s="97"/>
      <c r="CK142" s="97"/>
      <c r="CL142" s="97"/>
      <c r="CM142" s="97"/>
      <c r="CN142" s="97"/>
      <c r="CO142" s="97"/>
      <c r="CP142" s="97"/>
      <c r="CQ142" s="97"/>
      <c r="CR142" s="97"/>
      <c r="CS142" s="97"/>
      <c r="CT142" s="97"/>
      <c r="CU142" s="97"/>
      <c r="CV142" s="97"/>
      <c r="CW142" s="97"/>
      <c r="CX142" s="97"/>
      <c r="CY142" s="97"/>
      <c r="CZ142" s="97"/>
      <c r="DA142" s="97"/>
      <c r="DB142" s="97"/>
      <c r="DC142" s="97"/>
      <c r="DD142" s="97"/>
      <c r="DE142" s="97"/>
      <c r="DF142" s="97"/>
      <c r="DG142" s="97"/>
      <c r="DH142" s="97"/>
      <c r="DI142" s="97"/>
      <c r="DJ142" s="97"/>
      <c r="DK142" s="97"/>
      <c r="DL142" s="97"/>
      <c r="DM142" s="97"/>
      <c r="DN142" s="97"/>
      <c r="DO142" s="97"/>
      <c r="DP142" s="97"/>
      <c r="DQ142" s="97"/>
      <c r="DR142" s="97"/>
      <c r="DS142" s="97"/>
      <c r="DT142" s="97"/>
      <c r="DU142" s="97"/>
      <c r="DV142" s="97"/>
      <c r="DW142" s="97"/>
      <c r="DX142" s="97"/>
      <c r="DY142" s="97"/>
      <c r="DZ142" s="97"/>
      <c r="EA142" s="97"/>
      <c r="EB142" s="97"/>
      <c r="EC142" s="97"/>
      <c r="ED142" s="97"/>
      <c r="EE142" s="97"/>
      <c r="EF142" s="97"/>
      <c r="EG142" s="97"/>
      <c r="EH142" s="97"/>
      <c r="EI142" s="97"/>
      <c r="EJ142" s="97"/>
      <c r="EK142" s="97"/>
      <c r="EL142" s="97"/>
      <c r="EM142" s="97"/>
      <c r="EN142" s="97"/>
      <c r="EO142" s="97"/>
      <c r="EP142" s="97"/>
      <c r="EQ142" s="97"/>
      <c r="ER142" s="97"/>
      <c r="ES142" s="97"/>
      <c r="ET142" s="97"/>
      <c r="EU142" s="97"/>
      <c r="EV142" s="97"/>
      <c r="EW142" s="97"/>
      <c r="EX142" s="97"/>
      <c r="EY142" s="97"/>
      <c r="EZ142" s="97"/>
      <c r="FA142" s="97"/>
      <c r="FB142" s="97"/>
      <c r="FC142" s="97"/>
      <c r="FD142" s="97"/>
      <c r="FE142" s="97"/>
      <c r="FF142" s="97"/>
      <c r="FG142" s="97"/>
      <c r="FH142" s="97"/>
      <c r="FI142" s="97"/>
      <c r="FJ142" s="97"/>
      <c r="FK142" s="97"/>
      <c r="FL142" s="97"/>
      <c r="FM142" s="97"/>
      <c r="FN142" s="97"/>
      <c r="FO142" s="97"/>
      <c r="FP142" s="97"/>
      <c r="FQ142" s="97"/>
      <c r="FR142" s="97"/>
      <c r="FS142" s="97"/>
      <c r="FT142" s="97"/>
      <c r="FU142" s="97"/>
      <c r="FV142" s="97"/>
      <c r="FW142" s="97"/>
      <c r="FX142" s="97"/>
      <c r="FY142" s="97"/>
      <c r="FZ142" s="97"/>
      <c r="GA142" s="97"/>
      <c r="GB142" s="97"/>
      <c r="GC142" s="97"/>
      <c r="GD142" s="97"/>
      <c r="GE142" s="97"/>
      <c r="GF142" s="97"/>
      <c r="GG142" s="97"/>
      <c r="GH142" s="97"/>
      <c r="GI142" s="97"/>
      <c r="GJ142" s="97"/>
      <c r="GK142" s="97"/>
      <c r="GL142" s="97"/>
      <c r="GM142" s="97"/>
      <c r="GN142" s="97"/>
      <c r="GO142" s="97"/>
      <c r="GP142" s="97"/>
      <c r="GQ142" s="97"/>
      <c r="GR142" s="97"/>
      <c r="GS142" s="97"/>
      <c r="GT142" s="97"/>
      <c r="GU142" s="97"/>
      <c r="GV142" s="97"/>
      <c r="GW142" s="97"/>
      <c r="GX142" s="97"/>
      <c r="GY142" s="97"/>
      <c r="GZ142" s="97"/>
      <c r="HA142" s="97"/>
      <c r="HB142" s="97"/>
      <c r="HC142" s="97"/>
      <c r="HD142" s="97"/>
      <c r="HE142" s="97"/>
      <c r="HF142" s="97"/>
      <c r="HG142" s="97"/>
      <c r="HH142" s="97"/>
      <c r="HI142" s="97"/>
      <c r="HJ142" s="97"/>
      <c r="HK142" s="97"/>
      <c r="HL142" s="97"/>
      <c r="HM142" s="97"/>
      <c r="HN142" s="97"/>
      <c r="HO142" s="97"/>
      <c r="HP142" s="97"/>
      <c r="HQ142" s="97"/>
      <c r="HR142" s="97"/>
      <c r="HS142" s="97"/>
      <c r="HT142" s="97"/>
      <c r="HU142" s="97"/>
      <c r="HV142" s="97"/>
      <c r="HW142" s="97"/>
      <c r="HX142" s="97"/>
      <c r="HY142" s="97"/>
      <c r="HZ142" s="97"/>
      <c r="IA142" s="97"/>
      <c r="IB142" s="97"/>
      <c r="IC142" s="97"/>
      <c r="ID142" s="97"/>
      <c r="IE142" s="97"/>
      <c r="IF142" s="97"/>
      <c r="IG142" s="97"/>
      <c r="IH142" s="97"/>
      <c r="II142" s="97"/>
      <c r="IJ142" s="97"/>
      <c r="IK142" s="97"/>
      <c r="IL142" s="97"/>
      <c r="IM142" s="97"/>
      <c r="IN142" s="97"/>
      <c r="IO142" s="97"/>
      <c r="IP142" s="97"/>
      <c r="IQ142" s="97"/>
      <c r="IR142" s="97"/>
      <c r="IS142" s="97"/>
    </row>
    <row r="143" spans="1:253" hidden="1">
      <c r="A143" s="28"/>
      <c r="J143" s="6">
        <v>86</v>
      </c>
      <c r="K143" s="19" t="str">
        <f>'Data Export'!B87</f>
        <v/>
      </c>
      <c r="L143" s="22" t="str">
        <f>IF(K143="", "", 'Steam Cookers'!AA13)</f>
        <v/>
      </c>
      <c r="M143" s="22" t="str">
        <f>IF(K143="", "", 'Steam Cookers'!AF13)</f>
        <v/>
      </c>
      <c r="N143" s="31" t="str">
        <f>IF(K143="", "", 'Steam Cookers'!J13)</f>
        <v/>
      </c>
      <c r="O143" s="83" t="str">
        <f>IF(K143="", "", 'Steam Cookers'!AG13)</f>
        <v/>
      </c>
      <c r="P143" s="6" t="str">
        <f t="shared" si="10"/>
        <v/>
      </c>
      <c r="Q143" s="97"/>
      <c r="R143" s="146">
        <v>107</v>
      </c>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7"/>
      <c r="BR143" s="97"/>
      <c r="BS143" s="97"/>
      <c r="BT143" s="97"/>
      <c r="BU143" s="97"/>
      <c r="BV143" s="97"/>
      <c r="BW143" s="97"/>
      <c r="BX143" s="97"/>
      <c r="BY143" s="97"/>
      <c r="BZ143" s="97"/>
      <c r="CA143" s="97"/>
      <c r="CB143" s="97"/>
      <c r="CC143" s="97"/>
      <c r="CD143" s="97"/>
      <c r="CE143" s="97"/>
      <c r="CF143" s="97"/>
      <c r="CG143" s="97"/>
      <c r="CH143" s="97"/>
      <c r="CI143" s="97"/>
      <c r="CJ143" s="97"/>
      <c r="CK143" s="97"/>
      <c r="CL143" s="97"/>
      <c r="CM143" s="97"/>
      <c r="CN143" s="97"/>
      <c r="CO143" s="97"/>
      <c r="CP143" s="97"/>
      <c r="CQ143" s="97"/>
      <c r="CR143" s="97"/>
      <c r="CS143" s="97"/>
      <c r="CT143" s="97"/>
      <c r="CU143" s="97"/>
      <c r="CV143" s="97"/>
      <c r="CW143" s="97"/>
      <c r="CX143" s="97"/>
      <c r="CY143" s="97"/>
      <c r="CZ143" s="97"/>
      <c r="DA143" s="97"/>
      <c r="DB143" s="97"/>
      <c r="DC143" s="97"/>
      <c r="DD143" s="97"/>
      <c r="DE143" s="97"/>
      <c r="DF143" s="97"/>
      <c r="DG143" s="97"/>
      <c r="DH143" s="97"/>
      <c r="DI143" s="97"/>
      <c r="DJ143" s="97"/>
      <c r="DK143" s="97"/>
      <c r="DL143" s="97"/>
      <c r="DM143" s="97"/>
      <c r="DN143" s="97"/>
      <c r="DO143" s="97"/>
      <c r="DP143" s="97"/>
      <c r="DQ143" s="97"/>
      <c r="DR143" s="97"/>
      <c r="DS143" s="97"/>
      <c r="DT143" s="97"/>
      <c r="DU143" s="97"/>
      <c r="DV143" s="97"/>
      <c r="DW143" s="97"/>
      <c r="DX143" s="97"/>
      <c r="DY143" s="97"/>
      <c r="DZ143" s="97"/>
      <c r="EA143" s="97"/>
      <c r="EB143" s="97"/>
      <c r="EC143" s="97"/>
      <c r="ED143" s="97"/>
      <c r="EE143" s="97"/>
      <c r="EF143" s="97"/>
      <c r="EG143" s="97"/>
      <c r="EH143" s="97"/>
      <c r="EI143" s="97"/>
      <c r="EJ143" s="97"/>
      <c r="EK143" s="97"/>
      <c r="EL143" s="97"/>
      <c r="EM143" s="97"/>
      <c r="EN143" s="97"/>
      <c r="EO143" s="97"/>
      <c r="EP143" s="97"/>
      <c r="EQ143" s="97"/>
      <c r="ER143" s="97"/>
      <c r="ES143" s="97"/>
      <c r="ET143" s="97"/>
      <c r="EU143" s="97"/>
      <c r="EV143" s="97"/>
      <c r="EW143" s="97"/>
      <c r="EX143" s="97"/>
      <c r="EY143" s="97"/>
      <c r="EZ143" s="97"/>
      <c r="FA143" s="97"/>
      <c r="FB143" s="97"/>
      <c r="FC143" s="97"/>
      <c r="FD143" s="97"/>
      <c r="FE143" s="97"/>
      <c r="FF143" s="97"/>
      <c r="FG143" s="97"/>
      <c r="FH143" s="97"/>
      <c r="FI143" s="97"/>
      <c r="FJ143" s="97"/>
      <c r="FK143" s="97"/>
      <c r="FL143" s="97"/>
      <c r="FM143" s="97"/>
      <c r="FN143" s="97"/>
      <c r="FO143" s="97"/>
      <c r="FP143" s="97"/>
      <c r="FQ143" s="97"/>
      <c r="FR143" s="97"/>
      <c r="FS143" s="97"/>
      <c r="FT143" s="97"/>
      <c r="FU143" s="97"/>
      <c r="FV143" s="97"/>
      <c r="FW143" s="97"/>
      <c r="FX143" s="97"/>
      <c r="FY143" s="97"/>
      <c r="FZ143" s="97"/>
      <c r="GA143" s="97"/>
      <c r="GB143" s="97"/>
      <c r="GC143" s="97"/>
      <c r="GD143" s="97"/>
      <c r="GE143" s="97"/>
      <c r="GF143" s="97"/>
      <c r="GG143" s="97"/>
      <c r="GH143" s="97"/>
      <c r="GI143" s="97"/>
      <c r="GJ143" s="97"/>
      <c r="GK143" s="97"/>
      <c r="GL143" s="97"/>
      <c r="GM143" s="97"/>
      <c r="GN143" s="97"/>
      <c r="GO143" s="97"/>
      <c r="GP143" s="97"/>
      <c r="GQ143" s="97"/>
      <c r="GR143" s="97"/>
      <c r="GS143" s="97"/>
      <c r="GT143" s="97"/>
      <c r="GU143" s="97"/>
      <c r="GV143" s="97"/>
      <c r="GW143" s="97"/>
      <c r="GX143" s="97"/>
      <c r="GY143" s="97"/>
      <c r="GZ143" s="97"/>
      <c r="HA143" s="97"/>
      <c r="HB143" s="97"/>
      <c r="HC143" s="97"/>
      <c r="HD143" s="97"/>
      <c r="HE143" s="97"/>
      <c r="HF143" s="97"/>
      <c r="HG143" s="97"/>
      <c r="HH143" s="97"/>
      <c r="HI143" s="97"/>
      <c r="HJ143" s="97"/>
      <c r="HK143" s="97"/>
      <c r="HL143" s="97"/>
      <c r="HM143" s="97"/>
      <c r="HN143" s="97"/>
      <c r="HO143" s="97"/>
      <c r="HP143" s="97"/>
      <c r="HQ143" s="97"/>
      <c r="HR143" s="97"/>
      <c r="HS143" s="97"/>
      <c r="HT143" s="97"/>
      <c r="HU143" s="97"/>
      <c r="HV143" s="97"/>
      <c r="HW143" s="97"/>
      <c r="HX143" s="97"/>
      <c r="HY143" s="97"/>
      <c r="HZ143" s="97"/>
      <c r="IA143" s="97"/>
      <c r="IB143" s="97"/>
      <c r="IC143" s="97"/>
      <c r="ID143" s="97"/>
      <c r="IE143" s="97"/>
      <c r="IF143" s="97"/>
      <c r="IG143" s="97"/>
      <c r="IH143" s="97"/>
      <c r="II143" s="97"/>
      <c r="IJ143" s="97"/>
      <c r="IK143" s="97"/>
      <c r="IL143" s="97"/>
      <c r="IM143" s="97"/>
      <c r="IN143" s="97"/>
      <c r="IO143" s="97"/>
      <c r="IP143" s="97"/>
      <c r="IQ143" s="97"/>
      <c r="IR143" s="97"/>
      <c r="IS143" s="97"/>
    </row>
    <row r="144" spans="1:253" hidden="1">
      <c r="A144" s="28"/>
      <c r="J144" s="6">
        <v>87</v>
      </c>
      <c r="K144" s="19" t="str">
        <f>'Data Export'!B88</f>
        <v/>
      </c>
      <c r="L144" s="22" t="str">
        <f>IF(K144="", "", 'Steam Cookers'!AA14)</f>
        <v/>
      </c>
      <c r="M144" s="22" t="str">
        <f>IF(K144="", "", 'Steam Cookers'!AF14)</f>
        <v/>
      </c>
      <c r="N144" s="31" t="str">
        <f>IF(K144="", "", 'Steam Cookers'!J14)</f>
        <v/>
      </c>
      <c r="O144" s="83" t="str">
        <f>IF(K144="", "", 'Steam Cookers'!AG14)</f>
        <v/>
      </c>
      <c r="P144" s="6" t="str">
        <f t="shared" si="10"/>
        <v/>
      </c>
      <c r="Q144" s="97"/>
      <c r="R144" s="146">
        <v>108</v>
      </c>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7"/>
      <c r="BR144" s="97"/>
      <c r="BS144" s="97"/>
      <c r="BT144" s="97"/>
      <c r="BU144" s="97"/>
      <c r="BV144" s="97"/>
      <c r="BW144" s="97"/>
      <c r="BX144" s="97"/>
      <c r="BY144" s="97"/>
      <c r="BZ144" s="97"/>
      <c r="CA144" s="97"/>
      <c r="CB144" s="97"/>
      <c r="CC144" s="97"/>
      <c r="CD144" s="97"/>
      <c r="CE144" s="97"/>
      <c r="CF144" s="97"/>
      <c r="CG144" s="97"/>
      <c r="CH144" s="97"/>
      <c r="CI144" s="97"/>
      <c r="CJ144" s="97"/>
      <c r="CK144" s="97"/>
      <c r="CL144" s="97"/>
      <c r="CM144" s="97"/>
      <c r="CN144" s="97"/>
      <c r="CO144" s="97"/>
      <c r="CP144" s="97"/>
      <c r="CQ144" s="97"/>
      <c r="CR144" s="97"/>
      <c r="CS144" s="97"/>
      <c r="CT144" s="97"/>
      <c r="CU144" s="97"/>
      <c r="CV144" s="97"/>
      <c r="CW144" s="97"/>
      <c r="CX144" s="97"/>
      <c r="CY144" s="97"/>
      <c r="CZ144" s="97"/>
      <c r="DA144" s="97"/>
      <c r="DB144" s="97"/>
      <c r="DC144" s="97"/>
      <c r="DD144" s="97"/>
      <c r="DE144" s="97"/>
      <c r="DF144" s="97"/>
      <c r="DG144" s="97"/>
      <c r="DH144" s="97"/>
      <c r="DI144" s="97"/>
      <c r="DJ144" s="97"/>
      <c r="DK144" s="97"/>
      <c r="DL144" s="97"/>
      <c r="DM144" s="97"/>
      <c r="DN144" s="97"/>
      <c r="DO144" s="97"/>
      <c r="DP144" s="97"/>
      <c r="DQ144" s="97"/>
      <c r="DR144" s="97"/>
      <c r="DS144" s="97"/>
      <c r="DT144" s="97"/>
      <c r="DU144" s="97"/>
      <c r="DV144" s="97"/>
      <c r="DW144" s="97"/>
      <c r="DX144" s="97"/>
      <c r="DY144" s="97"/>
      <c r="DZ144" s="97"/>
      <c r="EA144" s="97"/>
      <c r="EB144" s="97"/>
      <c r="EC144" s="97"/>
      <c r="ED144" s="97"/>
      <c r="EE144" s="97"/>
      <c r="EF144" s="97"/>
      <c r="EG144" s="97"/>
      <c r="EH144" s="97"/>
      <c r="EI144" s="97"/>
      <c r="EJ144" s="97"/>
      <c r="EK144" s="97"/>
      <c r="EL144" s="97"/>
      <c r="EM144" s="97"/>
      <c r="EN144" s="97"/>
      <c r="EO144" s="97"/>
      <c r="EP144" s="97"/>
      <c r="EQ144" s="97"/>
      <c r="ER144" s="97"/>
      <c r="ES144" s="97"/>
      <c r="ET144" s="97"/>
      <c r="EU144" s="97"/>
      <c r="EV144" s="97"/>
      <c r="EW144" s="97"/>
      <c r="EX144" s="97"/>
      <c r="EY144" s="97"/>
      <c r="EZ144" s="97"/>
      <c r="FA144" s="97"/>
      <c r="FB144" s="97"/>
      <c r="FC144" s="97"/>
      <c r="FD144" s="97"/>
      <c r="FE144" s="97"/>
      <c r="FF144" s="97"/>
      <c r="FG144" s="97"/>
      <c r="FH144" s="97"/>
      <c r="FI144" s="97"/>
      <c r="FJ144" s="97"/>
      <c r="FK144" s="97"/>
      <c r="FL144" s="97"/>
      <c r="FM144" s="97"/>
      <c r="FN144" s="97"/>
      <c r="FO144" s="97"/>
      <c r="FP144" s="97"/>
      <c r="FQ144" s="97"/>
      <c r="FR144" s="97"/>
      <c r="FS144" s="97"/>
      <c r="FT144" s="97"/>
      <c r="FU144" s="97"/>
      <c r="FV144" s="97"/>
      <c r="FW144" s="97"/>
      <c r="FX144" s="97"/>
      <c r="FY144" s="97"/>
      <c r="FZ144" s="97"/>
      <c r="GA144" s="97"/>
      <c r="GB144" s="97"/>
      <c r="GC144" s="97"/>
      <c r="GD144" s="97"/>
      <c r="GE144" s="97"/>
      <c r="GF144" s="97"/>
      <c r="GG144" s="97"/>
      <c r="GH144" s="97"/>
      <c r="GI144" s="97"/>
      <c r="GJ144" s="97"/>
      <c r="GK144" s="97"/>
      <c r="GL144" s="97"/>
      <c r="GM144" s="97"/>
      <c r="GN144" s="97"/>
      <c r="GO144" s="97"/>
      <c r="GP144" s="97"/>
      <c r="GQ144" s="97"/>
      <c r="GR144" s="97"/>
      <c r="GS144" s="97"/>
      <c r="GT144" s="97"/>
      <c r="GU144" s="97"/>
      <c r="GV144" s="97"/>
      <c r="GW144" s="97"/>
      <c r="GX144" s="97"/>
      <c r="GY144" s="97"/>
      <c r="GZ144" s="97"/>
      <c r="HA144" s="97"/>
      <c r="HB144" s="97"/>
      <c r="HC144" s="97"/>
      <c r="HD144" s="97"/>
      <c r="HE144" s="97"/>
      <c r="HF144" s="97"/>
      <c r="HG144" s="97"/>
      <c r="HH144" s="97"/>
      <c r="HI144" s="97"/>
      <c r="HJ144" s="97"/>
      <c r="HK144" s="97"/>
      <c r="HL144" s="97"/>
      <c r="HM144" s="97"/>
      <c r="HN144" s="97"/>
      <c r="HO144" s="97"/>
      <c r="HP144" s="97"/>
      <c r="HQ144" s="97"/>
      <c r="HR144" s="97"/>
      <c r="HS144" s="97"/>
      <c r="HT144" s="97"/>
      <c r="HU144" s="97"/>
      <c r="HV144" s="97"/>
      <c r="HW144" s="97"/>
      <c r="HX144" s="97"/>
      <c r="HY144" s="97"/>
      <c r="HZ144" s="97"/>
      <c r="IA144" s="97"/>
      <c r="IB144" s="97"/>
      <c r="IC144" s="97"/>
      <c r="ID144" s="97"/>
      <c r="IE144" s="97"/>
      <c r="IF144" s="97"/>
      <c r="IG144" s="97"/>
      <c r="IH144" s="97"/>
      <c r="II144" s="97"/>
      <c r="IJ144" s="97"/>
      <c r="IK144" s="97"/>
      <c r="IL144" s="97"/>
      <c r="IM144" s="97"/>
      <c r="IN144" s="97"/>
      <c r="IO144" s="97"/>
      <c r="IP144" s="97"/>
      <c r="IQ144" s="97"/>
      <c r="IR144" s="97"/>
      <c r="IS144" s="97"/>
    </row>
    <row r="145" spans="1:253" hidden="1">
      <c r="A145" s="28"/>
      <c r="J145" s="6">
        <v>88</v>
      </c>
      <c r="K145" s="19" t="str">
        <f>'Data Export'!B89</f>
        <v/>
      </c>
      <c r="L145" s="22" t="str">
        <f>IF(K145="", "", 'Steam Cookers'!AA15)</f>
        <v/>
      </c>
      <c r="M145" s="22" t="str">
        <f>IF(K145="", "", 'Steam Cookers'!AF15)</f>
        <v/>
      </c>
      <c r="N145" s="31" t="str">
        <f>IF(K145="", "", 'Steam Cookers'!J15)</f>
        <v/>
      </c>
      <c r="O145" s="83" t="str">
        <f>IF(K145="", "", 'Steam Cookers'!AG15)</f>
        <v/>
      </c>
      <c r="P145" s="6" t="str">
        <f t="shared" si="10"/>
        <v/>
      </c>
      <c r="Q145" s="97"/>
      <c r="R145" s="146">
        <v>109</v>
      </c>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7"/>
      <c r="AY145" s="97"/>
      <c r="AZ145" s="97"/>
      <c r="BA145" s="97"/>
      <c r="BB145" s="97"/>
      <c r="BC145" s="97"/>
      <c r="BD145" s="97"/>
      <c r="BE145" s="97"/>
      <c r="BF145" s="97"/>
      <c r="BG145" s="97"/>
      <c r="BH145" s="97"/>
      <c r="BI145" s="97"/>
      <c r="BJ145" s="97"/>
      <c r="BK145" s="97"/>
      <c r="BL145" s="97"/>
      <c r="BM145" s="97"/>
      <c r="BN145" s="97"/>
      <c r="BO145" s="97"/>
      <c r="BP145" s="97"/>
      <c r="BQ145" s="97"/>
      <c r="BR145" s="97"/>
      <c r="BS145" s="97"/>
      <c r="BT145" s="97"/>
      <c r="BU145" s="97"/>
      <c r="BV145" s="97"/>
      <c r="BW145" s="97"/>
      <c r="BX145" s="97"/>
      <c r="BY145" s="97"/>
      <c r="BZ145" s="97"/>
      <c r="CA145" s="97"/>
      <c r="CB145" s="97"/>
      <c r="CC145" s="97"/>
      <c r="CD145" s="97"/>
      <c r="CE145" s="97"/>
      <c r="CF145" s="97"/>
      <c r="CG145" s="97"/>
      <c r="CH145" s="97"/>
      <c r="CI145" s="97"/>
      <c r="CJ145" s="97"/>
      <c r="CK145" s="97"/>
      <c r="CL145" s="97"/>
      <c r="CM145" s="97"/>
      <c r="CN145" s="97"/>
      <c r="CO145" s="97"/>
      <c r="CP145" s="97"/>
      <c r="CQ145" s="97"/>
      <c r="CR145" s="97"/>
      <c r="CS145" s="97"/>
      <c r="CT145" s="97"/>
      <c r="CU145" s="97"/>
      <c r="CV145" s="97"/>
      <c r="CW145" s="97"/>
      <c r="CX145" s="97"/>
      <c r="CY145" s="97"/>
      <c r="CZ145" s="97"/>
      <c r="DA145" s="97"/>
      <c r="DB145" s="97"/>
      <c r="DC145" s="97"/>
      <c r="DD145" s="97"/>
      <c r="DE145" s="97"/>
      <c r="DF145" s="97"/>
      <c r="DG145" s="97"/>
      <c r="DH145" s="97"/>
      <c r="DI145" s="97"/>
      <c r="DJ145" s="97"/>
      <c r="DK145" s="97"/>
      <c r="DL145" s="97"/>
      <c r="DM145" s="97"/>
      <c r="DN145" s="97"/>
      <c r="DO145" s="97"/>
      <c r="DP145" s="97"/>
      <c r="DQ145" s="97"/>
      <c r="DR145" s="97"/>
      <c r="DS145" s="97"/>
      <c r="DT145" s="97"/>
      <c r="DU145" s="97"/>
      <c r="DV145" s="97"/>
      <c r="DW145" s="97"/>
      <c r="DX145" s="97"/>
      <c r="DY145" s="97"/>
      <c r="DZ145" s="97"/>
      <c r="EA145" s="97"/>
      <c r="EB145" s="97"/>
      <c r="EC145" s="97"/>
      <c r="ED145" s="97"/>
      <c r="EE145" s="97"/>
      <c r="EF145" s="97"/>
      <c r="EG145" s="97"/>
      <c r="EH145" s="97"/>
      <c r="EI145" s="97"/>
      <c r="EJ145" s="97"/>
      <c r="EK145" s="97"/>
      <c r="EL145" s="97"/>
      <c r="EM145" s="97"/>
      <c r="EN145" s="97"/>
      <c r="EO145" s="97"/>
      <c r="EP145" s="97"/>
      <c r="EQ145" s="97"/>
      <c r="ER145" s="97"/>
      <c r="ES145" s="97"/>
      <c r="ET145" s="97"/>
      <c r="EU145" s="97"/>
      <c r="EV145" s="97"/>
      <c r="EW145" s="97"/>
      <c r="EX145" s="97"/>
      <c r="EY145" s="97"/>
      <c r="EZ145" s="97"/>
      <c r="FA145" s="97"/>
      <c r="FB145" s="97"/>
      <c r="FC145" s="97"/>
      <c r="FD145" s="97"/>
      <c r="FE145" s="97"/>
      <c r="FF145" s="97"/>
      <c r="FG145" s="97"/>
      <c r="FH145" s="97"/>
      <c r="FI145" s="97"/>
      <c r="FJ145" s="97"/>
      <c r="FK145" s="97"/>
      <c r="FL145" s="97"/>
      <c r="FM145" s="97"/>
      <c r="FN145" s="97"/>
      <c r="FO145" s="97"/>
      <c r="FP145" s="97"/>
      <c r="FQ145" s="97"/>
      <c r="FR145" s="97"/>
      <c r="FS145" s="97"/>
      <c r="FT145" s="97"/>
      <c r="FU145" s="97"/>
      <c r="FV145" s="97"/>
      <c r="FW145" s="97"/>
      <c r="FX145" s="97"/>
      <c r="FY145" s="97"/>
      <c r="FZ145" s="97"/>
      <c r="GA145" s="97"/>
      <c r="GB145" s="97"/>
      <c r="GC145" s="97"/>
      <c r="GD145" s="97"/>
      <c r="GE145" s="97"/>
      <c r="GF145" s="97"/>
      <c r="GG145" s="97"/>
      <c r="GH145" s="97"/>
      <c r="GI145" s="97"/>
      <c r="GJ145" s="97"/>
      <c r="GK145" s="97"/>
      <c r="GL145" s="97"/>
      <c r="GM145" s="97"/>
      <c r="GN145" s="97"/>
      <c r="GO145" s="97"/>
      <c r="GP145" s="97"/>
      <c r="GQ145" s="97"/>
      <c r="GR145" s="97"/>
      <c r="GS145" s="97"/>
      <c r="GT145" s="97"/>
      <c r="GU145" s="97"/>
      <c r="GV145" s="97"/>
      <c r="GW145" s="97"/>
      <c r="GX145" s="97"/>
      <c r="GY145" s="97"/>
      <c r="GZ145" s="97"/>
      <c r="HA145" s="97"/>
      <c r="HB145" s="97"/>
      <c r="HC145" s="97"/>
      <c r="HD145" s="97"/>
      <c r="HE145" s="97"/>
      <c r="HF145" s="97"/>
      <c r="HG145" s="97"/>
      <c r="HH145" s="97"/>
      <c r="HI145" s="97"/>
      <c r="HJ145" s="97"/>
      <c r="HK145" s="97"/>
      <c r="HL145" s="97"/>
      <c r="HM145" s="97"/>
      <c r="HN145" s="97"/>
      <c r="HO145" s="97"/>
      <c r="HP145" s="97"/>
      <c r="HQ145" s="97"/>
      <c r="HR145" s="97"/>
      <c r="HS145" s="97"/>
      <c r="HT145" s="97"/>
      <c r="HU145" s="97"/>
      <c r="HV145" s="97"/>
      <c r="HW145" s="97"/>
      <c r="HX145" s="97"/>
      <c r="HY145" s="97"/>
      <c r="HZ145" s="97"/>
      <c r="IA145" s="97"/>
      <c r="IB145" s="97"/>
      <c r="IC145" s="97"/>
      <c r="ID145" s="97"/>
      <c r="IE145" s="97"/>
      <c r="IF145" s="97"/>
      <c r="IG145" s="97"/>
      <c r="IH145" s="97"/>
      <c r="II145" s="97"/>
      <c r="IJ145" s="97"/>
      <c r="IK145" s="97"/>
      <c r="IL145" s="97"/>
      <c r="IM145" s="97"/>
      <c r="IN145" s="97"/>
      <c r="IO145" s="97"/>
      <c r="IP145" s="97"/>
      <c r="IQ145" s="97"/>
      <c r="IR145" s="97"/>
      <c r="IS145" s="97"/>
    </row>
    <row r="146" spans="1:253" hidden="1">
      <c r="A146" s="28"/>
      <c r="K146" s="84" t="s">
        <v>77</v>
      </c>
      <c r="L146" s="31">
        <f>SUM(L138:L145)</f>
        <v>0</v>
      </c>
      <c r="M146" s="90">
        <f>SUM(M138:M145)</f>
        <v>0</v>
      </c>
      <c r="N146" s="31">
        <f>SUM(N138:N145)</f>
        <v>0</v>
      </c>
      <c r="O146" s="83">
        <f>SUM(O138:O145)</f>
        <v>0</v>
      </c>
      <c r="Q146" s="97"/>
      <c r="R146" s="146">
        <v>110</v>
      </c>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7"/>
      <c r="AT146" s="97"/>
      <c r="AU146" s="97"/>
      <c r="AV146" s="97"/>
      <c r="AW146" s="97"/>
      <c r="AX146" s="97"/>
      <c r="AY146" s="97"/>
      <c r="AZ146" s="97"/>
      <c r="BA146" s="97"/>
      <c r="BB146" s="97"/>
      <c r="BC146" s="97"/>
      <c r="BD146" s="97"/>
      <c r="BE146" s="97"/>
      <c r="BF146" s="97"/>
      <c r="BG146" s="97"/>
      <c r="BH146" s="97"/>
      <c r="BI146" s="97"/>
      <c r="BJ146" s="97"/>
      <c r="BK146" s="97"/>
      <c r="BL146" s="97"/>
      <c r="BM146" s="97"/>
      <c r="BN146" s="97"/>
      <c r="BO146" s="97"/>
      <c r="BP146" s="97"/>
      <c r="BQ146" s="97"/>
      <c r="BR146" s="97"/>
      <c r="BS146" s="97"/>
      <c r="BT146" s="97"/>
      <c r="BU146" s="97"/>
      <c r="BV146" s="97"/>
      <c r="BW146" s="97"/>
      <c r="BX146" s="97"/>
      <c r="BY146" s="97"/>
      <c r="BZ146" s="97"/>
      <c r="CA146" s="97"/>
      <c r="CB146" s="97"/>
      <c r="CC146" s="97"/>
      <c r="CD146" s="97"/>
      <c r="CE146" s="97"/>
      <c r="CF146" s="97"/>
      <c r="CG146" s="97"/>
      <c r="CH146" s="97"/>
      <c r="CI146" s="97"/>
      <c r="CJ146" s="97"/>
      <c r="CK146" s="97"/>
      <c r="CL146" s="97"/>
      <c r="CM146" s="97"/>
      <c r="CN146" s="97"/>
      <c r="CO146" s="97"/>
      <c r="CP146" s="97"/>
      <c r="CQ146" s="97"/>
      <c r="CR146" s="97"/>
      <c r="CS146" s="97"/>
      <c r="CT146" s="97"/>
      <c r="CU146" s="97"/>
      <c r="CV146" s="97"/>
      <c r="CW146" s="97"/>
      <c r="CX146" s="97"/>
      <c r="CY146" s="97"/>
      <c r="CZ146" s="97"/>
      <c r="DA146" s="97"/>
      <c r="DB146" s="97"/>
      <c r="DC146" s="97"/>
      <c r="DD146" s="97"/>
      <c r="DE146" s="97"/>
      <c r="DF146" s="97"/>
      <c r="DG146" s="97"/>
      <c r="DH146" s="97"/>
      <c r="DI146" s="97"/>
      <c r="DJ146" s="97"/>
      <c r="DK146" s="97"/>
      <c r="DL146" s="97"/>
      <c r="DM146" s="97"/>
      <c r="DN146" s="97"/>
      <c r="DO146" s="97"/>
      <c r="DP146" s="97"/>
      <c r="DQ146" s="97"/>
      <c r="DR146" s="97"/>
      <c r="DS146" s="97"/>
      <c r="DT146" s="97"/>
      <c r="DU146" s="97"/>
      <c r="DV146" s="97"/>
      <c r="DW146" s="97"/>
      <c r="DX146" s="97"/>
      <c r="DY146" s="97"/>
      <c r="DZ146" s="97"/>
      <c r="EA146" s="97"/>
      <c r="EB146" s="97"/>
      <c r="EC146" s="97"/>
      <c r="ED146" s="97"/>
      <c r="EE146" s="97"/>
      <c r="EF146" s="97"/>
      <c r="EG146" s="97"/>
      <c r="EH146" s="97"/>
      <c r="EI146" s="97"/>
      <c r="EJ146" s="97"/>
      <c r="EK146" s="97"/>
      <c r="EL146" s="97"/>
      <c r="EM146" s="97"/>
      <c r="EN146" s="97"/>
      <c r="EO146" s="97"/>
      <c r="EP146" s="97"/>
      <c r="EQ146" s="97"/>
      <c r="ER146" s="97"/>
      <c r="ES146" s="97"/>
      <c r="ET146" s="97"/>
      <c r="EU146" s="97"/>
      <c r="EV146" s="97"/>
      <c r="EW146" s="97"/>
      <c r="EX146" s="97"/>
      <c r="EY146" s="97"/>
      <c r="EZ146" s="97"/>
      <c r="FA146" s="97"/>
      <c r="FB146" s="97"/>
      <c r="FC146" s="97"/>
      <c r="FD146" s="97"/>
      <c r="FE146" s="97"/>
      <c r="FF146" s="97"/>
      <c r="FG146" s="97"/>
      <c r="FH146" s="97"/>
      <c r="FI146" s="97"/>
      <c r="FJ146" s="97"/>
      <c r="FK146" s="97"/>
      <c r="FL146" s="97"/>
      <c r="FM146" s="97"/>
      <c r="FN146" s="97"/>
      <c r="FO146" s="97"/>
      <c r="FP146" s="97"/>
      <c r="FQ146" s="97"/>
      <c r="FR146" s="97"/>
      <c r="FS146" s="97"/>
      <c r="FT146" s="97"/>
      <c r="FU146" s="97"/>
      <c r="FV146" s="97"/>
      <c r="FW146" s="97"/>
      <c r="FX146" s="97"/>
      <c r="FY146" s="97"/>
      <c r="FZ146" s="97"/>
      <c r="GA146" s="97"/>
      <c r="GB146" s="97"/>
      <c r="GC146" s="97"/>
      <c r="GD146" s="97"/>
      <c r="GE146" s="97"/>
      <c r="GF146" s="97"/>
      <c r="GG146" s="97"/>
      <c r="GH146" s="97"/>
      <c r="GI146" s="97"/>
      <c r="GJ146" s="97"/>
      <c r="GK146" s="97"/>
      <c r="GL146" s="97"/>
      <c r="GM146" s="97"/>
      <c r="GN146" s="97"/>
      <c r="GO146" s="97"/>
      <c r="GP146" s="97"/>
      <c r="GQ146" s="97"/>
      <c r="GR146" s="97"/>
      <c r="GS146" s="97"/>
      <c r="GT146" s="97"/>
      <c r="GU146" s="97"/>
      <c r="GV146" s="97"/>
      <c r="GW146" s="97"/>
      <c r="GX146" s="97"/>
      <c r="GY146" s="97"/>
      <c r="GZ146" s="97"/>
      <c r="HA146" s="97"/>
      <c r="HB146" s="97"/>
      <c r="HC146" s="97"/>
      <c r="HD146" s="97"/>
      <c r="HE146" s="97"/>
      <c r="HF146" s="97"/>
      <c r="HG146" s="97"/>
      <c r="HH146" s="97"/>
      <c r="HI146" s="97"/>
      <c r="HJ146" s="97"/>
      <c r="HK146" s="97"/>
      <c r="HL146" s="97"/>
      <c r="HM146" s="97"/>
      <c r="HN146" s="97"/>
      <c r="HO146" s="97"/>
      <c r="HP146" s="97"/>
      <c r="HQ146" s="97"/>
      <c r="HR146" s="97"/>
      <c r="HS146" s="97"/>
      <c r="HT146" s="97"/>
      <c r="HU146" s="97"/>
      <c r="HV146" s="97"/>
      <c r="HW146" s="97"/>
      <c r="HX146" s="97"/>
      <c r="HY146" s="97"/>
      <c r="HZ146" s="97"/>
      <c r="IA146" s="97"/>
      <c r="IB146" s="97"/>
      <c r="IC146" s="97"/>
      <c r="ID146" s="97"/>
      <c r="IE146" s="97"/>
      <c r="IF146" s="97"/>
      <c r="IG146" s="97"/>
      <c r="IH146" s="97"/>
      <c r="II146" s="97"/>
      <c r="IJ146" s="97"/>
      <c r="IK146" s="97"/>
      <c r="IL146" s="97"/>
      <c r="IM146" s="97"/>
      <c r="IN146" s="97"/>
      <c r="IO146" s="97"/>
      <c r="IP146" s="97"/>
      <c r="IQ146" s="97"/>
      <c r="IR146" s="97"/>
      <c r="IS146" s="97"/>
    </row>
    <row r="147" spans="1:253" hidden="1">
      <c r="A147" s="28"/>
      <c r="J147" s="86" t="s">
        <v>73</v>
      </c>
      <c r="L147" s="37"/>
      <c r="M147" s="36"/>
      <c r="N147" s="34"/>
      <c r="O147" s="35"/>
      <c r="P147" s="82" t="s">
        <v>76</v>
      </c>
      <c r="Q147" s="97"/>
      <c r="R147" s="146">
        <v>111</v>
      </c>
      <c r="S147" s="97"/>
      <c r="T147" s="97"/>
      <c r="U147" s="97"/>
      <c r="V147" s="97"/>
      <c r="W147" s="97"/>
      <c r="X147" s="97"/>
      <c r="Y147" s="97"/>
      <c r="Z147" s="97"/>
      <c r="AA147" s="97"/>
      <c r="AB147" s="97"/>
      <c r="AC147" s="97"/>
      <c r="AD147" s="97"/>
      <c r="AE147" s="97"/>
      <c r="AF147" s="97"/>
      <c r="AG147" s="97"/>
      <c r="AH147" s="97"/>
      <c r="AI147" s="97"/>
      <c r="AJ147" s="97"/>
      <c r="AK147" s="97"/>
      <c r="AL147" s="97"/>
      <c r="AM147" s="97"/>
      <c r="AN147" s="97"/>
      <c r="AO147" s="97"/>
      <c r="AP147" s="97"/>
      <c r="AQ147" s="97"/>
      <c r="AR147" s="97"/>
      <c r="AS147" s="97"/>
      <c r="AT147" s="97"/>
      <c r="AU147" s="97"/>
      <c r="AV147" s="97"/>
      <c r="AW147" s="97"/>
      <c r="AX147" s="97"/>
      <c r="AY147" s="97"/>
      <c r="AZ147" s="97"/>
      <c r="BA147" s="97"/>
      <c r="BB147" s="97"/>
      <c r="BC147" s="97"/>
      <c r="BD147" s="97"/>
      <c r="BE147" s="97"/>
      <c r="BF147" s="97"/>
      <c r="BG147" s="97"/>
      <c r="BH147" s="97"/>
      <c r="BI147" s="97"/>
      <c r="BJ147" s="97"/>
      <c r="BK147" s="97"/>
      <c r="BL147" s="97"/>
      <c r="BM147" s="97"/>
      <c r="BN147" s="97"/>
      <c r="BO147" s="97"/>
      <c r="BP147" s="97"/>
      <c r="BQ147" s="97"/>
      <c r="BR147" s="97"/>
      <c r="BS147" s="97"/>
      <c r="BT147" s="97"/>
      <c r="BU147" s="97"/>
      <c r="BV147" s="97"/>
      <c r="BW147" s="97"/>
      <c r="BX147" s="97"/>
      <c r="BY147" s="97"/>
      <c r="BZ147" s="97"/>
      <c r="CA147" s="97"/>
      <c r="CB147" s="97"/>
      <c r="CC147" s="97"/>
      <c r="CD147" s="97"/>
      <c r="CE147" s="97"/>
      <c r="CF147" s="97"/>
      <c r="CG147" s="97"/>
      <c r="CH147" s="97"/>
      <c r="CI147" s="97"/>
      <c r="CJ147" s="97"/>
      <c r="CK147" s="97"/>
      <c r="CL147" s="97"/>
      <c r="CM147" s="97"/>
      <c r="CN147" s="97"/>
      <c r="CO147" s="97"/>
      <c r="CP147" s="97"/>
      <c r="CQ147" s="97"/>
      <c r="CR147" s="97"/>
      <c r="CS147" s="97"/>
      <c r="CT147" s="97"/>
      <c r="CU147" s="97"/>
      <c r="CV147" s="97"/>
      <c r="CW147" s="97"/>
      <c r="CX147" s="97"/>
      <c r="CY147" s="97"/>
      <c r="CZ147" s="97"/>
      <c r="DA147" s="97"/>
      <c r="DB147" s="97"/>
      <c r="DC147" s="97"/>
      <c r="DD147" s="97"/>
      <c r="DE147" s="97"/>
      <c r="DF147" s="97"/>
      <c r="DG147" s="97"/>
      <c r="DH147" s="97"/>
      <c r="DI147" s="97"/>
      <c r="DJ147" s="97"/>
      <c r="DK147" s="97"/>
      <c r="DL147" s="97"/>
      <c r="DM147" s="97"/>
      <c r="DN147" s="97"/>
      <c r="DO147" s="97"/>
      <c r="DP147" s="97"/>
      <c r="DQ147" s="97"/>
      <c r="DR147" s="97"/>
      <c r="DS147" s="97"/>
      <c r="DT147" s="97"/>
      <c r="DU147" s="97"/>
      <c r="DV147" s="97"/>
      <c r="DW147" s="97"/>
      <c r="DX147" s="97"/>
      <c r="DY147" s="97"/>
      <c r="DZ147" s="97"/>
      <c r="EA147" s="97"/>
      <c r="EB147" s="97"/>
      <c r="EC147" s="97"/>
      <c r="ED147" s="97"/>
      <c r="EE147" s="97"/>
      <c r="EF147" s="97"/>
      <c r="EG147" s="97"/>
      <c r="EH147" s="97"/>
      <c r="EI147" s="97"/>
      <c r="EJ147" s="97"/>
      <c r="EK147" s="97"/>
      <c r="EL147" s="97"/>
      <c r="EM147" s="97"/>
      <c r="EN147" s="97"/>
      <c r="EO147" s="97"/>
      <c r="EP147" s="97"/>
      <c r="EQ147" s="97"/>
      <c r="ER147" s="97"/>
      <c r="ES147" s="97"/>
      <c r="ET147" s="97"/>
      <c r="EU147" s="97"/>
      <c r="EV147" s="97"/>
      <c r="EW147" s="97"/>
      <c r="EX147" s="97"/>
      <c r="EY147" s="97"/>
      <c r="EZ147" s="97"/>
      <c r="FA147" s="97"/>
      <c r="FB147" s="97"/>
      <c r="FC147" s="97"/>
      <c r="FD147" s="97"/>
      <c r="FE147" s="97"/>
      <c r="FF147" s="97"/>
      <c r="FG147" s="97"/>
      <c r="FH147" s="97"/>
      <c r="FI147" s="97"/>
      <c r="FJ147" s="97"/>
      <c r="FK147" s="97"/>
      <c r="FL147" s="97"/>
      <c r="FM147" s="97"/>
      <c r="FN147" s="97"/>
      <c r="FO147" s="97"/>
      <c r="FP147" s="97"/>
      <c r="FQ147" s="97"/>
      <c r="FR147" s="97"/>
      <c r="FS147" s="97"/>
      <c r="FT147" s="97"/>
      <c r="FU147" s="97"/>
      <c r="FV147" s="97"/>
      <c r="FW147" s="97"/>
      <c r="FX147" s="97"/>
      <c r="FY147" s="97"/>
      <c r="FZ147" s="97"/>
      <c r="GA147" s="97"/>
      <c r="GB147" s="97"/>
      <c r="GC147" s="97"/>
      <c r="GD147" s="97"/>
      <c r="GE147" s="97"/>
      <c r="GF147" s="97"/>
      <c r="GG147" s="97"/>
      <c r="GH147" s="97"/>
      <c r="GI147" s="97"/>
      <c r="GJ147" s="97"/>
      <c r="GK147" s="97"/>
      <c r="GL147" s="97"/>
      <c r="GM147" s="97"/>
      <c r="GN147" s="97"/>
      <c r="GO147" s="97"/>
      <c r="GP147" s="97"/>
      <c r="GQ147" s="97"/>
      <c r="GR147" s="97"/>
      <c r="GS147" s="97"/>
      <c r="GT147" s="97"/>
      <c r="GU147" s="97"/>
      <c r="GV147" s="97"/>
      <c r="GW147" s="97"/>
      <c r="GX147" s="97"/>
      <c r="GY147" s="97"/>
      <c r="GZ147" s="97"/>
      <c r="HA147" s="97"/>
      <c r="HB147" s="97"/>
      <c r="HC147" s="97"/>
      <c r="HD147" s="97"/>
      <c r="HE147" s="97"/>
      <c r="HF147" s="97"/>
      <c r="HG147" s="97"/>
      <c r="HH147" s="97"/>
      <c r="HI147" s="97"/>
      <c r="HJ147" s="97"/>
      <c r="HK147" s="97"/>
      <c r="HL147" s="97"/>
      <c r="HM147" s="97"/>
      <c r="HN147" s="97"/>
      <c r="HO147" s="97"/>
      <c r="HP147" s="97"/>
      <c r="HQ147" s="97"/>
      <c r="HR147" s="97"/>
      <c r="HS147" s="97"/>
      <c r="HT147" s="97"/>
      <c r="HU147" s="97"/>
      <c r="HV147" s="97"/>
      <c r="HW147" s="97"/>
      <c r="HX147" s="97"/>
      <c r="HY147" s="97"/>
      <c r="HZ147" s="97"/>
      <c r="IA147" s="97"/>
      <c r="IB147" s="97"/>
      <c r="IC147" s="97"/>
      <c r="ID147" s="97"/>
      <c r="IE147" s="97"/>
      <c r="IF147" s="97"/>
      <c r="IG147" s="97"/>
      <c r="IH147" s="97"/>
      <c r="II147" s="97"/>
      <c r="IJ147" s="97"/>
      <c r="IK147" s="97"/>
      <c r="IL147" s="97"/>
      <c r="IM147" s="97"/>
      <c r="IN147" s="97"/>
      <c r="IO147" s="97"/>
      <c r="IP147" s="97"/>
      <c r="IQ147" s="97"/>
      <c r="IR147" s="97"/>
      <c r="IS147" s="97"/>
    </row>
    <row r="148" spans="1:253" hidden="1">
      <c r="A148" s="28"/>
      <c r="J148" s="6">
        <v>89</v>
      </c>
      <c r="K148" s="19" t="str">
        <f>'Data Export'!B90</f>
        <v/>
      </c>
      <c r="L148" s="22" t="str">
        <f>IF(K148="", "", Fryers!X8)</f>
        <v/>
      </c>
      <c r="M148" s="22" t="str">
        <f>IF(K148="", "", Fryers!Y8)</f>
        <v/>
      </c>
      <c r="N148" s="31" t="str">
        <f>IF(K148="", "", Fryers!R8)</f>
        <v/>
      </c>
      <c r="O148" s="83" t="str">
        <f>IF(K148="", "", Fryers!Z8)</f>
        <v/>
      </c>
      <c r="P148" s="6" t="str">
        <f t="shared" ref="P148:P155" si="11">IF(K148="","",CONCATENATE($C$10,J148))</f>
        <v/>
      </c>
      <c r="Q148" s="97"/>
      <c r="R148" s="146">
        <v>112</v>
      </c>
      <c r="S148" s="97"/>
      <c r="T148" s="97"/>
      <c r="U148" s="97"/>
      <c r="V148" s="97"/>
      <c r="W148" s="97"/>
      <c r="X148" s="97"/>
      <c r="Y148" s="97"/>
      <c r="Z148" s="97"/>
      <c r="AA148" s="97"/>
      <c r="AB148" s="97"/>
      <c r="AC148" s="97"/>
      <c r="AD148" s="97"/>
      <c r="AE148" s="97"/>
      <c r="AF148" s="97"/>
      <c r="AG148" s="97"/>
      <c r="AH148" s="97"/>
      <c r="AI148" s="97"/>
      <c r="AJ148" s="97"/>
      <c r="AK148" s="97"/>
      <c r="AL148" s="97"/>
      <c r="AM148" s="97"/>
      <c r="AN148" s="97"/>
      <c r="AO148" s="97"/>
      <c r="AP148" s="97"/>
      <c r="AQ148" s="97"/>
      <c r="AR148" s="97"/>
      <c r="AS148" s="97"/>
      <c r="AT148" s="97"/>
      <c r="AU148" s="97"/>
      <c r="AV148" s="97"/>
      <c r="AW148" s="97"/>
      <c r="AX148" s="97"/>
      <c r="AY148" s="97"/>
      <c r="AZ148" s="97"/>
      <c r="BA148" s="97"/>
      <c r="BB148" s="97"/>
      <c r="BC148" s="97"/>
      <c r="BD148" s="97"/>
      <c r="BE148" s="97"/>
      <c r="BF148" s="97"/>
      <c r="BG148" s="97"/>
      <c r="BH148" s="97"/>
      <c r="BI148" s="97"/>
      <c r="BJ148" s="97"/>
      <c r="BK148" s="97"/>
      <c r="BL148" s="97"/>
      <c r="BM148" s="97"/>
      <c r="BN148" s="97"/>
      <c r="BO148" s="97"/>
      <c r="BP148" s="97"/>
      <c r="BQ148" s="97"/>
      <c r="BR148" s="97"/>
      <c r="BS148" s="97"/>
      <c r="BT148" s="97"/>
      <c r="BU148" s="97"/>
      <c r="BV148" s="97"/>
      <c r="BW148" s="97"/>
      <c r="BX148" s="97"/>
      <c r="BY148" s="97"/>
      <c r="BZ148" s="97"/>
      <c r="CA148" s="97"/>
      <c r="CB148" s="97"/>
      <c r="CC148" s="97"/>
      <c r="CD148" s="97"/>
      <c r="CE148" s="97"/>
      <c r="CF148" s="97"/>
      <c r="CG148" s="97"/>
      <c r="CH148" s="97"/>
      <c r="CI148" s="97"/>
      <c r="CJ148" s="97"/>
      <c r="CK148" s="97"/>
      <c r="CL148" s="97"/>
      <c r="CM148" s="97"/>
      <c r="CN148" s="97"/>
      <c r="CO148" s="97"/>
      <c r="CP148" s="97"/>
      <c r="CQ148" s="97"/>
      <c r="CR148" s="97"/>
      <c r="CS148" s="97"/>
      <c r="CT148" s="97"/>
      <c r="CU148" s="97"/>
      <c r="CV148" s="97"/>
      <c r="CW148" s="97"/>
      <c r="CX148" s="97"/>
      <c r="CY148" s="97"/>
      <c r="CZ148" s="97"/>
      <c r="DA148" s="97"/>
      <c r="DB148" s="97"/>
      <c r="DC148" s="97"/>
      <c r="DD148" s="97"/>
      <c r="DE148" s="97"/>
      <c r="DF148" s="97"/>
      <c r="DG148" s="97"/>
      <c r="DH148" s="97"/>
      <c r="DI148" s="97"/>
      <c r="DJ148" s="97"/>
      <c r="DK148" s="97"/>
      <c r="DL148" s="97"/>
      <c r="DM148" s="97"/>
      <c r="DN148" s="97"/>
      <c r="DO148" s="97"/>
      <c r="DP148" s="97"/>
      <c r="DQ148" s="97"/>
      <c r="DR148" s="97"/>
      <c r="DS148" s="97"/>
      <c r="DT148" s="97"/>
      <c r="DU148" s="97"/>
      <c r="DV148" s="97"/>
      <c r="DW148" s="97"/>
      <c r="DX148" s="97"/>
      <c r="DY148" s="97"/>
      <c r="DZ148" s="97"/>
      <c r="EA148" s="97"/>
      <c r="EB148" s="97"/>
      <c r="EC148" s="97"/>
      <c r="ED148" s="97"/>
      <c r="EE148" s="97"/>
      <c r="EF148" s="97"/>
      <c r="EG148" s="97"/>
      <c r="EH148" s="97"/>
      <c r="EI148" s="97"/>
      <c r="EJ148" s="97"/>
      <c r="EK148" s="97"/>
      <c r="EL148" s="97"/>
      <c r="EM148" s="97"/>
      <c r="EN148" s="97"/>
      <c r="EO148" s="97"/>
      <c r="EP148" s="97"/>
      <c r="EQ148" s="97"/>
      <c r="ER148" s="97"/>
      <c r="ES148" s="97"/>
      <c r="ET148" s="97"/>
      <c r="EU148" s="97"/>
      <c r="EV148" s="97"/>
      <c r="EW148" s="97"/>
      <c r="EX148" s="97"/>
      <c r="EY148" s="97"/>
      <c r="EZ148" s="97"/>
      <c r="FA148" s="97"/>
      <c r="FB148" s="97"/>
      <c r="FC148" s="97"/>
      <c r="FD148" s="97"/>
      <c r="FE148" s="97"/>
      <c r="FF148" s="97"/>
      <c r="FG148" s="97"/>
      <c r="FH148" s="97"/>
      <c r="FI148" s="97"/>
      <c r="FJ148" s="97"/>
      <c r="FK148" s="97"/>
      <c r="FL148" s="97"/>
      <c r="FM148" s="97"/>
      <c r="FN148" s="97"/>
      <c r="FO148" s="97"/>
      <c r="FP148" s="97"/>
      <c r="FQ148" s="97"/>
      <c r="FR148" s="97"/>
      <c r="FS148" s="97"/>
      <c r="FT148" s="97"/>
      <c r="FU148" s="97"/>
      <c r="FV148" s="97"/>
      <c r="FW148" s="97"/>
      <c r="FX148" s="97"/>
      <c r="FY148" s="97"/>
      <c r="FZ148" s="97"/>
      <c r="GA148" s="97"/>
      <c r="GB148" s="97"/>
      <c r="GC148" s="97"/>
      <c r="GD148" s="97"/>
      <c r="GE148" s="97"/>
      <c r="GF148" s="97"/>
      <c r="GG148" s="97"/>
      <c r="GH148" s="97"/>
      <c r="GI148" s="97"/>
      <c r="GJ148" s="97"/>
      <c r="GK148" s="97"/>
      <c r="GL148" s="97"/>
      <c r="GM148" s="97"/>
      <c r="GN148" s="97"/>
      <c r="GO148" s="97"/>
      <c r="GP148" s="97"/>
      <c r="GQ148" s="97"/>
      <c r="GR148" s="97"/>
      <c r="GS148" s="97"/>
      <c r="GT148" s="97"/>
      <c r="GU148" s="97"/>
      <c r="GV148" s="97"/>
      <c r="GW148" s="97"/>
      <c r="GX148" s="97"/>
      <c r="GY148" s="97"/>
      <c r="GZ148" s="97"/>
      <c r="HA148" s="97"/>
      <c r="HB148" s="97"/>
      <c r="HC148" s="97"/>
      <c r="HD148" s="97"/>
      <c r="HE148" s="97"/>
      <c r="HF148" s="97"/>
      <c r="HG148" s="97"/>
      <c r="HH148" s="97"/>
      <c r="HI148" s="97"/>
      <c r="HJ148" s="97"/>
      <c r="HK148" s="97"/>
      <c r="HL148" s="97"/>
      <c r="HM148" s="97"/>
      <c r="HN148" s="97"/>
      <c r="HO148" s="97"/>
      <c r="HP148" s="97"/>
      <c r="HQ148" s="97"/>
      <c r="HR148" s="97"/>
      <c r="HS148" s="97"/>
      <c r="HT148" s="97"/>
      <c r="HU148" s="97"/>
      <c r="HV148" s="97"/>
      <c r="HW148" s="97"/>
      <c r="HX148" s="97"/>
      <c r="HY148" s="97"/>
      <c r="HZ148" s="97"/>
      <c r="IA148" s="97"/>
      <c r="IB148" s="97"/>
      <c r="IC148" s="97"/>
      <c r="ID148" s="97"/>
      <c r="IE148" s="97"/>
      <c r="IF148" s="97"/>
      <c r="IG148" s="97"/>
      <c r="IH148" s="97"/>
      <c r="II148" s="97"/>
      <c r="IJ148" s="97"/>
      <c r="IK148" s="97"/>
      <c r="IL148" s="97"/>
      <c r="IM148" s="97"/>
      <c r="IN148" s="97"/>
      <c r="IO148" s="97"/>
      <c r="IP148" s="97"/>
      <c r="IQ148" s="97"/>
      <c r="IR148" s="97"/>
      <c r="IS148" s="97"/>
    </row>
    <row r="149" spans="1:253" hidden="1">
      <c r="A149" s="28"/>
      <c r="J149" s="6">
        <v>90</v>
      </c>
      <c r="K149" s="19" t="str">
        <f>'Data Export'!B91</f>
        <v/>
      </c>
      <c r="L149" s="22" t="str">
        <f>IF(K149="", "", Fryers!X9)</f>
        <v/>
      </c>
      <c r="M149" s="22" t="str">
        <f>IF(K149="", "", Fryers!Y9)</f>
        <v/>
      </c>
      <c r="N149" s="31" t="str">
        <f>IF(K149="", "", Fryers!R9)</f>
        <v/>
      </c>
      <c r="O149" s="83" t="str">
        <f>IF(K149="", "", Fryers!Z9)</f>
        <v/>
      </c>
      <c r="P149" s="6" t="str">
        <f t="shared" si="11"/>
        <v/>
      </c>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7"/>
      <c r="BR149" s="97"/>
      <c r="BS149" s="97"/>
      <c r="BT149" s="97"/>
      <c r="BU149" s="97"/>
      <c r="BV149" s="97"/>
      <c r="BW149" s="97"/>
      <c r="BX149" s="97"/>
      <c r="BY149" s="97"/>
      <c r="BZ149" s="97"/>
      <c r="CA149" s="97"/>
      <c r="CB149" s="97"/>
      <c r="CC149" s="97"/>
      <c r="CD149" s="97"/>
      <c r="CE149" s="97"/>
      <c r="CF149" s="97"/>
      <c r="CG149" s="97"/>
      <c r="CH149" s="97"/>
      <c r="CI149" s="97"/>
      <c r="CJ149" s="97"/>
      <c r="CK149" s="97"/>
      <c r="CL149" s="97"/>
      <c r="CM149" s="97"/>
      <c r="CN149" s="97"/>
      <c r="CO149" s="97"/>
      <c r="CP149" s="97"/>
      <c r="CQ149" s="97"/>
      <c r="CR149" s="97"/>
      <c r="CS149" s="97"/>
      <c r="CT149" s="97"/>
      <c r="CU149" s="97"/>
      <c r="CV149" s="97"/>
      <c r="CW149" s="97"/>
      <c r="CX149" s="97"/>
      <c r="CY149" s="97"/>
      <c r="CZ149" s="97"/>
      <c r="DA149" s="97"/>
      <c r="DB149" s="97"/>
      <c r="DC149" s="97"/>
      <c r="DD149" s="97"/>
      <c r="DE149" s="97"/>
      <c r="DF149" s="97"/>
      <c r="DG149" s="97"/>
      <c r="DH149" s="97"/>
      <c r="DI149" s="97"/>
      <c r="DJ149" s="97"/>
      <c r="DK149" s="97"/>
      <c r="DL149" s="97"/>
      <c r="DM149" s="97"/>
      <c r="DN149" s="97"/>
      <c r="DO149" s="97"/>
      <c r="DP149" s="97"/>
      <c r="DQ149" s="97"/>
      <c r="DR149" s="97"/>
      <c r="DS149" s="97"/>
      <c r="DT149" s="97"/>
      <c r="DU149" s="97"/>
      <c r="DV149" s="97"/>
      <c r="DW149" s="97"/>
      <c r="DX149" s="97"/>
      <c r="DY149" s="97"/>
      <c r="DZ149" s="97"/>
      <c r="EA149" s="97"/>
      <c r="EB149" s="97"/>
      <c r="EC149" s="97"/>
      <c r="ED149" s="97"/>
      <c r="EE149" s="97"/>
      <c r="EF149" s="97"/>
      <c r="EG149" s="97"/>
      <c r="EH149" s="97"/>
      <c r="EI149" s="97"/>
      <c r="EJ149" s="97"/>
      <c r="EK149" s="97"/>
      <c r="EL149" s="97"/>
      <c r="EM149" s="97"/>
      <c r="EN149" s="97"/>
      <c r="EO149" s="97"/>
      <c r="EP149" s="97"/>
      <c r="EQ149" s="97"/>
      <c r="ER149" s="97"/>
      <c r="ES149" s="97"/>
      <c r="ET149" s="97"/>
      <c r="EU149" s="97"/>
      <c r="EV149" s="97"/>
      <c r="EW149" s="97"/>
      <c r="EX149" s="97"/>
      <c r="EY149" s="97"/>
      <c r="EZ149" s="97"/>
      <c r="FA149" s="97"/>
      <c r="FB149" s="97"/>
      <c r="FC149" s="97"/>
      <c r="FD149" s="97"/>
      <c r="FE149" s="97"/>
      <c r="FF149" s="97"/>
      <c r="FG149" s="97"/>
      <c r="FH149" s="97"/>
      <c r="FI149" s="97"/>
      <c r="FJ149" s="97"/>
      <c r="FK149" s="97"/>
      <c r="FL149" s="97"/>
      <c r="FM149" s="97"/>
      <c r="FN149" s="97"/>
      <c r="FO149" s="97"/>
      <c r="FP149" s="97"/>
      <c r="FQ149" s="97"/>
      <c r="FR149" s="97"/>
      <c r="FS149" s="97"/>
      <c r="FT149" s="97"/>
      <c r="FU149" s="97"/>
      <c r="FV149" s="97"/>
      <c r="FW149" s="97"/>
      <c r="FX149" s="97"/>
      <c r="FY149" s="97"/>
      <c r="FZ149" s="97"/>
      <c r="GA149" s="97"/>
      <c r="GB149" s="97"/>
      <c r="GC149" s="97"/>
      <c r="GD149" s="97"/>
      <c r="GE149" s="97"/>
      <c r="GF149" s="97"/>
      <c r="GG149" s="97"/>
      <c r="GH149" s="97"/>
      <c r="GI149" s="97"/>
      <c r="GJ149" s="97"/>
      <c r="GK149" s="97"/>
      <c r="GL149" s="97"/>
      <c r="GM149" s="97"/>
      <c r="GN149" s="97"/>
      <c r="GO149" s="97"/>
      <c r="GP149" s="97"/>
      <c r="GQ149" s="97"/>
      <c r="GR149" s="97"/>
      <c r="GS149" s="97"/>
      <c r="GT149" s="97"/>
      <c r="GU149" s="97"/>
      <c r="GV149" s="97"/>
      <c r="GW149" s="97"/>
      <c r="GX149" s="97"/>
      <c r="GY149" s="97"/>
      <c r="GZ149" s="97"/>
      <c r="HA149" s="97"/>
      <c r="HB149" s="97"/>
      <c r="HC149" s="97"/>
      <c r="HD149" s="97"/>
      <c r="HE149" s="97"/>
      <c r="HF149" s="97"/>
      <c r="HG149" s="97"/>
      <c r="HH149" s="97"/>
      <c r="HI149" s="97"/>
      <c r="HJ149" s="97"/>
      <c r="HK149" s="97"/>
      <c r="HL149" s="97"/>
      <c r="HM149" s="97"/>
      <c r="HN149" s="97"/>
      <c r="HO149" s="97"/>
      <c r="HP149" s="97"/>
      <c r="HQ149" s="97"/>
      <c r="HR149" s="97"/>
      <c r="HS149" s="97"/>
      <c r="HT149" s="97"/>
      <c r="HU149" s="97"/>
      <c r="HV149" s="97"/>
      <c r="HW149" s="97"/>
      <c r="HX149" s="97"/>
      <c r="HY149" s="97"/>
      <c r="HZ149" s="97"/>
      <c r="IA149" s="97"/>
      <c r="IB149" s="97"/>
      <c r="IC149" s="97"/>
      <c r="ID149" s="97"/>
      <c r="IE149" s="97"/>
      <c r="IF149" s="97"/>
      <c r="IG149" s="97"/>
      <c r="IH149" s="97"/>
      <c r="II149" s="97"/>
      <c r="IJ149" s="97"/>
      <c r="IK149" s="97"/>
      <c r="IL149" s="97"/>
      <c r="IM149" s="97"/>
      <c r="IN149" s="97"/>
      <c r="IO149" s="97"/>
      <c r="IP149" s="97"/>
      <c r="IQ149" s="97"/>
      <c r="IR149" s="97"/>
      <c r="IS149" s="97"/>
    </row>
    <row r="150" spans="1:253" hidden="1">
      <c r="A150" s="28"/>
      <c r="J150" s="6">
        <v>91</v>
      </c>
      <c r="K150" s="19" t="str">
        <f>'Data Export'!B92</f>
        <v/>
      </c>
      <c r="L150" s="22" t="str">
        <f>IF(K150="", "", Fryers!X10)</f>
        <v/>
      </c>
      <c r="M150" s="22" t="str">
        <f>IF(K150="", "", Fryers!Y10)</f>
        <v/>
      </c>
      <c r="N150" s="31" t="str">
        <f>IF(K150="", "", Fryers!R10)</f>
        <v/>
      </c>
      <c r="O150" s="83" t="str">
        <f>IF(K150="", "", Fryers!Z10)</f>
        <v/>
      </c>
      <c r="P150" s="6" t="str">
        <f t="shared" si="11"/>
        <v/>
      </c>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7"/>
      <c r="BR150" s="97"/>
      <c r="BS150" s="97"/>
      <c r="BT150" s="97"/>
      <c r="BU150" s="97"/>
      <c r="BV150" s="97"/>
      <c r="BW150" s="97"/>
      <c r="BX150" s="97"/>
      <c r="BY150" s="97"/>
      <c r="BZ150" s="97"/>
      <c r="CA150" s="97"/>
      <c r="CB150" s="97"/>
      <c r="CC150" s="97"/>
      <c r="CD150" s="97"/>
      <c r="CE150" s="97"/>
      <c r="CF150" s="97"/>
      <c r="CG150" s="97"/>
      <c r="CH150" s="97"/>
      <c r="CI150" s="97"/>
      <c r="CJ150" s="97"/>
      <c r="CK150" s="97"/>
      <c r="CL150" s="97"/>
      <c r="CM150" s="97"/>
      <c r="CN150" s="97"/>
      <c r="CO150" s="97"/>
      <c r="CP150" s="97"/>
      <c r="CQ150" s="97"/>
      <c r="CR150" s="97"/>
      <c r="CS150" s="97"/>
      <c r="CT150" s="97"/>
      <c r="CU150" s="97"/>
      <c r="CV150" s="97"/>
      <c r="CW150" s="97"/>
      <c r="CX150" s="97"/>
      <c r="CY150" s="97"/>
      <c r="CZ150" s="97"/>
      <c r="DA150" s="97"/>
      <c r="DB150" s="97"/>
      <c r="DC150" s="97"/>
      <c r="DD150" s="97"/>
      <c r="DE150" s="97"/>
      <c r="DF150" s="97"/>
      <c r="DG150" s="97"/>
      <c r="DH150" s="97"/>
      <c r="DI150" s="97"/>
      <c r="DJ150" s="97"/>
      <c r="DK150" s="97"/>
      <c r="DL150" s="97"/>
      <c r="DM150" s="97"/>
      <c r="DN150" s="97"/>
      <c r="DO150" s="97"/>
      <c r="DP150" s="97"/>
      <c r="DQ150" s="97"/>
      <c r="DR150" s="97"/>
      <c r="DS150" s="97"/>
      <c r="DT150" s="97"/>
      <c r="DU150" s="97"/>
      <c r="DV150" s="97"/>
      <c r="DW150" s="97"/>
      <c r="DX150" s="97"/>
      <c r="DY150" s="97"/>
      <c r="DZ150" s="97"/>
      <c r="EA150" s="97"/>
      <c r="EB150" s="97"/>
      <c r="EC150" s="97"/>
      <c r="ED150" s="97"/>
      <c r="EE150" s="97"/>
      <c r="EF150" s="97"/>
      <c r="EG150" s="97"/>
      <c r="EH150" s="97"/>
      <c r="EI150" s="97"/>
      <c r="EJ150" s="97"/>
      <c r="EK150" s="97"/>
      <c r="EL150" s="97"/>
      <c r="EM150" s="97"/>
      <c r="EN150" s="97"/>
      <c r="EO150" s="97"/>
      <c r="EP150" s="97"/>
      <c r="EQ150" s="97"/>
      <c r="ER150" s="97"/>
      <c r="ES150" s="97"/>
      <c r="ET150" s="97"/>
      <c r="EU150" s="97"/>
      <c r="EV150" s="97"/>
      <c r="EW150" s="97"/>
      <c r="EX150" s="97"/>
      <c r="EY150" s="97"/>
      <c r="EZ150" s="97"/>
      <c r="FA150" s="97"/>
      <c r="FB150" s="97"/>
      <c r="FC150" s="97"/>
      <c r="FD150" s="97"/>
      <c r="FE150" s="97"/>
      <c r="FF150" s="97"/>
      <c r="FG150" s="97"/>
      <c r="FH150" s="97"/>
      <c r="FI150" s="97"/>
      <c r="FJ150" s="97"/>
      <c r="FK150" s="97"/>
      <c r="FL150" s="97"/>
      <c r="FM150" s="97"/>
      <c r="FN150" s="97"/>
      <c r="FO150" s="97"/>
      <c r="FP150" s="97"/>
      <c r="FQ150" s="97"/>
      <c r="FR150" s="97"/>
      <c r="FS150" s="97"/>
      <c r="FT150" s="97"/>
      <c r="FU150" s="97"/>
      <c r="FV150" s="97"/>
      <c r="FW150" s="97"/>
      <c r="FX150" s="97"/>
      <c r="FY150" s="97"/>
      <c r="FZ150" s="97"/>
      <c r="GA150" s="97"/>
      <c r="GB150" s="97"/>
      <c r="GC150" s="97"/>
      <c r="GD150" s="97"/>
      <c r="GE150" s="97"/>
      <c r="GF150" s="97"/>
      <c r="GG150" s="97"/>
      <c r="GH150" s="97"/>
      <c r="GI150" s="97"/>
      <c r="GJ150" s="97"/>
      <c r="GK150" s="97"/>
      <c r="GL150" s="97"/>
      <c r="GM150" s="97"/>
      <c r="GN150" s="97"/>
      <c r="GO150" s="97"/>
      <c r="GP150" s="97"/>
      <c r="GQ150" s="97"/>
      <c r="GR150" s="97"/>
      <c r="GS150" s="97"/>
      <c r="GT150" s="97"/>
      <c r="GU150" s="97"/>
      <c r="GV150" s="97"/>
      <c r="GW150" s="97"/>
      <c r="GX150" s="97"/>
      <c r="GY150" s="97"/>
      <c r="GZ150" s="97"/>
      <c r="HA150" s="97"/>
      <c r="HB150" s="97"/>
      <c r="HC150" s="97"/>
      <c r="HD150" s="97"/>
      <c r="HE150" s="97"/>
      <c r="HF150" s="97"/>
      <c r="HG150" s="97"/>
      <c r="HH150" s="97"/>
      <c r="HI150" s="97"/>
      <c r="HJ150" s="97"/>
      <c r="HK150" s="97"/>
      <c r="HL150" s="97"/>
      <c r="HM150" s="97"/>
      <c r="HN150" s="97"/>
      <c r="HO150" s="97"/>
      <c r="HP150" s="97"/>
      <c r="HQ150" s="97"/>
      <c r="HR150" s="97"/>
      <c r="HS150" s="97"/>
      <c r="HT150" s="97"/>
      <c r="HU150" s="97"/>
      <c r="HV150" s="97"/>
      <c r="HW150" s="97"/>
      <c r="HX150" s="97"/>
      <c r="HY150" s="97"/>
      <c r="HZ150" s="97"/>
      <c r="IA150" s="97"/>
      <c r="IB150" s="97"/>
      <c r="IC150" s="97"/>
      <c r="ID150" s="97"/>
      <c r="IE150" s="97"/>
      <c r="IF150" s="97"/>
      <c r="IG150" s="97"/>
      <c r="IH150" s="97"/>
      <c r="II150" s="97"/>
      <c r="IJ150" s="97"/>
      <c r="IK150" s="97"/>
      <c r="IL150" s="97"/>
      <c r="IM150" s="97"/>
      <c r="IN150" s="97"/>
      <c r="IO150" s="97"/>
      <c r="IP150" s="97"/>
      <c r="IQ150" s="97"/>
      <c r="IR150" s="97"/>
      <c r="IS150" s="97"/>
    </row>
    <row r="151" spans="1:253" hidden="1">
      <c r="A151" s="28"/>
      <c r="J151" s="6">
        <v>92</v>
      </c>
      <c r="K151" s="19" t="str">
        <f>'Data Export'!B93</f>
        <v/>
      </c>
      <c r="L151" s="22" t="str">
        <f>IF(K151="", "", Fryers!X11)</f>
        <v/>
      </c>
      <c r="M151" s="22" t="str">
        <f>IF(K151="", "", Fryers!Y11)</f>
        <v/>
      </c>
      <c r="N151" s="31" t="str">
        <f>IF(K151="", "", Fryers!R11)</f>
        <v/>
      </c>
      <c r="O151" s="83" t="str">
        <f>IF(K151="", "", Fryers!Z11)</f>
        <v/>
      </c>
      <c r="P151" s="6" t="str">
        <f t="shared" si="11"/>
        <v/>
      </c>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7"/>
      <c r="AT151" s="97"/>
      <c r="AU151" s="97"/>
      <c r="AV151" s="97"/>
      <c r="AW151" s="97"/>
      <c r="AX151" s="97"/>
      <c r="AY151" s="97"/>
      <c r="AZ151" s="97"/>
      <c r="BA151" s="97"/>
      <c r="BB151" s="97"/>
      <c r="BC151" s="97"/>
      <c r="BD151" s="97"/>
      <c r="BE151" s="97"/>
      <c r="BF151" s="97"/>
      <c r="BG151" s="97"/>
      <c r="BH151" s="97"/>
      <c r="BI151" s="97"/>
      <c r="BJ151" s="97"/>
      <c r="BK151" s="97"/>
      <c r="BL151" s="97"/>
      <c r="BM151" s="97"/>
      <c r="BN151" s="97"/>
      <c r="BO151" s="97"/>
      <c r="BP151" s="97"/>
      <c r="BQ151" s="97"/>
      <c r="BR151" s="97"/>
      <c r="BS151" s="97"/>
      <c r="BT151" s="97"/>
      <c r="BU151" s="97"/>
      <c r="BV151" s="97"/>
      <c r="BW151" s="97"/>
      <c r="BX151" s="97"/>
      <c r="BY151" s="97"/>
      <c r="BZ151" s="97"/>
      <c r="CA151" s="97"/>
      <c r="CB151" s="97"/>
      <c r="CC151" s="97"/>
      <c r="CD151" s="97"/>
      <c r="CE151" s="97"/>
      <c r="CF151" s="97"/>
      <c r="CG151" s="97"/>
      <c r="CH151" s="97"/>
      <c r="CI151" s="97"/>
      <c r="CJ151" s="97"/>
      <c r="CK151" s="97"/>
      <c r="CL151" s="97"/>
      <c r="CM151" s="97"/>
      <c r="CN151" s="97"/>
      <c r="CO151" s="97"/>
      <c r="CP151" s="97"/>
      <c r="CQ151" s="97"/>
      <c r="CR151" s="97"/>
      <c r="CS151" s="97"/>
      <c r="CT151" s="97"/>
      <c r="CU151" s="97"/>
      <c r="CV151" s="97"/>
      <c r="CW151" s="97"/>
      <c r="CX151" s="97"/>
      <c r="CY151" s="97"/>
      <c r="CZ151" s="97"/>
      <c r="DA151" s="97"/>
      <c r="DB151" s="97"/>
      <c r="DC151" s="97"/>
      <c r="DD151" s="97"/>
      <c r="DE151" s="97"/>
      <c r="DF151" s="97"/>
      <c r="DG151" s="97"/>
      <c r="DH151" s="97"/>
      <c r="DI151" s="97"/>
      <c r="DJ151" s="97"/>
      <c r="DK151" s="97"/>
      <c r="DL151" s="97"/>
      <c r="DM151" s="97"/>
      <c r="DN151" s="97"/>
      <c r="DO151" s="97"/>
      <c r="DP151" s="97"/>
      <c r="DQ151" s="97"/>
      <c r="DR151" s="97"/>
      <c r="DS151" s="97"/>
      <c r="DT151" s="97"/>
      <c r="DU151" s="97"/>
      <c r="DV151" s="97"/>
      <c r="DW151" s="97"/>
      <c r="DX151" s="97"/>
      <c r="DY151" s="97"/>
      <c r="DZ151" s="97"/>
      <c r="EA151" s="97"/>
      <c r="EB151" s="97"/>
      <c r="EC151" s="97"/>
      <c r="ED151" s="97"/>
      <c r="EE151" s="97"/>
      <c r="EF151" s="97"/>
      <c r="EG151" s="97"/>
      <c r="EH151" s="97"/>
      <c r="EI151" s="97"/>
      <c r="EJ151" s="97"/>
      <c r="EK151" s="97"/>
      <c r="EL151" s="97"/>
      <c r="EM151" s="97"/>
      <c r="EN151" s="97"/>
      <c r="EO151" s="97"/>
      <c r="EP151" s="97"/>
      <c r="EQ151" s="97"/>
      <c r="ER151" s="97"/>
      <c r="ES151" s="97"/>
      <c r="ET151" s="97"/>
      <c r="EU151" s="97"/>
      <c r="EV151" s="97"/>
      <c r="EW151" s="97"/>
      <c r="EX151" s="97"/>
      <c r="EY151" s="97"/>
      <c r="EZ151" s="97"/>
      <c r="FA151" s="97"/>
      <c r="FB151" s="97"/>
      <c r="FC151" s="97"/>
      <c r="FD151" s="97"/>
      <c r="FE151" s="97"/>
      <c r="FF151" s="97"/>
      <c r="FG151" s="97"/>
      <c r="FH151" s="97"/>
      <c r="FI151" s="97"/>
      <c r="FJ151" s="97"/>
      <c r="FK151" s="97"/>
      <c r="FL151" s="97"/>
      <c r="FM151" s="97"/>
      <c r="FN151" s="97"/>
      <c r="FO151" s="97"/>
      <c r="FP151" s="97"/>
      <c r="FQ151" s="97"/>
      <c r="FR151" s="97"/>
      <c r="FS151" s="97"/>
      <c r="FT151" s="97"/>
      <c r="FU151" s="97"/>
      <c r="FV151" s="97"/>
      <c r="FW151" s="97"/>
      <c r="FX151" s="97"/>
      <c r="FY151" s="97"/>
      <c r="FZ151" s="97"/>
      <c r="GA151" s="97"/>
      <c r="GB151" s="97"/>
      <c r="GC151" s="97"/>
      <c r="GD151" s="97"/>
      <c r="GE151" s="97"/>
      <c r="GF151" s="97"/>
      <c r="GG151" s="97"/>
      <c r="GH151" s="97"/>
      <c r="GI151" s="97"/>
      <c r="GJ151" s="97"/>
      <c r="GK151" s="97"/>
      <c r="GL151" s="97"/>
      <c r="GM151" s="97"/>
      <c r="GN151" s="97"/>
      <c r="GO151" s="97"/>
      <c r="GP151" s="97"/>
      <c r="GQ151" s="97"/>
      <c r="GR151" s="97"/>
      <c r="GS151" s="97"/>
      <c r="GT151" s="97"/>
      <c r="GU151" s="97"/>
      <c r="GV151" s="97"/>
      <c r="GW151" s="97"/>
      <c r="GX151" s="97"/>
      <c r="GY151" s="97"/>
      <c r="GZ151" s="97"/>
      <c r="HA151" s="97"/>
      <c r="HB151" s="97"/>
      <c r="HC151" s="97"/>
      <c r="HD151" s="97"/>
      <c r="HE151" s="97"/>
      <c r="HF151" s="97"/>
      <c r="HG151" s="97"/>
      <c r="HH151" s="97"/>
      <c r="HI151" s="97"/>
      <c r="HJ151" s="97"/>
      <c r="HK151" s="97"/>
      <c r="HL151" s="97"/>
      <c r="HM151" s="97"/>
      <c r="HN151" s="97"/>
      <c r="HO151" s="97"/>
      <c r="HP151" s="97"/>
      <c r="HQ151" s="97"/>
      <c r="HR151" s="97"/>
      <c r="HS151" s="97"/>
      <c r="HT151" s="97"/>
      <c r="HU151" s="97"/>
      <c r="HV151" s="97"/>
      <c r="HW151" s="97"/>
      <c r="HX151" s="97"/>
      <c r="HY151" s="97"/>
      <c r="HZ151" s="97"/>
      <c r="IA151" s="97"/>
      <c r="IB151" s="97"/>
      <c r="IC151" s="97"/>
      <c r="ID151" s="97"/>
      <c r="IE151" s="97"/>
      <c r="IF151" s="97"/>
      <c r="IG151" s="97"/>
      <c r="IH151" s="97"/>
      <c r="II151" s="97"/>
      <c r="IJ151" s="97"/>
      <c r="IK151" s="97"/>
      <c r="IL151" s="97"/>
      <c r="IM151" s="97"/>
      <c r="IN151" s="97"/>
      <c r="IO151" s="97"/>
      <c r="IP151" s="97"/>
      <c r="IQ151" s="97"/>
      <c r="IR151" s="97"/>
      <c r="IS151" s="97"/>
    </row>
    <row r="152" spans="1:253" hidden="1">
      <c r="A152" s="28"/>
      <c r="J152" s="6">
        <v>93</v>
      </c>
      <c r="K152" s="19" t="str">
        <f>'Data Export'!B94</f>
        <v/>
      </c>
      <c r="L152" s="22" t="str">
        <f>IF(K152="", "", Fryers!X12)</f>
        <v/>
      </c>
      <c r="M152" s="22" t="str">
        <f>IF(K152="", "", Fryers!Y12)</f>
        <v/>
      </c>
      <c r="N152" s="31" t="str">
        <f>IF(K152="", "", Fryers!R12)</f>
        <v/>
      </c>
      <c r="O152" s="83" t="str">
        <f>IF(K152="", "", Fryers!Z12)</f>
        <v/>
      </c>
      <c r="P152" s="6" t="str">
        <f t="shared" si="11"/>
        <v/>
      </c>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c r="BJ152" s="97"/>
      <c r="BK152" s="97"/>
      <c r="BL152" s="97"/>
      <c r="BM152" s="97"/>
      <c r="BN152" s="97"/>
      <c r="BO152" s="97"/>
      <c r="BP152" s="97"/>
      <c r="BQ152" s="97"/>
      <c r="BR152" s="97"/>
      <c r="BS152" s="97"/>
      <c r="BT152" s="97"/>
      <c r="BU152" s="97"/>
      <c r="BV152" s="97"/>
      <c r="BW152" s="97"/>
      <c r="BX152" s="97"/>
      <c r="BY152" s="97"/>
      <c r="BZ152" s="97"/>
      <c r="CA152" s="97"/>
      <c r="CB152" s="97"/>
      <c r="CC152" s="97"/>
      <c r="CD152" s="97"/>
      <c r="CE152" s="97"/>
      <c r="CF152" s="97"/>
      <c r="CG152" s="97"/>
      <c r="CH152" s="97"/>
      <c r="CI152" s="97"/>
      <c r="CJ152" s="97"/>
      <c r="CK152" s="97"/>
      <c r="CL152" s="97"/>
      <c r="CM152" s="97"/>
      <c r="CN152" s="97"/>
      <c r="CO152" s="97"/>
      <c r="CP152" s="97"/>
      <c r="CQ152" s="97"/>
      <c r="CR152" s="97"/>
      <c r="CS152" s="97"/>
      <c r="CT152" s="97"/>
      <c r="CU152" s="97"/>
      <c r="CV152" s="97"/>
      <c r="CW152" s="97"/>
      <c r="CX152" s="97"/>
      <c r="CY152" s="97"/>
      <c r="CZ152" s="97"/>
      <c r="DA152" s="97"/>
      <c r="DB152" s="97"/>
      <c r="DC152" s="97"/>
      <c r="DD152" s="97"/>
      <c r="DE152" s="97"/>
      <c r="DF152" s="97"/>
      <c r="DG152" s="97"/>
      <c r="DH152" s="97"/>
      <c r="DI152" s="97"/>
      <c r="DJ152" s="97"/>
      <c r="DK152" s="97"/>
      <c r="DL152" s="97"/>
      <c r="DM152" s="97"/>
      <c r="DN152" s="97"/>
      <c r="DO152" s="97"/>
      <c r="DP152" s="97"/>
      <c r="DQ152" s="97"/>
      <c r="DR152" s="97"/>
      <c r="DS152" s="97"/>
      <c r="DT152" s="97"/>
      <c r="DU152" s="97"/>
      <c r="DV152" s="97"/>
      <c r="DW152" s="97"/>
      <c r="DX152" s="97"/>
      <c r="DY152" s="97"/>
      <c r="DZ152" s="97"/>
      <c r="EA152" s="97"/>
      <c r="EB152" s="97"/>
      <c r="EC152" s="97"/>
      <c r="ED152" s="97"/>
      <c r="EE152" s="97"/>
      <c r="EF152" s="97"/>
      <c r="EG152" s="97"/>
      <c r="EH152" s="97"/>
      <c r="EI152" s="97"/>
      <c r="EJ152" s="97"/>
      <c r="EK152" s="97"/>
      <c r="EL152" s="97"/>
      <c r="EM152" s="97"/>
      <c r="EN152" s="97"/>
      <c r="EO152" s="97"/>
      <c r="EP152" s="97"/>
      <c r="EQ152" s="97"/>
      <c r="ER152" s="97"/>
      <c r="ES152" s="97"/>
      <c r="ET152" s="97"/>
      <c r="EU152" s="97"/>
      <c r="EV152" s="97"/>
      <c r="EW152" s="97"/>
      <c r="EX152" s="97"/>
      <c r="EY152" s="97"/>
      <c r="EZ152" s="97"/>
      <c r="FA152" s="97"/>
      <c r="FB152" s="97"/>
      <c r="FC152" s="97"/>
      <c r="FD152" s="97"/>
      <c r="FE152" s="97"/>
      <c r="FF152" s="97"/>
      <c r="FG152" s="97"/>
      <c r="FH152" s="97"/>
      <c r="FI152" s="97"/>
      <c r="FJ152" s="97"/>
      <c r="FK152" s="97"/>
      <c r="FL152" s="97"/>
      <c r="FM152" s="97"/>
      <c r="FN152" s="97"/>
      <c r="FO152" s="97"/>
      <c r="FP152" s="97"/>
      <c r="FQ152" s="97"/>
      <c r="FR152" s="97"/>
      <c r="FS152" s="97"/>
      <c r="FT152" s="97"/>
      <c r="FU152" s="97"/>
      <c r="FV152" s="97"/>
      <c r="FW152" s="97"/>
      <c r="FX152" s="97"/>
      <c r="FY152" s="97"/>
      <c r="FZ152" s="97"/>
      <c r="GA152" s="97"/>
      <c r="GB152" s="97"/>
      <c r="GC152" s="97"/>
      <c r="GD152" s="97"/>
      <c r="GE152" s="97"/>
      <c r="GF152" s="97"/>
      <c r="GG152" s="97"/>
      <c r="GH152" s="97"/>
      <c r="GI152" s="97"/>
      <c r="GJ152" s="97"/>
      <c r="GK152" s="97"/>
      <c r="GL152" s="97"/>
      <c r="GM152" s="97"/>
      <c r="GN152" s="97"/>
      <c r="GO152" s="97"/>
      <c r="GP152" s="97"/>
      <c r="GQ152" s="97"/>
      <c r="GR152" s="97"/>
      <c r="GS152" s="97"/>
      <c r="GT152" s="97"/>
      <c r="GU152" s="97"/>
      <c r="GV152" s="97"/>
      <c r="GW152" s="97"/>
      <c r="GX152" s="97"/>
      <c r="GY152" s="97"/>
      <c r="GZ152" s="97"/>
      <c r="HA152" s="97"/>
      <c r="HB152" s="97"/>
      <c r="HC152" s="97"/>
      <c r="HD152" s="97"/>
      <c r="HE152" s="97"/>
      <c r="HF152" s="97"/>
      <c r="HG152" s="97"/>
      <c r="HH152" s="97"/>
      <c r="HI152" s="97"/>
      <c r="HJ152" s="97"/>
      <c r="HK152" s="97"/>
      <c r="HL152" s="97"/>
      <c r="HM152" s="97"/>
      <c r="HN152" s="97"/>
      <c r="HO152" s="97"/>
      <c r="HP152" s="97"/>
      <c r="HQ152" s="97"/>
      <c r="HR152" s="97"/>
      <c r="HS152" s="97"/>
      <c r="HT152" s="97"/>
      <c r="HU152" s="97"/>
      <c r="HV152" s="97"/>
      <c r="HW152" s="97"/>
      <c r="HX152" s="97"/>
      <c r="HY152" s="97"/>
      <c r="HZ152" s="97"/>
      <c r="IA152" s="97"/>
      <c r="IB152" s="97"/>
      <c r="IC152" s="97"/>
      <c r="ID152" s="97"/>
      <c r="IE152" s="97"/>
      <c r="IF152" s="97"/>
      <c r="IG152" s="97"/>
      <c r="IH152" s="97"/>
      <c r="II152" s="97"/>
      <c r="IJ152" s="97"/>
      <c r="IK152" s="97"/>
      <c r="IL152" s="97"/>
      <c r="IM152" s="97"/>
      <c r="IN152" s="97"/>
      <c r="IO152" s="97"/>
      <c r="IP152" s="97"/>
      <c r="IQ152" s="97"/>
      <c r="IR152" s="97"/>
      <c r="IS152" s="97"/>
    </row>
    <row r="153" spans="1:253" hidden="1">
      <c r="A153" s="28"/>
      <c r="J153" s="6">
        <v>94</v>
      </c>
      <c r="K153" s="19" t="str">
        <f>'Data Export'!B95</f>
        <v/>
      </c>
      <c r="L153" s="22" t="str">
        <f>IF(K153="", "", Fryers!X13)</f>
        <v/>
      </c>
      <c r="M153" s="22" t="str">
        <f>IF(K153="", "", Fryers!Y13)</f>
        <v/>
      </c>
      <c r="N153" s="31" t="str">
        <f>IF(K153="", "", Fryers!R13)</f>
        <v/>
      </c>
      <c r="O153" s="83" t="str">
        <f>IF(K153="", "", Fryers!Z13)</f>
        <v/>
      </c>
      <c r="P153" s="6" t="str">
        <f t="shared" si="11"/>
        <v/>
      </c>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97"/>
      <c r="AO153" s="97"/>
      <c r="AP153" s="97"/>
      <c r="AQ153" s="97"/>
      <c r="AR153" s="97"/>
      <c r="AS153" s="97"/>
      <c r="AT153" s="97"/>
      <c r="AU153" s="97"/>
      <c r="AV153" s="97"/>
      <c r="AW153" s="97"/>
      <c r="AX153" s="97"/>
      <c r="AY153" s="97"/>
      <c r="AZ153" s="97"/>
      <c r="BA153" s="97"/>
      <c r="BB153" s="97"/>
      <c r="BC153" s="97"/>
      <c r="BD153" s="97"/>
      <c r="BE153" s="97"/>
      <c r="BF153" s="97"/>
      <c r="BG153" s="97"/>
      <c r="BH153" s="97"/>
      <c r="BI153" s="97"/>
      <c r="BJ153" s="97"/>
      <c r="BK153" s="97"/>
      <c r="BL153" s="97"/>
      <c r="BM153" s="97"/>
      <c r="BN153" s="97"/>
      <c r="BO153" s="97"/>
      <c r="BP153" s="97"/>
      <c r="BQ153" s="97"/>
      <c r="BR153" s="97"/>
      <c r="BS153" s="97"/>
      <c r="BT153" s="97"/>
      <c r="BU153" s="97"/>
      <c r="BV153" s="97"/>
      <c r="BW153" s="97"/>
      <c r="BX153" s="97"/>
      <c r="BY153" s="97"/>
      <c r="BZ153" s="97"/>
      <c r="CA153" s="97"/>
      <c r="CB153" s="97"/>
      <c r="CC153" s="97"/>
      <c r="CD153" s="97"/>
      <c r="CE153" s="97"/>
      <c r="CF153" s="97"/>
      <c r="CG153" s="97"/>
      <c r="CH153" s="97"/>
      <c r="CI153" s="97"/>
      <c r="CJ153" s="97"/>
      <c r="CK153" s="97"/>
      <c r="CL153" s="97"/>
      <c r="CM153" s="97"/>
      <c r="CN153" s="97"/>
      <c r="CO153" s="97"/>
      <c r="CP153" s="97"/>
      <c r="CQ153" s="97"/>
      <c r="CR153" s="97"/>
      <c r="CS153" s="97"/>
      <c r="CT153" s="97"/>
      <c r="CU153" s="97"/>
      <c r="CV153" s="97"/>
      <c r="CW153" s="97"/>
      <c r="CX153" s="97"/>
      <c r="CY153" s="97"/>
      <c r="CZ153" s="97"/>
      <c r="DA153" s="97"/>
      <c r="DB153" s="97"/>
      <c r="DC153" s="97"/>
      <c r="DD153" s="97"/>
      <c r="DE153" s="97"/>
      <c r="DF153" s="97"/>
      <c r="DG153" s="97"/>
      <c r="DH153" s="97"/>
      <c r="DI153" s="97"/>
      <c r="DJ153" s="97"/>
      <c r="DK153" s="97"/>
      <c r="DL153" s="97"/>
      <c r="DM153" s="97"/>
      <c r="DN153" s="97"/>
      <c r="DO153" s="97"/>
      <c r="DP153" s="97"/>
      <c r="DQ153" s="97"/>
      <c r="DR153" s="97"/>
      <c r="DS153" s="97"/>
      <c r="DT153" s="97"/>
      <c r="DU153" s="97"/>
      <c r="DV153" s="97"/>
      <c r="DW153" s="97"/>
      <c r="DX153" s="97"/>
      <c r="DY153" s="97"/>
      <c r="DZ153" s="97"/>
      <c r="EA153" s="97"/>
      <c r="EB153" s="97"/>
      <c r="EC153" s="97"/>
      <c r="ED153" s="97"/>
      <c r="EE153" s="97"/>
      <c r="EF153" s="97"/>
      <c r="EG153" s="97"/>
      <c r="EH153" s="97"/>
      <c r="EI153" s="97"/>
      <c r="EJ153" s="97"/>
      <c r="EK153" s="97"/>
      <c r="EL153" s="97"/>
      <c r="EM153" s="97"/>
      <c r="EN153" s="97"/>
      <c r="EO153" s="97"/>
      <c r="EP153" s="97"/>
      <c r="EQ153" s="97"/>
      <c r="ER153" s="97"/>
      <c r="ES153" s="97"/>
      <c r="ET153" s="97"/>
      <c r="EU153" s="97"/>
      <c r="EV153" s="97"/>
      <c r="EW153" s="97"/>
      <c r="EX153" s="97"/>
      <c r="EY153" s="97"/>
      <c r="EZ153" s="97"/>
      <c r="FA153" s="97"/>
      <c r="FB153" s="97"/>
      <c r="FC153" s="97"/>
      <c r="FD153" s="97"/>
      <c r="FE153" s="97"/>
      <c r="FF153" s="97"/>
      <c r="FG153" s="97"/>
      <c r="FH153" s="97"/>
      <c r="FI153" s="97"/>
      <c r="FJ153" s="97"/>
      <c r="FK153" s="97"/>
      <c r="FL153" s="97"/>
      <c r="FM153" s="97"/>
      <c r="FN153" s="97"/>
      <c r="FO153" s="97"/>
      <c r="FP153" s="97"/>
      <c r="FQ153" s="97"/>
      <c r="FR153" s="97"/>
      <c r="FS153" s="97"/>
      <c r="FT153" s="97"/>
      <c r="FU153" s="97"/>
      <c r="FV153" s="97"/>
      <c r="FW153" s="97"/>
      <c r="FX153" s="97"/>
      <c r="FY153" s="97"/>
      <c r="FZ153" s="97"/>
      <c r="GA153" s="97"/>
      <c r="GB153" s="97"/>
      <c r="GC153" s="97"/>
      <c r="GD153" s="97"/>
      <c r="GE153" s="97"/>
      <c r="GF153" s="97"/>
      <c r="GG153" s="97"/>
      <c r="GH153" s="97"/>
      <c r="GI153" s="97"/>
      <c r="GJ153" s="97"/>
      <c r="GK153" s="97"/>
      <c r="GL153" s="97"/>
      <c r="GM153" s="97"/>
      <c r="GN153" s="97"/>
      <c r="GO153" s="97"/>
      <c r="GP153" s="97"/>
      <c r="GQ153" s="97"/>
      <c r="GR153" s="97"/>
      <c r="GS153" s="97"/>
      <c r="GT153" s="97"/>
      <c r="GU153" s="97"/>
      <c r="GV153" s="97"/>
      <c r="GW153" s="97"/>
      <c r="GX153" s="97"/>
      <c r="GY153" s="97"/>
      <c r="GZ153" s="97"/>
      <c r="HA153" s="97"/>
      <c r="HB153" s="97"/>
      <c r="HC153" s="97"/>
      <c r="HD153" s="97"/>
      <c r="HE153" s="97"/>
      <c r="HF153" s="97"/>
      <c r="HG153" s="97"/>
      <c r="HH153" s="97"/>
      <c r="HI153" s="97"/>
      <c r="HJ153" s="97"/>
      <c r="HK153" s="97"/>
      <c r="HL153" s="97"/>
      <c r="HM153" s="97"/>
      <c r="HN153" s="97"/>
      <c r="HO153" s="97"/>
      <c r="HP153" s="97"/>
      <c r="HQ153" s="97"/>
      <c r="HR153" s="97"/>
      <c r="HS153" s="97"/>
      <c r="HT153" s="97"/>
      <c r="HU153" s="97"/>
      <c r="HV153" s="97"/>
      <c r="HW153" s="97"/>
      <c r="HX153" s="97"/>
      <c r="HY153" s="97"/>
      <c r="HZ153" s="97"/>
      <c r="IA153" s="97"/>
      <c r="IB153" s="97"/>
      <c r="IC153" s="97"/>
      <c r="ID153" s="97"/>
      <c r="IE153" s="97"/>
      <c r="IF153" s="97"/>
      <c r="IG153" s="97"/>
      <c r="IH153" s="97"/>
      <c r="II153" s="97"/>
      <c r="IJ153" s="97"/>
      <c r="IK153" s="97"/>
      <c r="IL153" s="97"/>
      <c r="IM153" s="97"/>
      <c r="IN153" s="97"/>
      <c r="IO153" s="97"/>
      <c r="IP153" s="97"/>
      <c r="IQ153" s="97"/>
      <c r="IR153" s="97"/>
      <c r="IS153" s="97"/>
    </row>
    <row r="154" spans="1:253" hidden="1">
      <c r="A154" s="28"/>
      <c r="J154" s="6">
        <v>95</v>
      </c>
      <c r="K154" s="19" t="str">
        <f>'Data Export'!B96</f>
        <v/>
      </c>
      <c r="L154" s="22" t="str">
        <f>IF(K154="", "", Fryers!X14)</f>
        <v/>
      </c>
      <c r="M154" s="22" t="str">
        <f>IF(K154="", "", Fryers!Y14)</f>
        <v/>
      </c>
      <c r="N154" s="31" t="str">
        <f>IF(K154="", "", Fryers!R14)</f>
        <v/>
      </c>
      <c r="O154" s="83" t="str">
        <f>IF(K154="", "", Fryers!Z14)</f>
        <v/>
      </c>
      <c r="P154" s="6" t="str">
        <f t="shared" si="11"/>
        <v/>
      </c>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97"/>
      <c r="AO154" s="97"/>
      <c r="AP154" s="97"/>
      <c r="AQ154" s="97"/>
      <c r="AR154" s="97"/>
      <c r="AS154" s="97"/>
      <c r="AT154" s="97"/>
      <c r="AU154" s="97"/>
      <c r="AV154" s="97"/>
      <c r="AW154" s="97"/>
      <c r="AX154" s="97"/>
      <c r="AY154" s="97"/>
      <c r="AZ154" s="97"/>
      <c r="BA154" s="97"/>
      <c r="BB154" s="97"/>
      <c r="BC154" s="97"/>
      <c r="BD154" s="97"/>
      <c r="BE154" s="97"/>
      <c r="BF154" s="97"/>
      <c r="BG154" s="97"/>
      <c r="BH154" s="97"/>
      <c r="BI154" s="97"/>
      <c r="BJ154" s="97"/>
      <c r="BK154" s="97"/>
      <c r="BL154" s="97"/>
      <c r="BM154" s="97"/>
      <c r="BN154" s="97"/>
      <c r="BO154" s="97"/>
      <c r="BP154" s="97"/>
      <c r="BQ154" s="97"/>
      <c r="BR154" s="97"/>
      <c r="BS154" s="97"/>
      <c r="BT154" s="97"/>
      <c r="BU154" s="97"/>
      <c r="BV154" s="97"/>
      <c r="BW154" s="97"/>
      <c r="BX154" s="97"/>
      <c r="BY154" s="97"/>
      <c r="BZ154" s="97"/>
      <c r="CA154" s="97"/>
      <c r="CB154" s="97"/>
      <c r="CC154" s="97"/>
      <c r="CD154" s="97"/>
      <c r="CE154" s="97"/>
      <c r="CF154" s="97"/>
      <c r="CG154" s="97"/>
      <c r="CH154" s="97"/>
      <c r="CI154" s="97"/>
      <c r="CJ154" s="97"/>
      <c r="CK154" s="97"/>
      <c r="CL154" s="97"/>
      <c r="CM154" s="97"/>
      <c r="CN154" s="97"/>
      <c r="CO154" s="97"/>
      <c r="CP154" s="97"/>
      <c r="CQ154" s="97"/>
      <c r="CR154" s="97"/>
      <c r="CS154" s="97"/>
      <c r="CT154" s="97"/>
      <c r="CU154" s="97"/>
      <c r="CV154" s="97"/>
      <c r="CW154" s="97"/>
      <c r="CX154" s="97"/>
      <c r="CY154" s="97"/>
      <c r="CZ154" s="97"/>
      <c r="DA154" s="97"/>
      <c r="DB154" s="97"/>
      <c r="DC154" s="97"/>
      <c r="DD154" s="97"/>
      <c r="DE154" s="97"/>
      <c r="DF154" s="97"/>
      <c r="DG154" s="97"/>
      <c r="DH154" s="97"/>
      <c r="DI154" s="97"/>
      <c r="DJ154" s="97"/>
      <c r="DK154" s="97"/>
      <c r="DL154" s="97"/>
      <c r="DM154" s="97"/>
      <c r="DN154" s="97"/>
      <c r="DO154" s="97"/>
      <c r="DP154" s="97"/>
      <c r="DQ154" s="97"/>
      <c r="DR154" s="97"/>
      <c r="DS154" s="97"/>
      <c r="DT154" s="97"/>
      <c r="DU154" s="97"/>
      <c r="DV154" s="97"/>
      <c r="DW154" s="97"/>
      <c r="DX154" s="97"/>
      <c r="DY154" s="97"/>
      <c r="DZ154" s="97"/>
      <c r="EA154" s="97"/>
      <c r="EB154" s="97"/>
      <c r="EC154" s="97"/>
      <c r="ED154" s="97"/>
      <c r="EE154" s="97"/>
      <c r="EF154" s="97"/>
      <c r="EG154" s="97"/>
      <c r="EH154" s="97"/>
      <c r="EI154" s="97"/>
      <c r="EJ154" s="97"/>
      <c r="EK154" s="97"/>
      <c r="EL154" s="97"/>
      <c r="EM154" s="97"/>
      <c r="EN154" s="97"/>
      <c r="EO154" s="97"/>
      <c r="EP154" s="97"/>
      <c r="EQ154" s="97"/>
      <c r="ER154" s="97"/>
      <c r="ES154" s="97"/>
      <c r="ET154" s="97"/>
      <c r="EU154" s="97"/>
      <c r="EV154" s="97"/>
      <c r="EW154" s="97"/>
      <c r="EX154" s="97"/>
      <c r="EY154" s="97"/>
      <c r="EZ154" s="97"/>
      <c r="FA154" s="97"/>
      <c r="FB154" s="97"/>
      <c r="FC154" s="97"/>
      <c r="FD154" s="97"/>
      <c r="FE154" s="97"/>
      <c r="FF154" s="97"/>
      <c r="FG154" s="97"/>
      <c r="FH154" s="97"/>
      <c r="FI154" s="97"/>
      <c r="FJ154" s="97"/>
      <c r="FK154" s="97"/>
      <c r="FL154" s="97"/>
      <c r="FM154" s="97"/>
      <c r="FN154" s="97"/>
      <c r="FO154" s="97"/>
      <c r="FP154" s="97"/>
      <c r="FQ154" s="97"/>
      <c r="FR154" s="97"/>
      <c r="FS154" s="97"/>
      <c r="FT154" s="97"/>
      <c r="FU154" s="97"/>
      <c r="FV154" s="97"/>
      <c r="FW154" s="97"/>
      <c r="FX154" s="97"/>
      <c r="FY154" s="97"/>
      <c r="FZ154" s="97"/>
      <c r="GA154" s="97"/>
      <c r="GB154" s="97"/>
      <c r="GC154" s="97"/>
      <c r="GD154" s="97"/>
      <c r="GE154" s="97"/>
      <c r="GF154" s="97"/>
      <c r="GG154" s="97"/>
      <c r="GH154" s="97"/>
      <c r="GI154" s="97"/>
      <c r="GJ154" s="97"/>
      <c r="GK154" s="97"/>
      <c r="GL154" s="97"/>
      <c r="GM154" s="97"/>
      <c r="GN154" s="97"/>
      <c r="GO154" s="97"/>
      <c r="GP154" s="97"/>
      <c r="GQ154" s="97"/>
      <c r="GR154" s="97"/>
      <c r="GS154" s="97"/>
      <c r="GT154" s="97"/>
      <c r="GU154" s="97"/>
      <c r="GV154" s="97"/>
      <c r="GW154" s="97"/>
      <c r="GX154" s="97"/>
      <c r="GY154" s="97"/>
      <c r="GZ154" s="97"/>
      <c r="HA154" s="97"/>
      <c r="HB154" s="97"/>
      <c r="HC154" s="97"/>
      <c r="HD154" s="97"/>
      <c r="HE154" s="97"/>
      <c r="HF154" s="97"/>
      <c r="HG154" s="97"/>
      <c r="HH154" s="97"/>
      <c r="HI154" s="97"/>
      <c r="HJ154" s="97"/>
      <c r="HK154" s="97"/>
      <c r="HL154" s="97"/>
      <c r="HM154" s="97"/>
      <c r="HN154" s="97"/>
      <c r="HO154" s="97"/>
      <c r="HP154" s="97"/>
      <c r="HQ154" s="97"/>
      <c r="HR154" s="97"/>
      <c r="HS154" s="97"/>
      <c r="HT154" s="97"/>
      <c r="HU154" s="97"/>
      <c r="HV154" s="97"/>
      <c r="HW154" s="97"/>
      <c r="HX154" s="97"/>
      <c r="HY154" s="97"/>
      <c r="HZ154" s="97"/>
      <c r="IA154" s="97"/>
      <c r="IB154" s="97"/>
      <c r="IC154" s="97"/>
      <c r="ID154" s="97"/>
      <c r="IE154" s="97"/>
      <c r="IF154" s="97"/>
      <c r="IG154" s="97"/>
      <c r="IH154" s="97"/>
      <c r="II154" s="97"/>
      <c r="IJ154" s="97"/>
      <c r="IK154" s="97"/>
      <c r="IL154" s="97"/>
      <c r="IM154" s="97"/>
      <c r="IN154" s="97"/>
      <c r="IO154" s="97"/>
      <c r="IP154" s="97"/>
      <c r="IQ154" s="97"/>
      <c r="IR154" s="97"/>
      <c r="IS154" s="97"/>
    </row>
    <row r="155" spans="1:253" hidden="1">
      <c r="A155" s="28"/>
      <c r="J155" s="6">
        <v>96</v>
      </c>
      <c r="K155" s="19" t="str">
        <f>'Data Export'!B97</f>
        <v/>
      </c>
      <c r="L155" s="22" t="str">
        <f>IF(K155="", "", Fryers!X15)</f>
        <v/>
      </c>
      <c r="M155" s="22" t="str">
        <f>IF(K155="", "", Fryers!Y15)</f>
        <v/>
      </c>
      <c r="N155" s="31" t="str">
        <f>IF(K155="", "", Fryers!R15)</f>
        <v/>
      </c>
      <c r="O155" s="83" t="str">
        <f>IF(K155="", "", Fryers!Z15)</f>
        <v/>
      </c>
      <c r="P155" s="6" t="str">
        <f t="shared" si="11"/>
        <v/>
      </c>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c r="BJ155" s="97"/>
      <c r="BK155" s="97"/>
      <c r="BL155" s="97"/>
      <c r="BM155" s="97"/>
      <c r="BN155" s="97"/>
      <c r="BO155" s="97"/>
      <c r="BP155" s="97"/>
      <c r="BQ155" s="97"/>
      <c r="BR155" s="97"/>
      <c r="BS155" s="97"/>
      <c r="BT155" s="97"/>
      <c r="BU155" s="97"/>
      <c r="BV155" s="97"/>
      <c r="BW155" s="97"/>
      <c r="BX155" s="97"/>
      <c r="BY155" s="97"/>
      <c r="BZ155" s="97"/>
      <c r="CA155" s="97"/>
      <c r="CB155" s="97"/>
      <c r="CC155" s="97"/>
      <c r="CD155" s="97"/>
      <c r="CE155" s="97"/>
      <c r="CF155" s="97"/>
      <c r="CG155" s="97"/>
      <c r="CH155" s="97"/>
      <c r="CI155" s="97"/>
      <c r="CJ155" s="97"/>
      <c r="CK155" s="97"/>
      <c r="CL155" s="97"/>
      <c r="CM155" s="97"/>
      <c r="CN155" s="97"/>
      <c r="CO155" s="97"/>
      <c r="CP155" s="97"/>
      <c r="CQ155" s="97"/>
      <c r="CR155" s="97"/>
      <c r="CS155" s="97"/>
      <c r="CT155" s="97"/>
      <c r="CU155" s="97"/>
      <c r="CV155" s="97"/>
      <c r="CW155" s="97"/>
      <c r="CX155" s="97"/>
      <c r="CY155" s="97"/>
      <c r="CZ155" s="97"/>
      <c r="DA155" s="97"/>
      <c r="DB155" s="97"/>
      <c r="DC155" s="97"/>
      <c r="DD155" s="97"/>
      <c r="DE155" s="97"/>
      <c r="DF155" s="97"/>
      <c r="DG155" s="97"/>
      <c r="DH155" s="97"/>
      <c r="DI155" s="97"/>
      <c r="DJ155" s="97"/>
      <c r="DK155" s="97"/>
      <c r="DL155" s="97"/>
      <c r="DM155" s="97"/>
      <c r="DN155" s="97"/>
      <c r="DO155" s="97"/>
      <c r="DP155" s="97"/>
      <c r="DQ155" s="97"/>
      <c r="DR155" s="97"/>
      <c r="DS155" s="97"/>
      <c r="DT155" s="97"/>
      <c r="DU155" s="97"/>
      <c r="DV155" s="97"/>
      <c r="DW155" s="97"/>
      <c r="DX155" s="97"/>
      <c r="DY155" s="97"/>
      <c r="DZ155" s="97"/>
      <c r="EA155" s="97"/>
      <c r="EB155" s="97"/>
      <c r="EC155" s="97"/>
      <c r="ED155" s="97"/>
      <c r="EE155" s="97"/>
      <c r="EF155" s="97"/>
      <c r="EG155" s="97"/>
      <c r="EH155" s="97"/>
      <c r="EI155" s="97"/>
      <c r="EJ155" s="97"/>
      <c r="EK155" s="97"/>
      <c r="EL155" s="97"/>
      <c r="EM155" s="97"/>
      <c r="EN155" s="97"/>
      <c r="EO155" s="97"/>
      <c r="EP155" s="97"/>
      <c r="EQ155" s="97"/>
      <c r="ER155" s="97"/>
      <c r="ES155" s="97"/>
      <c r="ET155" s="97"/>
      <c r="EU155" s="97"/>
      <c r="EV155" s="97"/>
      <c r="EW155" s="97"/>
      <c r="EX155" s="97"/>
      <c r="EY155" s="97"/>
      <c r="EZ155" s="97"/>
      <c r="FA155" s="97"/>
      <c r="FB155" s="97"/>
      <c r="FC155" s="97"/>
      <c r="FD155" s="97"/>
      <c r="FE155" s="97"/>
      <c r="FF155" s="97"/>
      <c r="FG155" s="97"/>
      <c r="FH155" s="97"/>
      <c r="FI155" s="97"/>
      <c r="FJ155" s="97"/>
      <c r="FK155" s="97"/>
      <c r="FL155" s="97"/>
      <c r="FM155" s="97"/>
      <c r="FN155" s="97"/>
      <c r="FO155" s="97"/>
      <c r="FP155" s="97"/>
      <c r="FQ155" s="97"/>
      <c r="FR155" s="97"/>
      <c r="FS155" s="97"/>
      <c r="FT155" s="97"/>
      <c r="FU155" s="97"/>
      <c r="FV155" s="97"/>
      <c r="FW155" s="97"/>
      <c r="FX155" s="97"/>
      <c r="FY155" s="97"/>
      <c r="FZ155" s="97"/>
      <c r="GA155" s="97"/>
      <c r="GB155" s="97"/>
      <c r="GC155" s="97"/>
      <c r="GD155" s="97"/>
      <c r="GE155" s="97"/>
      <c r="GF155" s="97"/>
      <c r="GG155" s="97"/>
      <c r="GH155" s="97"/>
      <c r="GI155" s="97"/>
      <c r="GJ155" s="97"/>
      <c r="GK155" s="97"/>
      <c r="GL155" s="97"/>
      <c r="GM155" s="97"/>
      <c r="GN155" s="97"/>
      <c r="GO155" s="97"/>
      <c r="GP155" s="97"/>
      <c r="GQ155" s="97"/>
      <c r="GR155" s="97"/>
      <c r="GS155" s="97"/>
      <c r="GT155" s="97"/>
      <c r="GU155" s="97"/>
      <c r="GV155" s="97"/>
      <c r="GW155" s="97"/>
      <c r="GX155" s="97"/>
      <c r="GY155" s="97"/>
      <c r="GZ155" s="97"/>
      <c r="HA155" s="97"/>
      <c r="HB155" s="97"/>
      <c r="HC155" s="97"/>
      <c r="HD155" s="97"/>
      <c r="HE155" s="97"/>
      <c r="HF155" s="97"/>
      <c r="HG155" s="97"/>
      <c r="HH155" s="97"/>
      <c r="HI155" s="97"/>
      <c r="HJ155" s="97"/>
      <c r="HK155" s="97"/>
      <c r="HL155" s="97"/>
      <c r="HM155" s="97"/>
      <c r="HN155" s="97"/>
      <c r="HO155" s="97"/>
      <c r="HP155" s="97"/>
      <c r="HQ155" s="97"/>
      <c r="HR155" s="97"/>
      <c r="HS155" s="97"/>
      <c r="HT155" s="97"/>
      <c r="HU155" s="97"/>
      <c r="HV155" s="97"/>
      <c r="HW155" s="97"/>
      <c r="HX155" s="97"/>
      <c r="HY155" s="97"/>
      <c r="HZ155" s="97"/>
      <c r="IA155" s="97"/>
      <c r="IB155" s="97"/>
      <c r="IC155" s="97"/>
      <c r="ID155" s="97"/>
      <c r="IE155" s="97"/>
      <c r="IF155" s="97"/>
      <c r="IG155" s="97"/>
      <c r="IH155" s="97"/>
      <c r="II155" s="97"/>
      <c r="IJ155" s="97"/>
      <c r="IK155" s="97"/>
      <c r="IL155" s="97"/>
      <c r="IM155" s="97"/>
      <c r="IN155" s="97"/>
      <c r="IO155" s="97"/>
      <c r="IP155" s="97"/>
      <c r="IQ155" s="97"/>
      <c r="IR155" s="97"/>
      <c r="IS155" s="97"/>
    </row>
    <row r="156" spans="1:253" hidden="1">
      <c r="A156" s="28"/>
      <c r="K156" s="84" t="s">
        <v>77</v>
      </c>
      <c r="L156" s="22">
        <f>SUM(L148:L155)</f>
        <v>0</v>
      </c>
      <c r="M156" s="90">
        <f>SUM(M148:M155)</f>
        <v>0</v>
      </c>
      <c r="N156" s="31">
        <f>SUM(N148:N155)</f>
        <v>0</v>
      </c>
      <c r="O156" s="83">
        <f>SUM(O148:O155)</f>
        <v>0</v>
      </c>
      <c r="Q156" s="97"/>
      <c r="R156" s="97"/>
      <c r="S156" s="97"/>
      <c r="T156" s="97"/>
      <c r="U156" s="97"/>
      <c r="V156" s="97"/>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BM156" s="97"/>
      <c r="BN156" s="97"/>
      <c r="BO156" s="97"/>
      <c r="BP156" s="97"/>
      <c r="BQ156" s="97"/>
      <c r="BR156" s="97"/>
      <c r="BS156" s="97"/>
      <c r="BT156" s="97"/>
      <c r="BU156" s="97"/>
      <c r="BV156" s="97"/>
      <c r="BW156" s="97"/>
      <c r="BX156" s="97"/>
      <c r="BY156" s="97"/>
      <c r="BZ156" s="97"/>
      <c r="CA156" s="97"/>
      <c r="CB156" s="97"/>
      <c r="CC156" s="97"/>
      <c r="CD156" s="97"/>
      <c r="CE156" s="97"/>
      <c r="CF156" s="97"/>
      <c r="CG156" s="97"/>
      <c r="CH156" s="97"/>
      <c r="CI156" s="97"/>
      <c r="CJ156" s="97"/>
      <c r="CK156" s="97"/>
      <c r="CL156" s="97"/>
      <c r="CM156" s="97"/>
      <c r="CN156" s="97"/>
      <c r="CO156" s="97"/>
      <c r="CP156" s="97"/>
      <c r="CQ156" s="97"/>
      <c r="CR156" s="97"/>
      <c r="CS156" s="97"/>
      <c r="CT156" s="97"/>
      <c r="CU156" s="97"/>
      <c r="CV156" s="97"/>
      <c r="CW156" s="97"/>
      <c r="CX156" s="97"/>
      <c r="CY156" s="97"/>
      <c r="CZ156" s="97"/>
      <c r="DA156" s="97"/>
      <c r="DB156" s="97"/>
      <c r="DC156" s="97"/>
      <c r="DD156" s="97"/>
      <c r="DE156" s="97"/>
      <c r="DF156" s="97"/>
      <c r="DG156" s="97"/>
      <c r="DH156" s="97"/>
      <c r="DI156" s="97"/>
      <c r="DJ156" s="97"/>
      <c r="DK156" s="97"/>
      <c r="DL156" s="97"/>
      <c r="DM156" s="97"/>
      <c r="DN156" s="97"/>
      <c r="DO156" s="97"/>
      <c r="DP156" s="97"/>
      <c r="DQ156" s="97"/>
      <c r="DR156" s="97"/>
      <c r="DS156" s="97"/>
      <c r="DT156" s="97"/>
      <c r="DU156" s="97"/>
      <c r="DV156" s="97"/>
      <c r="DW156" s="97"/>
      <c r="DX156" s="97"/>
      <c r="DY156" s="97"/>
      <c r="DZ156" s="97"/>
      <c r="EA156" s="97"/>
      <c r="EB156" s="97"/>
      <c r="EC156" s="97"/>
      <c r="ED156" s="97"/>
      <c r="EE156" s="97"/>
      <c r="EF156" s="97"/>
      <c r="EG156" s="97"/>
      <c r="EH156" s="97"/>
      <c r="EI156" s="97"/>
      <c r="EJ156" s="97"/>
      <c r="EK156" s="97"/>
      <c r="EL156" s="97"/>
      <c r="EM156" s="97"/>
      <c r="EN156" s="97"/>
      <c r="EO156" s="97"/>
      <c r="EP156" s="97"/>
      <c r="EQ156" s="97"/>
      <c r="ER156" s="97"/>
      <c r="ES156" s="97"/>
      <c r="ET156" s="97"/>
      <c r="EU156" s="97"/>
      <c r="EV156" s="97"/>
      <c r="EW156" s="97"/>
      <c r="EX156" s="97"/>
      <c r="EY156" s="97"/>
      <c r="EZ156" s="97"/>
      <c r="FA156" s="97"/>
      <c r="FB156" s="97"/>
      <c r="FC156" s="97"/>
      <c r="FD156" s="97"/>
      <c r="FE156" s="97"/>
      <c r="FF156" s="97"/>
      <c r="FG156" s="97"/>
      <c r="FH156" s="97"/>
      <c r="FI156" s="97"/>
      <c r="FJ156" s="97"/>
      <c r="FK156" s="97"/>
      <c r="FL156" s="97"/>
      <c r="FM156" s="97"/>
      <c r="FN156" s="97"/>
      <c r="FO156" s="97"/>
      <c r="FP156" s="97"/>
      <c r="FQ156" s="97"/>
      <c r="FR156" s="97"/>
      <c r="FS156" s="97"/>
      <c r="FT156" s="97"/>
      <c r="FU156" s="97"/>
      <c r="FV156" s="97"/>
      <c r="FW156" s="97"/>
      <c r="FX156" s="97"/>
      <c r="FY156" s="97"/>
      <c r="FZ156" s="97"/>
      <c r="GA156" s="97"/>
      <c r="GB156" s="97"/>
      <c r="GC156" s="97"/>
      <c r="GD156" s="97"/>
      <c r="GE156" s="97"/>
      <c r="GF156" s="97"/>
      <c r="GG156" s="97"/>
      <c r="GH156" s="97"/>
      <c r="GI156" s="97"/>
      <c r="GJ156" s="97"/>
      <c r="GK156" s="97"/>
      <c r="GL156" s="97"/>
      <c r="GM156" s="97"/>
      <c r="GN156" s="97"/>
      <c r="GO156" s="97"/>
      <c r="GP156" s="97"/>
      <c r="GQ156" s="97"/>
      <c r="GR156" s="97"/>
      <c r="GS156" s="97"/>
      <c r="GT156" s="97"/>
      <c r="GU156" s="97"/>
      <c r="GV156" s="97"/>
      <c r="GW156" s="97"/>
      <c r="GX156" s="97"/>
      <c r="GY156" s="97"/>
      <c r="GZ156" s="97"/>
      <c r="HA156" s="97"/>
      <c r="HB156" s="97"/>
      <c r="HC156" s="97"/>
      <c r="HD156" s="97"/>
      <c r="HE156" s="97"/>
      <c r="HF156" s="97"/>
      <c r="HG156" s="97"/>
      <c r="HH156" s="97"/>
      <c r="HI156" s="97"/>
      <c r="HJ156" s="97"/>
      <c r="HK156" s="97"/>
      <c r="HL156" s="97"/>
      <c r="HM156" s="97"/>
      <c r="HN156" s="97"/>
      <c r="HO156" s="97"/>
      <c r="HP156" s="97"/>
      <c r="HQ156" s="97"/>
      <c r="HR156" s="97"/>
      <c r="HS156" s="97"/>
      <c r="HT156" s="97"/>
      <c r="HU156" s="97"/>
      <c r="HV156" s="97"/>
      <c r="HW156" s="97"/>
      <c r="HX156" s="97"/>
      <c r="HY156" s="97"/>
      <c r="HZ156" s="97"/>
      <c r="IA156" s="97"/>
      <c r="IB156" s="97"/>
      <c r="IC156" s="97"/>
      <c r="ID156" s="97"/>
      <c r="IE156" s="97"/>
      <c r="IF156" s="97"/>
      <c r="IG156" s="97"/>
      <c r="IH156" s="97"/>
      <c r="II156" s="97"/>
      <c r="IJ156" s="97"/>
      <c r="IK156" s="97"/>
      <c r="IL156" s="97"/>
      <c r="IM156" s="97"/>
      <c r="IN156" s="97"/>
      <c r="IO156" s="97"/>
      <c r="IP156" s="97"/>
      <c r="IQ156" s="97"/>
      <c r="IR156" s="97"/>
      <c r="IS156" s="97"/>
    </row>
    <row r="157" spans="1:253" hidden="1">
      <c r="A157" s="28"/>
      <c r="J157" s="86" t="s">
        <v>73</v>
      </c>
      <c r="P157" s="82" t="s">
        <v>76</v>
      </c>
      <c r="Q157" s="97"/>
      <c r="R157" s="97"/>
      <c r="S157" s="97"/>
      <c r="T157" s="97"/>
      <c r="U157" s="97"/>
      <c r="V157" s="97"/>
      <c r="W157" s="97"/>
      <c r="X157" s="97"/>
      <c r="Y157" s="97"/>
      <c r="Z157" s="97"/>
      <c r="AA157" s="97"/>
      <c r="AB157" s="97"/>
      <c r="AC157" s="97"/>
      <c r="AD157" s="97"/>
      <c r="AE157" s="97"/>
      <c r="AF157" s="97"/>
      <c r="AG157" s="97"/>
      <c r="AH157" s="97"/>
      <c r="AI157" s="97"/>
      <c r="AJ157" s="97"/>
      <c r="AK157" s="97"/>
      <c r="AL157" s="97"/>
      <c r="AM157" s="97"/>
      <c r="AN157" s="97"/>
      <c r="AO157" s="97"/>
      <c r="AP157" s="97"/>
      <c r="AQ157" s="97"/>
      <c r="AR157" s="97"/>
      <c r="AS157" s="97"/>
      <c r="AT157" s="97"/>
      <c r="AU157" s="97"/>
      <c r="AV157" s="97"/>
      <c r="AW157" s="97"/>
      <c r="AX157" s="97"/>
      <c r="AY157" s="97"/>
      <c r="AZ157" s="97"/>
      <c r="BA157" s="97"/>
      <c r="BB157" s="97"/>
      <c r="BC157" s="97"/>
      <c r="BD157" s="97"/>
      <c r="BE157" s="97"/>
      <c r="BF157" s="97"/>
      <c r="BG157" s="97"/>
      <c r="BH157" s="97"/>
      <c r="BI157" s="97"/>
      <c r="BJ157" s="97"/>
      <c r="BK157" s="97"/>
      <c r="BL157" s="97"/>
      <c r="BM157" s="97"/>
      <c r="BN157" s="97"/>
      <c r="BO157" s="97"/>
      <c r="BP157" s="97"/>
      <c r="BQ157" s="97"/>
      <c r="BR157" s="97"/>
      <c r="BS157" s="97"/>
      <c r="BT157" s="97"/>
      <c r="BU157" s="97"/>
      <c r="BV157" s="97"/>
      <c r="BW157" s="97"/>
      <c r="BX157" s="97"/>
      <c r="BY157" s="97"/>
      <c r="BZ157" s="97"/>
      <c r="CA157" s="97"/>
      <c r="CB157" s="97"/>
      <c r="CC157" s="97"/>
      <c r="CD157" s="97"/>
      <c r="CE157" s="97"/>
      <c r="CF157" s="97"/>
      <c r="CG157" s="97"/>
      <c r="CH157" s="97"/>
      <c r="CI157" s="97"/>
      <c r="CJ157" s="97"/>
      <c r="CK157" s="97"/>
      <c r="CL157" s="97"/>
      <c r="CM157" s="97"/>
      <c r="CN157" s="97"/>
      <c r="CO157" s="97"/>
      <c r="CP157" s="97"/>
      <c r="CQ157" s="97"/>
      <c r="CR157" s="97"/>
      <c r="CS157" s="97"/>
      <c r="CT157" s="97"/>
      <c r="CU157" s="97"/>
      <c r="CV157" s="97"/>
      <c r="CW157" s="97"/>
      <c r="CX157" s="97"/>
      <c r="CY157" s="97"/>
      <c r="CZ157" s="97"/>
      <c r="DA157" s="97"/>
      <c r="DB157" s="97"/>
      <c r="DC157" s="97"/>
      <c r="DD157" s="97"/>
      <c r="DE157" s="97"/>
      <c r="DF157" s="97"/>
      <c r="DG157" s="97"/>
      <c r="DH157" s="97"/>
      <c r="DI157" s="97"/>
      <c r="DJ157" s="97"/>
      <c r="DK157" s="97"/>
      <c r="DL157" s="97"/>
      <c r="DM157" s="97"/>
      <c r="DN157" s="97"/>
      <c r="DO157" s="97"/>
      <c r="DP157" s="97"/>
      <c r="DQ157" s="97"/>
      <c r="DR157" s="97"/>
      <c r="DS157" s="97"/>
      <c r="DT157" s="97"/>
      <c r="DU157" s="97"/>
      <c r="DV157" s="97"/>
      <c r="DW157" s="97"/>
      <c r="DX157" s="97"/>
      <c r="DY157" s="97"/>
      <c r="DZ157" s="97"/>
      <c r="EA157" s="97"/>
      <c r="EB157" s="97"/>
      <c r="EC157" s="97"/>
      <c r="ED157" s="97"/>
      <c r="EE157" s="97"/>
      <c r="EF157" s="97"/>
      <c r="EG157" s="97"/>
      <c r="EH157" s="97"/>
      <c r="EI157" s="97"/>
      <c r="EJ157" s="97"/>
      <c r="EK157" s="97"/>
      <c r="EL157" s="97"/>
      <c r="EM157" s="97"/>
      <c r="EN157" s="97"/>
      <c r="EO157" s="97"/>
      <c r="EP157" s="97"/>
      <c r="EQ157" s="97"/>
      <c r="ER157" s="97"/>
      <c r="ES157" s="97"/>
      <c r="ET157" s="97"/>
      <c r="EU157" s="97"/>
      <c r="EV157" s="97"/>
      <c r="EW157" s="97"/>
      <c r="EX157" s="97"/>
      <c r="EY157" s="97"/>
      <c r="EZ157" s="97"/>
      <c r="FA157" s="97"/>
      <c r="FB157" s="97"/>
      <c r="FC157" s="97"/>
      <c r="FD157" s="97"/>
      <c r="FE157" s="97"/>
      <c r="FF157" s="97"/>
      <c r="FG157" s="97"/>
      <c r="FH157" s="97"/>
      <c r="FI157" s="97"/>
      <c r="FJ157" s="97"/>
      <c r="FK157" s="97"/>
      <c r="FL157" s="97"/>
      <c r="FM157" s="97"/>
      <c r="FN157" s="97"/>
      <c r="FO157" s="97"/>
      <c r="FP157" s="97"/>
      <c r="FQ157" s="97"/>
      <c r="FR157" s="97"/>
      <c r="FS157" s="97"/>
      <c r="FT157" s="97"/>
      <c r="FU157" s="97"/>
      <c r="FV157" s="97"/>
      <c r="FW157" s="97"/>
      <c r="FX157" s="97"/>
      <c r="FY157" s="97"/>
      <c r="FZ157" s="97"/>
      <c r="GA157" s="97"/>
      <c r="GB157" s="97"/>
      <c r="GC157" s="97"/>
      <c r="GD157" s="97"/>
      <c r="GE157" s="97"/>
      <c r="GF157" s="97"/>
      <c r="GG157" s="97"/>
      <c r="GH157" s="97"/>
      <c r="GI157" s="97"/>
      <c r="GJ157" s="97"/>
      <c r="GK157" s="97"/>
      <c r="GL157" s="97"/>
      <c r="GM157" s="97"/>
      <c r="GN157" s="97"/>
      <c r="GO157" s="97"/>
      <c r="GP157" s="97"/>
      <c r="GQ157" s="97"/>
      <c r="GR157" s="97"/>
      <c r="GS157" s="97"/>
      <c r="GT157" s="97"/>
      <c r="GU157" s="97"/>
      <c r="GV157" s="97"/>
      <c r="GW157" s="97"/>
      <c r="GX157" s="97"/>
      <c r="GY157" s="97"/>
      <c r="GZ157" s="97"/>
      <c r="HA157" s="97"/>
      <c r="HB157" s="97"/>
      <c r="HC157" s="97"/>
      <c r="HD157" s="97"/>
      <c r="HE157" s="97"/>
      <c r="HF157" s="97"/>
      <c r="HG157" s="97"/>
      <c r="HH157" s="97"/>
      <c r="HI157" s="97"/>
      <c r="HJ157" s="97"/>
      <c r="HK157" s="97"/>
      <c r="HL157" s="97"/>
      <c r="HM157" s="97"/>
      <c r="HN157" s="97"/>
      <c r="HO157" s="97"/>
      <c r="HP157" s="97"/>
      <c r="HQ157" s="97"/>
      <c r="HR157" s="97"/>
      <c r="HS157" s="97"/>
      <c r="HT157" s="97"/>
      <c r="HU157" s="97"/>
      <c r="HV157" s="97"/>
      <c r="HW157" s="97"/>
      <c r="HX157" s="97"/>
      <c r="HY157" s="97"/>
      <c r="HZ157" s="97"/>
      <c r="IA157" s="97"/>
      <c r="IB157" s="97"/>
      <c r="IC157" s="97"/>
      <c r="ID157" s="97"/>
      <c r="IE157" s="97"/>
      <c r="IF157" s="97"/>
      <c r="IG157" s="97"/>
      <c r="IH157" s="97"/>
      <c r="II157" s="97"/>
      <c r="IJ157" s="97"/>
      <c r="IK157" s="97"/>
      <c r="IL157" s="97"/>
      <c r="IM157" s="97"/>
      <c r="IN157" s="97"/>
      <c r="IO157" s="97"/>
      <c r="IP157" s="97"/>
      <c r="IQ157" s="97"/>
      <c r="IR157" s="97"/>
      <c r="IS157" s="97"/>
    </row>
    <row r="158" spans="1:253" hidden="1">
      <c r="A158" s="28"/>
      <c r="J158" s="6">
        <v>97</v>
      </c>
      <c r="K158" s="19" t="str">
        <f>'Data Export'!B98</f>
        <v/>
      </c>
      <c r="L158" s="22" t="str">
        <f>IF(K158="", "", Griddles!Y8)</f>
        <v/>
      </c>
      <c r="M158" s="22" t="str">
        <f>IF(K158="", "", Griddles!Z8)</f>
        <v/>
      </c>
      <c r="N158" s="31" t="str">
        <f>IF(K158="", "", Griddles!S8)</f>
        <v/>
      </c>
      <c r="O158" s="83" t="str">
        <f>IF(K158="", "", Griddles!AA8)</f>
        <v/>
      </c>
      <c r="P158" s="6" t="str">
        <f t="shared" ref="P158:P165" si="12">IF(K158="","",CONCATENATE($C$10,J158))</f>
        <v/>
      </c>
      <c r="Q158" s="97"/>
      <c r="R158" s="97"/>
      <c r="S158" s="97"/>
      <c r="T158" s="97"/>
      <c r="U158" s="97"/>
      <c r="V158" s="97"/>
      <c r="W158" s="97"/>
      <c r="X158" s="97"/>
      <c r="Y158" s="97"/>
      <c r="Z158" s="97"/>
      <c r="AA158" s="97"/>
      <c r="AB158" s="97"/>
      <c r="AC158" s="97"/>
      <c r="AD158" s="97"/>
      <c r="AE158" s="97"/>
      <c r="AF158" s="97"/>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BM158" s="97"/>
      <c r="BN158" s="97"/>
      <c r="BO158" s="97"/>
      <c r="BP158" s="97"/>
      <c r="BQ158" s="97"/>
      <c r="BR158" s="97"/>
      <c r="BS158" s="97"/>
      <c r="BT158" s="97"/>
      <c r="BU158" s="97"/>
      <c r="BV158" s="97"/>
      <c r="BW158" s="97"/>
      <c r="BX158" s="97"/>
      <c r="BY158" s="97"/>
      <c r="BZ158" s="97"/>
      <c r="CA158" s="97"/>
      <c r="CB158" s="97"/>
      <c r="CC158" s="97"/>
      <c r="CD158" s="97"/>
      <c r="CE158" s="97"/>
      <c r="CF158" s="97"/>
      <c r="CG158" s="97"/>
      <c r="CH158" s="97"/>
      <c r="CI158" s="97"/>
      <c r="CJ158" s="97"/>
      <c r="CK158" s="97"/>
      <c r="CL158" s="97"/>
      <c r="CM158" s="97"/>
      <c r="CN158" s="97"/>
      <c r="CO158" s="97"/>
      <c r="CP158" s="97"/>
      <c r="CQ158" s="97"/>
      <c r="CR158" s="97"/>
      <c r="CS158" s="97"/>
      <c r="CT158" s="97"/>
      <c r="CU158" s="97"/>
      <c r="CV158" s="97"/>
      <c r="CW158" s="97"/>
      <c r="CX158" s="97"/>
      <c r="CY158" s="97"/>
      <c r="CZ158" s="97"/>
      <c r="DA158" s="97"/>
      <c r="DB158" s="97"/>
      <c r="DC158" s="97"/>
      <c r="DD158" s="97"/>
      <c r="DE158" s="97"/>
      <c r="DF158" s="97"/>
      <c r="DG158" s="97"/>
      <c r="DH158" s="97"/>
      <c r="DI158" s="97"/>
      <c r="DJ158" s="97"/>
      <c r="DK158" s="97"/>
      <c r="DL158" s="97"/>
      <c r="DM158" s="97"/>
      <c r="DN158" s="97"/>
      <c r="DO158" s="97"/>
      <c r="DP158" s="97"/>
      <c r="DQ158" s="97"/>
      <c r="DR158" s="97"/>
      <c r="DS158" s="97"/>
      <c r="DT158" s="97"/>
      <c r="DU158" s="97"/>
      <c r="DV158" s="97"/>
      <c r="DW158" s="97"/>
      <c r="DX158" s="97"/>
      <c r="DY158" s="97"/>
      <c r="DZ158" s="97"/>
      <c r="EA158" s="97"/>
      <c r="EB158" s="97"/>
      <c r="EC158" s="97"/>
      <c r="ED158" s="97"/>
      <c r="EE158" s="97"/>
      <c r="EF158" s="97"/>
      <c r="EG158" s="97"/>
      <c r="EH158" s="97"/>
      <c r="EI158" s="97"/>
      <c r="EJ158" s="97"/>
      <c r="EK158" s="97"/>
      <c r="EL158" s="97"/>
      <c r="EM158" s="97"/>
      <c r="EN158" s="97"/>
      <c r="EO158" s="97"/>
      <c r="EP158" s="97"/>
      <c r="EQ158" s="97"/>
      <c r="ER158" s="97"/>
      <c r="ES158" s="97"/>
      <c r="ET158" s="97"/>
      <c r="EU158" s="97"/>
      <c r="EV158" s="97"/>
      <c r="EW158" s="97"/>
      <c r="EX158" s="97"/>
      <c r="EY158" s="97"/>
      <c r="EZ158" s="97"/>
      <c r="FA158" s="97"/>
      <c r="FB158" s="97"/>
      <c r="FC158" s="97"/>
      <c r="FD158" s="97"/>
      <c r="FE158" s="97"/>
      <c r="FF158" s="97"/>
      <c r="FG158" s="97"/>
      <c r="FH158" s="97"/>
      <c r="FI158" s="97"/>
      <c r="FJ158" s="97"/>
      <c r="FK158" s="97"/>
      <c r="FL158" s="97"/>
      <c r="FM158" s="97"/>
      <c r="FN158" s="97"/>
      <c r="FO158" s="97"/>
      <c r="FP158" s="97"/>
      <c r="FQ158" s="97"/>
      <c r="FR158" s="97"/>
      <c r="FS158" s="97"/>
      <c r="FT158" s="97"/>
      <c r="FU158" s="97"/>
      <c r="FV158" s="97"/>
      <c r="FW158" s="97"/>
      <c r="FX158" s="97"/>
      <c r="FY158" s="97"/>
      <c r="FZ158" s="97"/>
      <c r="GA158" s="97"/>
      <c r="GB158" s="97"/>
      <c r="GC158" s="97"/>
      <c r="GD158" s="97"/>
      <c r="GE158" s="97"/>
      <c r="GF158" s="97"/>
      <c r="GG158" s="97"/>
      <c r="GH158" s="97"/>
      <c r="GI158" s="97"/>
      <c r="GJ158" s="97"/>
      <c r="GK158" s="97"/>
      <c r="GL158" s="97"/>
      <c r="GM158" s="97"/>
      <c r="GN158" s="97"/>
      <c r="GO158" s="97"/>
      <c r="GP158" s="97"/>
      <c r="GQ158" s="97"/>
      <c r="GR158" s="97"/>
      <c r="GS158" s="97"/>
      <c r="GT158" s="97"/>
      <c r="GU158" s="97"/>
      <c r="GV158" s="97"/>
      <c r="GW158" s="97"/>
      <c r="GX158" s="97"/>
      <c r="GY158" s="97"/>
      <c r="GZ158" s="97"/>
      <c r="HA158" s="97"/>
      <c r="HB158" s="97"/>
      <c r="HC158" s="97"/>
      <c r="HD158" s="97"/>
      <c r="HE158" s="97"/>
      <c r="HF158" s="97"/>
      <c r="HG158" s="97"/>
      <c r="HH158" s="97"/>
      <c r="HI158" s="97"/>
      <c r="HJ158" s="97"/>
      <c r="HK158" s="97"/>
      <c r="HL158" s="97"/>
      <c r="HM158" s="97"/>
      <c r="HN158" s="97"/>
      <c r="HO158" s="97"/>
      <c r="HP158" s="97"/>
      <c r="HQ158" s="97"/>
      <c r="HR158" s="97"/>
      <c r="HS158" s="97"/>
      <c r="HT158" s="97"/>
      <c r="HU158" s="97"/>
      <c r="HV158" s="97"/>
      <c r="HW158" s="97"/>
      <c r="HX158" s="97"/>
      <c r="HY158" s="97"/>
      <c r="HZ158" s="97"/>
      <c r="IA158" s="97"/>
      <c r="IB158" s="97"/>
      <c r="IC158" s="97"/>
      <c r="ID158" s="97"/>
      <c r="IE158" s="97"/>
      <c r="IF158" s="97"/>
      <c r="IG158" s="97"/>
      <c r="IH158" s="97"/>
      <c r="II158" s="97"/>
      <c r="IJ158" s="97"/>
      <c r="IK158" s="97"/>
      <c r="IL158" s="97"/>
      <c r="IM158" s="97"/>
      <c r="IN158" s="97"/>
      <c r="IO158" s="97"/>
      <c r="IP158" s="97"/>
      <c r="IQ158" s="97"/>
      <c r="IR158" s="97"/>
      <c r="IS158" s="97"/>
    </row>
    <row r="159" spans="1:253" hidden="1">
      <c r="A159" s="28"/>
      <c r="J159" s="6">
        <v>98</v>
      </c>
      <c r="K159" s="19" t="str">
        <f>'Data Export'!B99</f>
        <v/>
      </c>
      <c r="L159" s="22" t="str">
        <f>IF(K159="", "", Griddles!Y9)</f>
        <v/>
      </c>
      <c r="M159" s="22" t="str">
        <f>IF(K159="", "", Griddles!Z9)</f>
        <v/>
      </c>
      <c r="N159" s="31" t="str">
        <f>IF(K159="", "", Griddles!S9)</f>
        <v/>
      </c>
      <c r="O159" s="83" t="str">
        <f>IF(K159="", "", Griddles!AA9)</f>
        <v/>
      </c>
      <c r="P159" s="6" t="str">
        <f t="shared" si="12"/>
        <v/>
      </c>
      <c r="Q159" s="97"/>
      <c r="R159" s="97"/>
      <c r="S159" s="97"/>
      <c r="T159" s="97"/>
      <c r="U159" s="97"/>
      <c r="V159" s="97"/>
      <c r="W159" s="97"/>
      <c r="X159" s="97"/>
      <c r="Y159" s="97"/>
      <c r="Z159" s="97"/>
      <c r="AA159" s="97"/>
      <c r="AB159" s="97"/>
      <c r="AC159" s="97"/>
      <c r="AD159" s="97"/>
      <c r="AE159" s="97"/>
      <c r="AF159" s="97"/>
      <c r="AG159" s="97"/>
      <c r="AH159" s="97"/>
      <c r="AI159" s="97"/>
      <c r="AJ159" s="97"/>
      <c r="AK159" s="97"/>
      <c r="AL159" s="97"/>
      <c r="AM159" s="97"/>
      <c r="AN159" s="97"/>
      <c r="AO159" s="97"/>
      <c r="AP159" s="97"/>
      <c r="AQ159" s="97"/>
      <c r="AR159" s="97"/>
      <c r="AS159" s="97"/>
      <c r="AT159" s="97"/>
      <c r="AU159" s="97"/>
      <c r="AV159" s="97"/>
      <c r="AW159" s="97"/>
      <c r="AX159" s="97"/>
      <c r="AY159" s="97"/>
      <c r="AZ159" s="97"/>
      <c r="BA159" s="97"/>
      <c r="BB159" s="97"/>
      <c r="BC159" s="97"/>
      <c r="BD159" s="97"/>
      <c r="BE159" s="97"/>
      <c r="BF159" s="97"/>
      <c r="BG159" s="97"/>
      <c r="BH159" s="97"/>
      <c r="BI159" s="97"/>
      <c r="BJ159" s="97"/>
      <c r="BK159" s="97"/>
      <c r="BL159" s="97"/>
      <c r="BM159" s="97"/>
      <c r="BN159" s="97"/>
      <c r="BO159" s="97"/>
      <c r="BP159" s="97"/>
      <c r="BQ159" s="97"/>
      <c r="BR159" s="97"/>
      <c r="BS159" s="97"/>
      <c r="BT159" s="97"/>
      <c r="BU159" s="97"/>
      <c r="BV159" s="97"/>
      <c r="BW159" s="97"/>
      <c r="BX159" s="97"/>
      <c r="BY159" s="97"/>
      <c r="BZ159" s="97"/>
      <c r="CA159" s="97"/>
      <c r="CB159" s="97"/>
      <c r="CC159" s="97"/>
      <c r="CD159" s="97"/>
      <c r="CE159" s="97"/>
      <c r="CF159" s="97"/>
      <c r="CG159" s="97"/>
      <c r="CH159" s="97"/>
      <c r="CI159" s="97"/>
      <c r="CJ159" s="97"/>
      <c r="CK159" s="97"/>
      <c r="CL159" s="97"/>
      <c r="CM159" s="97"/>
      <c r="CN159" s="97"/>
      <c r="CO159" s="97"/>
      <c r="CP159" s="97"/>
      <c r="CQ159" s="97"/>
      <c r="CR159" s="97"/>
      <c r="CS159" s="97"/>
      <c r="CT159" s="97"/>
      <c r="CU159" s="97"/>
      <c r="CV159" s="97"/>
      <c r="CW159" s="97"/>
      <c r="CX159" s="97"/>
      <c r="CY159" s="97"/>
      <c r="CZ159" s="97"/>
      <c r="DA159" s="97"/>
      <c r="DB159" s="97"/>
      <c r="DC159" s="97"/>
      <c r="DD159" s="97"/>
      <c r="DE159" s="97"/>
      <c r="DF159" s="97"/>
      <c r="DG159" s="97"/>
      <c r="DH159" s="97"/>
      <c r="DI159" s="97"/>
      <c r="DJ159" s="97"/>
      <c r="DK159" s="97"/>
      <c r="DL159" s="97"/>
      <c r="DM159" s="97"/>
      <c r="DN159" s="97"/>
      <c r="DO159" s="97"/>
      <c r="DP159" s="97"/>
      <c r="DQ159" s="97"/>
      <c r="DR159" s="97"/>
      <c r="DS159" s="97"/>
      <c r="DT159" s="97"/>
      <c r="DU159" s="97"/>
      <c r="DV159" s="97"/>
      <c r="DW159" s="97"/>
      <c r="DX159" s="97"/>
      <c r="DY159" s="97"/>
      <c r="DZ159" s="97"/>
      <c r="EA159" s="97"/>
      <c r="EB159" s="97"/>
      <c r="EC159" s="97"/>
      <c r="ED159" s="97"/>
      <c r="EE159" s="97"/>
      <c r="EF159" s="97"/>
      <c r="EG159" s="97"/>
      <c r="EH159" s="97"/>
      <c r="EI159" s="97"/>
      <c r="EJ159" s="97"/>
      <c r="EK159" s="97"/>
      <c r="EL159" s="97"/>
      <c r="EM159" s="97"/>
      <c r="EN159" s="97"/>
      <c r="EO159" s="97"/>
      <c r="EP159" s="97"/>
      <c r="EQ159" s="97"/>
      <c r="ER159" s="97"/>
      <c r="ES159" s="97"/>
      <c r="ET159" s="97"/>
      <c r="EU159" s="97"/>
      <c r="EV159" s="97"/>
      <c r="EW159" s="97"/>
      <c r="EX159" s="97"/>
      <c r="EY159" s="97"/>
      <c r="EZ159" s="97"/>
      <c r="FA159" s="97"/>
      <c r="FB159" s="97"/>
      <c r="FC159" s="97"/>
      <c r="FD159" s="97"/>
      <c r="FE159" s="97"/>
      <c r="FF159" s="97"/>
      <c r="FG159" s="97"/>
      <c r="FH159" s="97"/>
      <c r="FI159" s="97"/>
      <c r="FJ159" s="97"/>
      <c r="FK159" s="97"/>
      <c r="FL159" s="97"/>
      <c r="FM159" s="97"/>
      <c r="FN159" s="97"/>
      <c r="FO159" s="97"/>
      <c r="FP159" s="97"/>
      <c r="FQ159" s="97"/>
      <c r="FR159" s="97"/>
      <c r="FS159" s="97"/>
      <c r="FT159" s="97"/>
      <c r="FU159" s="97"/>
      <c r="FV159" s="97"/>
      <c r="FW159" s="97"/>
      <c r="FX159" s="97"/>
      <c r="FY159" s="97"/>
      <c r="FZ159" s="97"/>
      <c r="GA159" s="97"/>
      <c r="GB159" s="97"/>
      <c r="GC159" s="97"/>
      <c r="GD159" s="97"/>
      <c r="GE159" s="97"/>
      <c r="GF159" s="97"/>
      <c r="GG159" s="97"/>
      <c r="GH159" s="97"/>
      <c r="GI159" s="97"/>
      <c r="GJ159" s="97"/>
      <c r="GK159" s="97"/>
      <c r="GL159" s="97"/>
      <c r="GM159" s="97"/>
      <c r="GN159" s="97"/>
      <c r="GO159" s="97"/>
      <c r="GP159" s="97"/>
      <c r="GQ159" s="97"/>
      <c r="GR159" s="97"/>
      <c r="GS159" s="97"/>
      <c r="GT159" s="97"/>
      <c r="GU159" s="97"/>
      <c r="GV159" s="97"/>
      <c r="GW159" s="97"/>
      <c r="GX159" s="97"/>
      <c r="GY159" s="97"/>
      <c r="GZ159" s="97"/>
      <c r="HA159" s="97"/>
      <c r="HB159" s="97"/>
      <c r="HC159" s="97"/>
      <c r="HD159" s="97"/>
      <c r="HE159" s="97"/>
      <c r="HF159" s="97"/>
      <c r="HG159" s="97"/>
      <c r="HH159" s="97"/>
      <c r="HI159" s="97"/>
      <c r="HJ159" s="97"/>
      <c r="HK159" s="97"/>
      <c r="HL159" s="97"/>
      <c r="HM159" s="97"/>
      <c r="HN159" s="97"/>
      <c r="HO159" s="97"/>
      <c r="HP159" s="97"/>
      <c r="HQ159" s="97"/>
      <c r="HR159" s="97"/>
      <c r="HS159" s="97"/>
      <c r="HT159" s="97"/>
      <c r="HU159" s="97"/>
      <c r="HV159" s="97"/>
      <c r="HW159" s="97"/>
      <c r="HX159" s="97"/>
      <c r="HY159" s="97"/>
      <c r="HZ159" s="97"/>
      <c r="IA159" s="97"/>
      <c r="IB159" s="97"/>
      <c r="IC159" s="97"/>
      <c r="ID159" s="97"/>
      <c r="IE159" s="97"/>
      <c r="IF159" s="97"/>
      <c r="IG159" s="97"/>
      <c r="IH159" s="97"/>
      <c r="II159" s="97"/>
      <c r="IJ159" s="97"/>
      <c r="IK159" s="97"/>
      <c r="IL159" s="97"/>
      <c r="IM159" s="97"/>
      <c r="IN159" s="97"/>
      <c r="IO159" s="97"/>
      <c r="IP159" s="97"/>
      <c r="IQ159" s="97"/>
      <c r="IR159" s="97"/>
      <c r="IS159" s="97"/>
    </row>
    <row r="160" spans="1:253" hidden="1">
      <c r="A160" s="28"/>
      <c r="J160" s="6">
        <v>99</v>
      </c>
      <c r="K160" s="19" t="str">
        <f>'Data Export'!B100</f>
        <v/>
      </c>
      <c r="L160" s="22" t="str">
        <f>IF(K160="", "", Griddles!Y10)</f>
        <v/>
      </c>
      <c r="M160" s="22" t="str">
        <f>IF(K160="", "", Griddles!Z10)</f>
        <v/>
      </c>
      <c r="N160" s="31" t="str">
        <f>IF(K160="", "", Griddles!S10)</f>
        <v/>
      </c>
      <c r="O160" s="83" t="str">
        <f>IF(K160="", "", Griddles!AA10)</f>
        <v/>
      </c>
      <c r="P160" s="6" t="str">
        <f t="shared" si="12"/>
        <v/>
      </c>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97"/>
      <c r="AY160" s="97"/>
      <c r="AZ160" s="97"/>
      <c r="BA160" s="97"/>
      <c r="BB160" s="97"/>
      <c r="BC160" s="97"/>
      <c r="BD160" s="97"/>
      <c r="BE160" s="97"/>
      <c r="BF160" s="97"/>
      <c r="BG160" s="97"/>
      <c r="BH160" s="97"/>
      <c r="BI160" s="97"/>
      <c r="BJ160" s="97"/>
      <c r="BK160" s="97"/>
      <c r="BL160" s="97"/>
      <c r="BM160" s="97"/>
      <c r="BN160" s="97"/>
      <c r="BO160" s="97"/>
      <c r="BP160" s="97"/>
      <c r="BQ160" s="97"/>
      <c r="BR160" s="97"/>
      <c r="BS160" s="97"/>
      <c r="BT160" s="97"/>
      <c r="BU160" s="97"/>
      <c r="BV160" s="97"/>
      <c r="BW160" s="97"/>
      <c r="BX160" s="97"/>
      <c r="BY160" s="97"/>
      <c r="BZ160" s="97"/>
      <c r="CA160" s="97"/>
      <c r="CB160" s="97"/>
      <c r="CC160" s="97"/>
      <c r="CD160" s="97"/>
      <c r="CE160" s="97"/>
      <c r="CF160" s="97"/>
      <c r="CG160" s="97"/>
      <c r="CH160" s="97"/>
      <c r="CI160" s="97"/>
      <c r="CJ160" s="97"/>
      <c r="CK160" s="97"/>
      <c r="CL160" s="97"/>
      <c r="CM160" s="97"/>
      <c r="CN160" s="97"/>
      <c r="CO160" s="97"/>
      <c r="CP160" s="97"/>
      <c r="CQ160" s="97"/>
      <c r="CR160" s="97"/>
      <c r="CS160" s="97"/>
      <c r="CT160" s="97"/>
      <c r="CU160" s="97"/>
      <c r="CV160" s="97"/>
      <c r="CW160" s="97"/>
      <c r="CX160" s="97"/>
      <c r="CY160" s="97"/>
      <c r="CZ160" s="97"/>
      <c r="DA160" s="97"/>
      <c r="DB160" s="97"/>
      <c r="DC160" s="97"/>
      <c r="DD160" s="97"/>
      <c r="DE160" s="97"/>
      <c r="DF160" s="97"/>
      <c r="DG160" s="97"/>
      <c r="DH160" s="97"/>
      <c r="DI160" s="97"/>
      <c r="DJ160" s="97"/>
      <c r="DK160" s="97"/>
      <c r="DL160" s="97"/>
      <c r="DM160" s="97"/>
      <c r="DN160" s="97"/>
      <c r="DO160" s="97"/>
      <c r="DP160" s="97"/>
      <c r="DQ160" s="97"/>
      <c r="DR160" s="97"/>
      <c r="DS160" s="97"/>
      <c r="DT160" s="97"/>
      <c r="DU160" s="97"/>
      <c r="DV160" s="97"/>
      <c r="DW160" s="97"/>
      <c r="DX160" s="97"/>
      <c r="DY160" s="97"/>
      <c r="DZ160" s="97"/>
      <c r="EA160" s="97"/>
      <c r="EB160" s="97"/>
      <c r="EC160" s="97"/>
      <c r="ED160" s="97"/>
      <c r="EE160" s="97"/>
      <c r="EF160" s="97"/>
      <c r="EG160" s="97"/>
      <c r="EH160" s="97"/>
      <c r="EI160" s="97"/>
      <c r="EJ160" s="97"/>
      <c r="EK160" s="97"/>
      <c r="EL160" s="97"/>
      <c r="EM160" s="97"/>
      <c r="EN160" s="97"/>
      <c r="EO160" s="97"/>
      <c r="EP160" s="97"/>
      <c r="EQ160" s="97"/>
      <c r="ER160" s="97"/>
      <c r="ES160" s="97"/>
      <c r="ET160" s="97"/>
      <c r="EU160" s="97"/>
      <c r="EV160" s="97"/>
      <c r="EW160" s="97"/>
      <c r="EX160" s="97"/>
      <c r="EY160" s="97"/>
      <c r="EZ160" s="97"/>
      <c r="FA160" s="97"/>
      <c r="FB160" s="97"/>
      <c r="FC160" s="97"/>
      <c r="FD160" s="97"/>
      <c r="FE160" s="97"/>
      <c r="FF160" s="97"/>
      <c r="FG160" s="97"/>
      <c r="FH160" s="97"/>
      <c r="FI160" s="97"/>
      <c r="FJ160" s="97"/>
      <c r="FK160" s="97"/>
      <c r="FL160" s="97"/>
      <c r="FM160" s="97"/>
      <c r="FN160" s="97"/>
      <c r="FO160" s="97"/>
      <c r="FP160" s="97"/>
      <c r="FQ160" s="97"/>
      <c r="FR160" s="97"/>
      <c r="FS160" s="97"/>
      <c r="FT160" s="97"/>
      <c r="FU160" s="97"/>
      <c r="FV160" s="97"/>
      <c r="FW160" s="97"/>
      <c r="FX160" s="97"/>
      <c r="FY160" s="97"/>
      <c r="FZ160" s="97"/>
      <c r="GA160" s="97"/>
      <c r="GB160" s="97"/>
      <c r="GC160" s="97"/>
      <c r="GD160" s="97"/>
      <c r="GE160" s="97"/>
      <c r="GF160" s="97"/>
      <c r="GG160" s="97"/>
      <c r="GH160" s="97"/>
      <c r="GI160" s="97"/>
      <c r="GJ160" s="97"/>
      <c r="GK160" s="97"/>
      <c r="GL160" s="97"/>
      <c r="GM160" s="97"/>
      <c r="GN160" s="97"/>
      <c r="GO160" s="97"/>
      <c r="GP160" s="97"/>
      <c r="GQ160" s="97"/>
      <c r="GR160" s="97"/>
      <c r="GS160" s="97"/>
      <c r="GT160" s="97"/>
      <c r="GU160" s="97"/>
      <c r="GV160" s="97"/>
      <c r="GW160" s="97"/>
      <c r="GX160" s="97"/>
      <c r="GY160" s="97"/>
      <c r="GZ160" s="97"/>
      <c r="HA160" s="97"/>
      <c r="HB160" s="97"/>
      <c r="HC160" s="97"/>
      <c r="HD160" s="97"/>
      <c r="HE160" s="97"/>
      <c r="HF160" s="97"/>
      <c r="HG160" s="97"/>
      <c r="HH160" s="97"/>
      <c r="HI160" s="97"/>
      <c r="HJ160" s="97"/>
      <c r="HK160" s="97"/>
      <c r="HL160" s="97"/>
      <c r="HM160" s="97"/>
      <c r="HN160" s="97"/>
      <c r="HO160" s="97"/>
      <c r="HP160" s="97"/>
      <c r="HQ160" s="97"/>
      <c r="HR160" s="97"/>
      <c r="HS160" s="97"/>
      <c r="HT160" s="97"/>
      <c r="HU160" s="97"/>
      <c r="HV160" s="97"/>
      <c r="HW160" s="97"/>
      <c r="HX160" s="97"/>
      <c r="HY160" s="97"/>
      <c r="HZ160" s="97"/>
      <c r="IA160" s="97"/>
      <c r="IB160" s="97"/>
      <c r="IC160" s="97"/>
      <c r="ID160" s="97"/>
      <c r="IE160" s="97"/>
      <c r="IF160" s="97"/>
      <c r="IG160" s="97"/>
      <c r="IH160" s="97"/>
      <c r="II160" s="97"/>
      <c r="IJ160" s="97"/>
      <c r="IK160" s="97"/>
      <c r="IL160" s="97"/>
      <c r="IM160" s="97"/>
      <c r="IN160" s="97"/>
      <c r="IO160" s="97"/>
      <c r="IP160" s="97"/>
      <c r="IQ160" s="97"/>
      <c r="IR160" s="97"/>
      <c r="IS160" s="97"/>
    </row>
    <row r="161" spans="1:253" hidden="1">
      <c r="A161" s="28"/>
      <c r="J161" s="6">
        <v>100</v>
      </c>
      <c r="K161" s="19" t="str">
        <f>'Data Export'!B101</f>
        <v/>
      </c>
      <c r="L161" s="22" t="str">
        <f>IF(K161="", "", Griddles!Y11)</f>
        <v/>
      </c>
      <c r="M161" s="22" t="str">
        <f>IF(K161="", "", Griddles!Z11)</f>
        <v/>
      </c>
      <c r="N161" s="31" t="str">
        <f>IF(K161="", "", Griddles!S11)</f>
        <v/>
      </c>
      <c r="O161" s="83" t="str">
        <f>IF(K161="", "", Griddles!AA11)</f>
        <v/>
      </c>
      <c r="P161" s="6" t="str">
        <f t="shared" si="12"/>
        <v/>
      </c>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7"/>
      <c r="AY161" s="97"/>
      <c r="AZ161" s="97"/>
      <c r="BA161" s="97"/>
      <c r="BB161" s="97"/>
      <c r="BC161" s="97"/>
      <c r="BD161" s="97"/>
      <c r="BE161" s="97"/>
      <c r="BF161" s="97"/>
      <c r="BG161" s="97"/>
      <c r="BH161" s="97"/>
      <c r="BI161" s="97"/>
      <c r="BJ161" s="97"/>
      <c r="BK161" s="97"/>
      <c r="BL161" s="97"/>
      <c r="BM161" s="97"/>
      <c r="BN161" s="97"/>
      <c r="BO161" s="97"/>
      <c r="BP161" s="97"/>
      <c r="BQ161" s="97"/>
      <c r="BR161" s="97"/>
      <c r="BS161" s="97"/>
      <c r="BT161" s="97"/>
      <c r="BU161" s="97"/>
      <c r="BV161" s="97"/>
      <c r="BW161" s="97"/>
      <c r="BX161" s="97"/>
      <c r="BY161" s="97"/>
      <c r="BZ161" s="97"/>
      <c r="CA161" s="97"/>
      <c r="CB161" s="97"/>
      <c r="CC161" s="97"/>
      <c r="CD161" s="97"/>
      <c r="CE161" s="97"/>
      <c r="CF161" s="97"/>
      <c r="CG161" s="97"/>
      <c r="CH161" s="97"/>
      <c r="CI161" s="97"/>
      <c r="CJ161" s="97"/>
      <c r="CK161" s="97"/>
      <c r="CL161" s="97"/>
      <c r="CM161" s="97"/>
      <c r="CN161" s="97"/>
      <c r="CO161" s="97"/>
      <c r="CP161" s="97"/>
      <c r="CQ161" s="97"/>
      <c r="CR161" s="97"/>
      <c r="CS161" s="97"/>
      <c r="CT161" s="97"/>
      <c r="CU161" s="97"/>
      <c r="CV161" s="97"/>
      <c r="CW161" s="97"/>
      <c r="CX161" s="97"/>
      <c r="CY161" s="97"/>
      <c r="CZ161" s="97"/>
      <c r="DA161" s="97"/>
      <c r="DB161" s="97"/>
      <c r="DC161" s="97"/>
      <c r="DD161" s="97"/>
      <c r="DE161" s="97"/>
      <c r="DF161" s="97"/>
      <c r="DG161" s="97"/>
      <c r="DH161" s="97"/>
      <c r="DI161" s="97"/>
      <c r="DJ161" s="97"/>
      <c r="DK161" s="97"/>
      <c r="DL161" s="97"/>
      <c r="DM161" s="97"/>
      <c r="DN161" s="97"/>
      <c r="DO161" s="97"/>
      <c r="DP161" s="97"/>
      <c r="DQ161" s="97"/>
      <c r="DR161" s="97"/>
      <c r="DS161" s="97"/>
      <c r="DT161" s="97"/>
      <c r="DU161" s="97"/>
      <c r="DV161" s="97"/>
      <c r="DW161" s="97"/>
      <c r="DX161" s="97"/>
      <c r="DY161" s="97"/>
      <c r="DZ161" s="97"/>
      <c r="EA161" s="97"/>
      <c r="EB161" s="97"/>
      <c r="EC161" s="97"/>
      <c r="ED161" s="97"/>
      <c r="EE161" s="97"/>
      <c r="EF161" s="97"/>
      <c r="EG161" s="97"/>
      <c r="EH161" s="97"/>
      <c r="EI161" s="97"/>
      <c r="EJ161" s="97"/>
      <c r="EK161" s="97"/>
      <c r="EL161" s="97"/>
      <c r="EM161" s="97"/>
      <c r="EN161" s="97"/>
      <c r="EO161" s="97"/>
      <c r="EP161" s="97"/>
      <c r="EQ161" s="97"/>
      <c r="ER161" s="97"/>
      <c r="ES161" s="97"/>
      <c r="ET161" s="97"/>
      <c r="EU161" s="97"/>
      <c r="EV161" s="97"/>
      <c r="EW161" s="97"/>
      <c r="EX161" s="97"/>
      <c r="EY161" s="97"/>
      <c r="EZ161" s="97"/>
      <c r="FA161" s="97"/>
      <c r="FB161" s="97"/>
      <c r="FC161" s="97"/>
      <c r="FD161" s="97"/>
      <c r="FE161" s="97"/>
      <c r="FF161" s="97"/>
      <c r="FG161" s="97"/>
      <c r="FH161" s="97"/>
      <c r="FI161" s="97"/>
      <c r="FJ161" s="97"/>
      <c r="FK161" s="97"/>
      <c r="FL161" s="97"/>
      <c r="FM161" s="97"/>
      <c r="FN161" s="97"/>
      <c r="FO161" s="97"/>
      <c r="FP161" s="97"/>
      <c r="FQ161" s="97"/>
      <c r="FR161" s="97"/>
      <c r="FS161" s="97"/>
      <c r="FT161" s="97"/>
      <c r="FU161" s="97"/>
      <c r="FV161" s="97"/>
      <c r="FW161" s="97"/>
      <c r="FX161" s="97"/>
      <c r="FY161" s="97"/>
      <c r="FZ161" s="97"/>
      <c r="GA161" s="97"/>
      <c r="GB161" s="97"/>
      <c r="GC161" s="97"/>
      <c r="GD161" s="97"/>
      <c r="GE161" s="97"/>
      <c r="GF161" s="97"/>
      <c r="GG161" s="97"/>
      <c r="GH161" s="97"/>
      <c r="GI161" s="97"/>
      <c r="GJ161" s="97"/>
      <c r="GK161" s="97"/>
      <c r="GL161" s="97"/>
      <c r="GM161" s="97"/>
      <c r="GN161" s="97"/>
      <c r="GO161" s="97"/>
      <c r="GP161" s="97"/>
      <c r="GQ161" s="97"/>
      <c r="GR161" s="97"/>
      <c r="GS161" s="97"/>
      <c r="GT161" s="97"/>
      <c r="GU161" s="97"/>
      <c r="GV161" s="97"/>
      <c r="GW161" s="97"/>
      <c r="GX161" s="97"/>
      <c r="GY161" s="97"/>
      <c r="GZ161" s="97"/>
      <c r="HA161" s="97"/>
      <c r="HB161" s="97"/>
      <c r="HC161" s="97"/>
      <c r="HD161" s="97"/>
      <c r="HE161" s="97"/>
      <c r="HF161" s="97"/>
      <c r="HG161" s="97"/>
      <c r="HH161" s="97"/>
      <c r="HI161" s="97"/>
      <c r="HJ161" s="97"/>
      <c r="HK161" s="97"/>
      <c r="HL161" s="97"/>
      <c r="HM161" s="97"/>
      <c r="HN161" s="97"/>
      <c r="HO161" s="97"/>
      <c r="HP161" s="97"/>
      <c r="HQ161" s="97"/>
      <c r="HR161" s="97"/>
      <c r="HS161" s="97"/>
      <c r="HT161" s="97"/>
      <c r="HU161" s="97"/>
      <c r="HV161" s="97"/>
      <c r="HW161" s="97"/>
      <c r="HX161" s="97"/>
      <c r="HY161" s="97"/>
      <c r="HZ161" s="97"/>
      <c r="IA161" s="97"/>
      <c r="IB161" s="97"/>
      <c r="IC161" s="97"/>
      <c r="ID161" s="97"/>
      <c r="IE161" s="97"/>
      <c r="IF161" s="97"/>
      <c r="IG161" s="97"/>
      <c r="IH161" s="97"/>
      <c r="II161" s="97"/>
      <c r="IJ161" s="97"/>
      <c r="IK161" s="97"/>
      <c r="IL161" s="97"/>
      <c r="IM161" s="97"/>
      <c r="IN161" s="97"/>
      <c r="IO161" s="97"/>
      <c r="IP161" s="97"/>
      <c r="IQ161" s="97"/>
      <c r="IR161" s="97"/>
      <c r="IS161" s="97"/>
    </row>
    <row r="162" spans="1:253" hidden="1">
      <c r="A162" s="28"/>
      <c r="J162" s="6">
        <v>101</v>
      </c>
      <c r="K162" s="19" t="str">
        <f>'Data Export'!B102</f>
        <v/>
      </c>
      <c r="L162" s="22" t="str">
        <f>IF(K162="", "", Griddles!Y12)</f>
        <v/>
      </c>
      <c r="M162" s="22" t="str">
        <f>IF(K162="", "", Griddles!Z12)</f>
        <v/>
      </c>
      <c r="N162" s="31" t="str">
        <f>IF(K162="", "", Griddles!S12)</f>
        <v/>
      </c>
      <c r="O162" s="83" t="str">
        <f>IF(K162="", "", Griddles!AA12)</f>
        <v/>
      </c>
      <c r="P162" s="6" t="str">
        <f t="shared" si="12"/>
        <v/>
      </c>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97"/>
      <c r="AO162" s="97"/>
      <c r="AP162" s="97"/>
      <c r="AQ162" s="97"/>
      <c r="AR162" s="97"/>
      <c r="AS162" s="97"/>
      <c r="AT162" s="97"/>
      <c r="AU162" s="97"/>
      <c r="AV162" s="97"/>
      <c r="AW162" s="97"/>
      <c r="AX162" s="97"/>
      <c r="AY162" s="97"/>
      <c r="AZ162" s="97"/>
      <c r="BA162" s="97"/>
      <c r="BB162" s="97"/>
      <c r="BC162" s="97"/>
      <c r="BD162" s="97"/>
      <c r="BE162" s="97"/>
      <c r="BF162" s="97"/>
      <c r="BG162" s="97"/>
      <c r="BH162" s="97"/>
      <c r="BI162" s="97"/>
      <c r="BJ162" s="97"/>
      <c r="BK162" s="97"/>
      <c r="BL162" s="97"/>
      <c r="BM162" s="97"/>
      <c r="BN162" s="97"/>
      <c r="BO162" s="97"/>
      <c r="BP162" s="97"/>
      <c r="BQ162" s="97"/>
      <c r="BR162" s="97"/>
      <c r="BS162" s="97"/>
      <c r="BT162" s="97"/>
      <c r="BU162" s="97"/>
      <c r="BV162" s="97"/>
      <c r="BW162" s="97"/>
      <c r="BX162" s="97"/>
      <c r="BY162" s="97"/>
      <c r="BZ162" s="97"/>
      <c r="CA162" s="97"/>
      <c r="CB162" s="97"/>
      <c r="CC162" s="97"/>
      <c r="CD162" s="97"/>
      <c r="CE162" s="97"/>
      <c r="CF162" s="97"/>
      <c r="CG162" s="97"/>
      <c r="CH162" s="97"/>
      <c r="CI162" s="97"/>
      <c r="CJ162" s="97"/>
      <c r="CK162" s="97"/>
      <c r="CL162" s="97"/>
      <c r="CM162" s="97"/>
      <c r="CN162" s="97"/>
      <c r="CO162" s="97"/>
      <c r="CP162" s="97"/>
      <c r="CQ162" s="97"/>
      <c r="CR162" s="97"/>
      <c r="CS162" s="97"/>
      <c r="CT162" s="97"/>
      <c r="CU162" s="97"/>
      <c r="CV162" s="97"/>
      <c r="CW162" s="97"/>
      <c r="CX162" s="97"/>
      <c r="CY162" s="97"/>
      <c r="CZ162" s="97"/>
      <c r="DA162" s="97"/>
      <c r="DB162" s="97"/>
      <c r="DC162" s="97"/>
      <c r="DD162" s="97"/>
      <c r="DE162" s="97"/>
      <c r="DF162" s="97"/>
      <c r="DG162" s="97"/>
      <c r="DH162" s="97"/>
      <c r="DI162" s="97"/>
      <c r="DJ162" s="97"/>
      <c r="DK162" s="97"/>
      <c r="DL162" s="97"/>
      <c r="DM162" s="97"/>
      <c r="DN162" s="97"/>
      <c r="DO162" s="97"/>
      <c r="DP162" s="97"/>
      <c r="DQ162" s="97"/>
      <c r="DR162" s="97"/>
      <c r="DS162" s="97"/>
      <c r="DT162" s="97"/>
      <c r="DU162" s="97"/>
      <c r="DV162" s="97"/>
      <c r="DW162" s="97"/>
      <c r="DX162" s="97"/>
      <c r="DY162" s="97"/>
      <c r="DZ162" s="97"/>
      <c r="EA162" s="97"/>
      <c r="EB162" s="97"/>
      <c r="EC162" s="97"/>
      <c r="ED162" s="97"/>
      <c r="EE162" s="97"/>
      <c r="EF162" s="97"/>
      <c r="EG162" s="97"/>
      <c r="EH162" s="97"/>
      <c r="EI162" s="97"/>
      <c r="EJ162" s="97"/>
      <c r="EK162" s="97"/>
      <c r="EL162" s="97"/>
      <c r="EM162" s="97"/>
      <c r="EN162" s="97"/>
      <c r="EO162" s="97"/>
      <c r="EP162" s="97"/>
      <c r="EQ162" s="97"/>
      <c r="ER162" s="97"/>
      <c r="ES162" s="97"/>
      <c r="ET162" s="97"/>
      <c r="EU162" s="97"/>
      <c r="EV162" s="97"/>
      <c r="EW162" s="97"/>
      <c r="EX162" s="97"/>
      <c r="EY162" s="97"/>
      <c r="EZ162" s="97"/>
      <c r="FA162" s="97"/>
      <c r="FB162" s="97"/>
      <c r="FC162" s="97"/>
      <c r="FD162" s="97"/>
      <c r="FE162" s="97"/>
      <c r="FF162" s="97"/>
      <c r="FG162" s="97"/>
      <c r="FH162" s="97"/>
      <c r="FI162" s="97"/>
      <c r="FJ162" s="97"/>
      <c r="FK162" s="97"/>
      <c r="FL162" s="97"/>
      <c r="FM162" s="97"/>
      <c r="FN162" s="97"/>
      <c r="FO162" s="97"/>
      <c r="FP162" s="97"/>
      <c r="FQ162" s="97"/>
      <c r="FR162" s="97"/>
      <c r="FS162" s="97"/>
      <c r="FT162" s="97"/>
      <c r="FU162" s="97"/>
      <c r="FV162" s="97"/>
      <c r="FW162" s="97"/>
      <c r="FX162" s="97"/>
      <c r="FY162" s="97"/>
      <c r="FZ162" s="97"/>
      <c r="GA162" s="97"/>
      <c r="GB162" s="97"/>
      <c r="GC162" s="97"/>
      <c r="GD162" s="97"/>
      <c r="GE162" s="97"/>
      <c r="GF162" s="97"/>
      <c r="GG162" s="97"/>
      <c r="GH162" s="97"/>
      <c r="GI162" s="97"/>
      <c r="GJ162" s="97"/>
      <c r="GK162" s="97"/>
      <c r="GL162" s="97"/>
      <c r="GM162" s="97"/>
      <c r="GN162" s="97"/>
      <c r="GO162" s="97"/>
      <c r="GP162" s="97"/>
      <c r="GQ162" s="97"/>
      <c r="GR162" s="97"/>
      <c r="GS162" s="97"/>
      <c r="GT162" s="97"/>
      <c r="GU162" s="97"/>
      <c r="GV162" s="97"/>
      <c r="GW162" s="97"/>
      <c r="GX162" s="97"/>
      <c r="GY162" s="97"/>
      <c r="GZ162" s="97"/>
      <c r="HA162" s="97"/>
      <c r="HB162" s="97"/>
      <c r="HC162" s="97"/>
      <c r="HD162" s="97"/>
      <c r="HE162" s="97"/>
      <c r="HF162" s="97"/>
      <c r="HG162" s="97"/>
      <c r="HH162" s="97"/>
      <c r="HI162" s="97"/>
      <c r="HJ162" s="97"/>
      <c r="HK162" s="97"/>
      <c r="HL162" s="97"/>
      <c r="HM162" s="97"/>
      <c r="HN162" s="97"/>
      <c r="HO162" s="97"/>
      <c r="HP162" s="97"/>
      <c r="HQ162" s="97"/>
      <c r="HR162" s="97"/>
      <c r="HS162" s="97"/>
      <c r="HT162" s="97"/>
      <c r="HU162" s="97"/>
      <c r="HV162" s="97"/>
      <c r="HW162" s="97"/>
      <c r="HX162" s="97"/>
      <c r="HY162" s="97"/>
      <c r="HZ162" s="97"/>
      <c r="IA162" s="97"/>
      <c r="IB162" s="97"/>
      <c r="IC162" s="97"/>
      <c r="ID162" s="97"/>
      <c r="IE162" s="97"/>
      <c r="IF162" s="97"/>
      <c r="IG162" s="97"/>
      <c r="IH162" s="97"/>
      <c r="II162" s="97"/>
      <c r="IJ162" s="97"/>
      <c r="IK162" s="97"/>
      <c r="IL162" s="97"/>
      <c r="IM162" s="97"/>
      <c r="IN162" s="97"/>
      <c r="IO162" s="97"/>
      <c r="IP162" s="97"/>
      <c r="IQ162" s="97"/>
      <c r="IR162" s="97"/>
      <c r="IS162" s="97"/>
    </row>
    <row r="163" spans="1:253" hidden="1">
      <c r="A163" s="28"/>
      <c r="J163" s="6">
        <v>102</v>
      </c>
      <c r="K163" s="19" t="str">
        <f>'Data Export'!B103</f>
        <v/>
      </c>
      <c r="L163" s="22" t="str">
        <f>IF(K163="", "", Griddles!Y13)</f>
        <v/>
      </c>
      <c r="M163" s="22" t="str">
        <f>IF(K163="", "", Griddles!Z13)</f>
        <v/>
      </c>
      <c r="N163" s="31" t="str">
        <f>IF(K163="", "", Griddles!S13)</f>
        <v/>
      </c>
      <c r="O163" s="83" t="str">
        <f>IF(K163="", "", Griddles!AA13)</f>
        <v/>
      </c>
      <c r="P163" s="6" t="str">
        <f t="shared" si="12"/>
        <v/>
      </c>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97"/>
      <c r="AO163" s="97"/>
      <c r="AP163" s="97"/>
      <c r="AQ163" s="97"/>
      <c r="AR163" s="97"/>
      <c r="AS163" s="97"/>
      <c r="AT163" s="97"/>
      <c r="AU163" s="97"/>
      <c r="AV163" s="97"/>
      <c r="AW163" s="97"/>
      <c r="AX163" s="97"/>
      <c r="AY163" s="97"/>
      <c r="AZ163" s="97"/>
      <c r="BA163" s="97"/>
      <c r="BB163" s="97"/>
      <c r="BC163" s="97"/>
      <c r="BD163" s="97"/>
      <c r="BE163" s="97"/>
      <c r="BF163" s="97"/>
      <c r="BG163" s="97"/>
      <c r="BH163" s="97"/>
      <c r="BI163" s="97"/>
      <c r="BJ163" s="97"/>
      <c r="BK163" s="97"/>
      <c r="BL163" s="97"/>
      <c r="BM163" s="97"/>
      <c r="BN163" s="97"/>
      <c r="BO163" s="97"/>
      <c r="BP163" s="97"/>
      <c r="BQ163" s="97"/>
      <c r="BR163" s="97"/>
      <c r="BS163" s="97"/>
      <c r="BT163" s="97"/>
      <c r="BU163" s="97"/>
      <c r="BV163" s="97"/>
      <c r="BW163" s="97"/>
      <c r="BX163" s="97"/>
      <c r="BY163" s="97"/>
      <c r="BZ163" s="97"/>
      <c r="CA163" s="97"/>
      <c r="CB163" s="97"/>
      <c r="CC163" s="97"/>
      <c r="CD163" s="97"/>
      <c r="CE163" s="97"/>
      <c r="CF163" s="97"/>
      <c r="CG163" s="97"/>
      <c r="CH163" s="97"/>
      <c r="CI163" s="97"/>
      <c r="CJ163" s="97"/>
      <c r="CK163" s="97"/>
      <c r="CL163" s="97"/>
      <c r="CM163" s="97"/>
      <c r="CN163" s="97"/>
      <c r="CO163" s="97"/>
      <c r="CP163" s="97"/>
      <c r="CQ163" s="97"/>
      <c r="CR163" s="97"/>
      <c r="CS163" s="97"/>
      <c r="CT163" s="97"/>
      <c r="CU163" s="97"/>
      <c r="CV163" s="97"/>
      <c r="CW163" s="97"/>
      <c r="CX163" s="97"/>
      <c r="CY163" s="97"/>
      <c r="CZ163" s="97"/>
      <c r="DA163" s="97"/>
      <c r="DB163" s="97"/>
      <c r="DC163" s="97"/>
      <c r="DD163" s="97"/>
      <c r="DE163" s="97"/>
      <c r="DF163" s="97"/>
      <c r="DG163" s="97"/>
      <c r="DH163" s="97"/>
      <c r="DI163" s="97"/>
      <c r="DJ163" s="97"/>
      <c r="DK163" s="97"/>
      <c r="DL163" s="97"/>
      <c r="DM163" s="97"/>
      <c r="DN163" s="97"/>
      <c r="DO163" s="97"/>
      <c r="DP163" s="97"/>
      <c r="DQ163" s="97"/>
      <c r="DR163" s="97"/>
      <c r="DS163" s="97"/>
      <c r="DT163" s="97"/>
      <c r="DU163" s="97"/>
      <c r="DV163" s="97"/>
      <c r="DW163" s="97"/>
      <c r="DX163" s="97"/>
      <c r="DY163" s="97"/>
      <c r="DZ163" s="97"/>
      <c r="EA163" s="97"/>
      <c r="EB163" s="97"/>
      <c r="EC163" s="97"/>
      <c r="ED163" s="97"/>
      <c r="EE163" s="97"/>
      <c r="EF163" s="97"/>
      <c r="EG163" s="97"/>
      <c r="EH163" s="97"/>
      <c r="EI163" s="97"/>
      <c r="EJ163" s="97"/>
      <c r="EK163" s="97"/>
      <c r="EL163" s="97"/>
      <c r="EM163" s="97"/>
      <c r="EN163" s="97"/>
      <c r="EO163" s="97"/>
      <c r="EP163" s="97"/>
      <c r="EQ163" s="97"/>
      <c r="ER163" s="97"/>
      <c r="ES163" s="97"/>
      <c r="ET163" s="97"/>
      <c r="EU163" s="97"/>
      <c r="EV163" s="97"/>
      <c r="EW163" s="97"/>
      <c r="EX163" s="97"/>
      <c r="EY163" s="97"/>
      <c r="EZ163" s="97"/>
      <c r="FA163" s="97"/>
      <c r="FB163" s="97"/>
      <c r="FC163" s="97"/>
      <c r="FD163" s="97"/>
      <c r="FE163" s="97"/>
      <c r="FF163" s="97"/>
      <c r="FG163" s="97"/>
      <c r="FH163" s="97"/>
      <c r="FI163" s="97"/>
      <c r="FJ163" s="97"/>
      <c r="FK163" s="97"/>
      <c r="FL163" s="97"/>
      <c r="FM163" s="97"/>
      <c r="FN163" s="97"/>
      <c r="FO163" s="97"/>
      <c r="FP163" s="97"/>
      <c r="FQ163" s="97"/>
      <c r="FR163" s="97"/>
      <c r="FS163" s="97"/>
      <c r="FT163" s="97"/>
      <c r="FU163" s="97"/>
      <c r="FV163" s="97"/>
      <c r="FW163" s="97"/>
      <c r="FX163" s="97"/>
      <c r="FY163" s="97"/>
      <c r="FZ163" s="97"/>
      <c r="GA163" s="97"/>
      <c r="GB163" s="97"/>
      <c r="GC163" s="97"/>
      <c r="GD163" s="97"/>
      <c r="GE163" s="97"/>
      <c r="GF163" s="97"/>
      <c r="GG163" s="97"/>
      <c r="GH163" s="97"/>
      <c r="GI163" s="97"/>
      <c r="GJ163" s="97"/>
      <c r="GK163" s="97"/>
      <c r="GL163" s="97"/>
      <c r="GM163" s="97"/>
      <c r="GN163" s="97"/>
      <c r="GO163" s="97"/>
      <c r="GP163" s="97"/>
      <c r="GQ163" s="97"/>
      <c r="GR163" s="97"/>
      <c r="GS163" s="97"/>
      <c r="GT163" s="97"/>
      <c r="GU163" s="97"/>
      <c r="GV163" s="97"/>
      <c r="GW163" s="97"/>
      <c r="GX163" s="97"/>
      <c r="GY163" s="97"/>
      <c r="GZ163" s="97"/>
      <c r="HA163" s="97"/>
      <c r="HB163" s="97"/>
      <c r="HC163" s="97"/>
      <c r="HD163" s="97"/>
      <c r="HE163" s="97"/>
      <c r="HF163" s="97"/>
      <c r="HG163" s="97"/>
      <c r="HH163" s="97"/>
      <c r="HI163" s="97"/>
      <c r="HJ163" s="97"/>
      <c r="HK163" s="97"/>
      <c r="HL163" s="97"/>
      <c r="HM163" s="97"/>
      <c r="HN163" s="97"/>
      <c r="HO163" s="97"/>
      <c r="HP163" s="97"/>
      <c r="HQ163" s="97"/>
      <c r="HR163" s="97"/>
      <c r="HS163" s="97"/>
      <c r="HT163" s="97"/>
      <c r="HU163" s="97"/>
      <c r="HV163" s="97"/>
      <c r="HW163" s="97"/>
      <c r="HX163" s="97"/>
      <c r="HY163" s="97"/>
      <c r="HZ163" s="97"/>
      <c r="IA163" s="97"/>
      <c r="IB163" s="97"/>
      <c r="IC163" s="97"/>
      <c r="ID163" s="97"/>
      <c r="IE163" s="97"/>
      <c r="IF163" s="97"/>
      <c r="IG163" s="97"/>
      <c r="IH163" s="97"/>
      <c r="II163" s="97"/>
      <c r="IJ163" s="97"/>
      <c r="IK163" s="97"/>
      <c r="IL163" s="97"/>
      <c r="IM163" s="97"/>
      <c r="IN163" s="97"/>
      <c r="IO163" s="97"/>
      <c r="IP163" s="97"/>
      <c r="IQ163" s="97"/>
      <c r="IR163" s="97"/>
      <c r="IS163" s="97"/>
    </row>
    <row r="164" spans="1:253" hidden="1">
      <c r="A164" s="28"/>
      <c r="J164" s="6">
        <v>103</v>
      </c>
      <c r="K164" s="19" t="str">
        <f>'Data Export'!B104</f>
        <v/>
      </c>
      <c r="L164" s="22" t="str">
        <f>IF(K164="", "", Griddles!Y14)</f>
        <v/>
      </c>
      <c r="M164" s="22" t="str">
        <f>IF(K164="", "", Griddles!Z14)</f>
        <v/>
      </c>
      <c r="N164" s="31" t="str">
        <f>IF(K164="", "", Griddles!S14)</f>
        <v/>
      </c>
      <c r="O164" s="83" t="str">
        <f>IF(K164="", "", Griddles!AA14)</f>
        <v/>
      </c>
      <c r="P164" s="6" t="str">
        <f t="shared" si="12"/>
        <v/>
      </c>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97"/>
      <c r="BK164" s="97"/>
      <c r="BL164" s="97"/>
      <c r="BM164" s="97"/>
      <c r="BN164" s="97"/>
      <c r="BO164" s="97"/>
      <c r="BP164" s="97"/>
      <c r="BQ164" s="97"/>
      <c r="BR164" s="97"/>
      <c r="BS164" s="97"/>
      <c r="BT164" s="97"/>
      <c r="BU164" s="97"/>
      <c r="BV164" s="97"/>
      <c r="BW164" s="97"/>
      <c r="BX164" s="97"/>
      <c r="BY164" s="97"/>
      <c r="BZ164" s="97"/>
      <c r="CA164" s="97"/>
      <c r="CB164" s="97"/>
      <c r="CC164" s="97"/>
      <c r="CD164" s="97"/>
      <c r="CE164" s="97"/>
      <c r="CF164" s="97"/>
      <c r="CG164" s="97"/>
      <c r="CH164" s="97"/>
      <c r="CI164" s="97"/>
      <c r="CJ164" s="97"/>
      <c r="CK164" s="97"/>
      <c r="CL164" s="97"/>
      <c r="CM164" s="97"/>
      <c r="CN164" s="97"/>
      <c r="CO164" s="97"/>
      <c r="CP164" s="97"/>
      <c r="CQ164" s="97"/>
      <c r="CR164" s="97"/>
      <c r="CS164" s="97"/>
      <c r="CT164" s="97"/>
      <c r="CU164" s="97"/>
      <c r="CV164" s="97"/>
      <c r="CW164" s="97"/>
      <c r="CX164" s="97"/>
      <c r="CY164" s="97"/>
      <c r="CZ164" s="97"/>
      <c r="DA164" s="97"/>
      <c r="DB164" s="97"/>
      <c r="DC164" s="97"/>
      <c r="DD164" s="97"/>
      <c r="DE164" s="97"/>
      <c r="DF164" s="97"/>
      <c r="DG164" s="97"/>
      <c r="DH164" s="97"/>
      <c r="DI164" s="97"/>
      <c r="DJ164" s="97"/>
      <c r="DK164" s="97"/>
      <c r="DL164" s="97"/>
      <c r="DM164" s="97"/>
      <c r="DN164" s="97"/>
      <c r="DO164" s="97"/>
      <c r="DP164" s="97"/>
      <c r="DQ164" s="97"/>
      <c r="DR164" s="97"/>
      <c r="DS164" s="97"/>
      <c r="DT164" s="97"/>
      <c r="DU164" s="97"/>
      <c r="DV164" s="97"/>
      <c r="DW164" s="97"/>
      <c r="DX164" s="97"/>
      <c r="DY164" s="97"/>
      <c r="DZ164" s="97"/>
      <c r="EA164" s="97"/>
      <c r="EB164" s="97"/>
      <c r="EC164" s="97"/>
      <c r="ED164" s="97"/>
      <c r="EE164" s="97"/>
      <c r="EF164" s="97"/>
      <c r="EG164" s="97"/>
      <c r="EH164" s="97"/>
      <c r="EI164" s="97"/>
      <c r="EJ164" s="97"/>
      <c r="EK164" s="97"/>
      <c r="EL164" s="97"/>
      <c r="EM164" s="97"/>
      <c r="EN164" s="97"/>
      <c r="EO164" s="97"/>
      <c r="EP164" s="97"/>
      <c r="EQ164" s="97"/>
      <c r="ER164" s="97"/>
      <c r="ES164" s="97"/>
      <c r="ET164" s="97"/>
      <c r="EU164" s="97"/>
      <c r="EV164" s="97"/>
      <c r="EW164" s="97"/>
      <c r="EX164" s="97"/>
      <c r="EY164" s="97"/>
      <c r="EZ164" s="97"/>
      <c r="FA164" s="97"/>
      <c r="FB164" s="97"/>
      <c r="FC164" s="97"/>
      <c r="FD164" s="97"/>
      <c r="FE164" s="97"/>
      <c r="FF164" s="97"/>
      <c r="FG164" s="97"/>
      <c r="FH164" s="97"/>
      <c r="FI164" s="97"/>
      <c r="FJ164" s="97"/>
      <c r="FK164" s="97"/>
      <c r="FL164" s="97"/>
      <c r="FM164" s="97"/>
      <c r="FN164" s="97"/>
      <c r="FO164" s="97"/>
      <c r="FP164" s="97"/>
      <c r="FQ164" s="97"/>
      <c r="FR164" s="97"/>
      <c r="FS164" s="97"/>
      <c r="FT164" s="97"/>
      <c r="FU164" s="97"/>
      <c r="FV164" s="97"/>
      <c r="FW164" s="97"/>
      <c r="FX164" s="97"/>
      <c r="FY164" s="97"/>
      <c r="FZ164" s="97"/>
      <c r="GA164" s="97"/>
      <c r="GB164" s="97"/>
      <c r="GC164" s="97"/>
      <c r="GD164" s="97"/>
      <c r="GE164" s="97"/>
      <c r="GF164" s="97"/>
      <c r="GG164" s="97"/>
      <c r="GH164" s="97"/>
      <c r="GI164" s="97"/>
      <c r="GJ164" s="97"/>
      <c r="GK164" s="97"/>
      <c r="GL164" s="97"/>
      <c r="GM164" s="97"/>
      <c r="GN164" s="97"/>
      <c r="GO164" s="97"/>
      <c r="GP164" s="97"/>
      <c r="GQ164" s="97"/>
      <c r="GR164" s="97"/>
      <c r="GS164" s="97"/>
      <c r="GT164" s="97"/>
      <c r="GU164" s="97"/>
      <c r="GV164" s="97"/>
      <c r="GW164" s="97"/>
      <c r="GX164" s="97"/>
      <c r="GY164" s="97"/>
      <c r="GZ164" s="97"/>
      <c r="HA164" s="97"/>
      <c r="HB164" s="97"/>
      <c r="HC164" s="97"/>
      <c r="HD164" s="97"/>
      <c r="HE164" s="97"/>
      <c r="HF164" s="97"/>
      <c r="HG164" s="97"/>
      <c r="HH164" s="97"/>
      <c r="HI164" s="97"/>
      <c r="HJ164" s="97"/>
      <c r="HK164" s="97"/>
      <c r="HL164" s="97"/>
      <c r="HM164" s="97"/>
      <c r="HN164" s="97"/>
      <c r="HO164" s="97"/>
      <c r="HP164" s="97"/>
      <c r="HQ164" s="97"/>
      <c r="HR164" s="97"/>
      <c r="HS164" s="97"/>
      <c r="HT164" s="97"/>
      <c r="HU164" s="97"/>
      <c r="HV164" s="97"/>
      <c r="HW164" s="97"/>
      <c r="HX164" s="97"/>
      <c r="HY164" s="97"/>
      <c r="HZ164" s="97"/>
      <c r="IA164" s="97"/>
      <c r="IB164" s="97"/>
      <c r="IC164" s="97"/>
      <c r="ID164" s="97"/>
      <c r="IE164" s="97"/>
      <c r="IF164" s="97"/>
      <c r="IG164" s="97"/>
      <c r="IH164" s="97"/>
      <c r="II164" s="97"/>
      <c r="IJ164" s="97"/>
      <c r="IK164" s="97"/>
      <c r="IL164" s="97"/>
      <c r="IM164" s="97"/>
      <c r="IN164" s="97"/>
      <c r="IO164" s="97"/>
      <c r="IP164" s="97"/>
      <c r="IQ164" s="97"/>
      <c r="IR164" s="97"/>
      <c r="IS164" s="97"/>
    </row>
    <row r="165" spans="1:253" hidden="1">
      <c r="A165" s="28"/>
      <c r="J165" s="6">
        <v>104</v>
      </c>
      <c r="K165" s="19" t="str">
        <f>'Data Export'!B105</f>
        <v/>
      </c>
      <c r="L165" s="22" t="str">
        <f>IF(K165="", "", Griddles!Y15)</f>
        <v/>
      </c>
      <c r="M165" s="22" t="str">
        <f>IF(K165="", "", Griddles!Z15)</f>
        <v/>
      </c>
      <c r="N165" s="31" t="str">
        <f>IF(K165="", "", Griddles!S15)</f>
        <v/>
      </c>
      <c r="O165" s="83" t="str">
        <f>IF(K165="", "", Griddles!AA15)</f>
        <v/>
      </c>
      <c r="P165" s="6" t="str">
        <f t="shared" si="12"/>
        <v/>
      </c>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97"/>
      <c r="AO165" s="97"/>
      <c r="AP165" s="97"/>
      <c r="AQ165" s="97"/>
      <c r="AR165" s="97"/>
      <c r="AS165" s="97"/>
      <c r="AT165" s="97"/>
      <c r="AU165" s="97"/>
      <c r="AV165" s="97"/>
      <c r="AW165" s="97"/>
      <c r="AX165" s="97"/>
      <c r="AY165" s="97"/>
      <c r="AZ165" s="97"/>
      <c r="BA165" s="97"/>
      <c r="BB165" s="97"/>
      <c r="BC165" s="97"/>
      <c r="BD165" s="97"/>
      <c r="BE165" s="97"/>
      <c r="BF165" s="97"/>
      <c r="BG165" s="97"/>
      <c r="BH165" s="97"/>
      <c r="BI165" s="97"/>
      <c r="BJ165" s="97"/>
      <c r="BK165" s="97"/>
      <c r="BL165" s="97"/>
      <c r="BM165" s="97"/>
      <c r="BN165" s="97"/>
      <c r="BO165" s="97"/>
      <c r="BP165" s="97"/>
      <c r="BQ165" s="97"/>
      <c r="BR165" s="97"/>
      <c r="BS165" s="97"/>
      <c r="BT165" s="97"/>
      <c r="BU165" s="97"/>
      <c r="BV165" s="97"/>
      <c r="BW165" s="97"/>
      <c r="BX165" s="97"/>
      <c r="BY165" s="97"/>
      <c r="BZ165" s="97"/>
      <c r="CA165" s="97"/>
      <c r="CB165" s="97"/>
      <c r="CC165" s="97"/>
      <c r="CD165" s="97"/>
      <c r="CE165" s="97"/>
      <c r="CF165" s="97"/>
      <c r="CG165" s="97"/>
      <c r="CH165" s="97"/>
      <c r="CI165" s="97"/>
      <c r="CJ165" s="97"/>
      <c r="CK165" s="97"/>
      <c r="CL165" s="97"/>
      <c r="CM165" s="97"/>
      <c r="CN165" s="97"/>
      <c r="CO165" s="97"/>
      <c r="CP165" s="97"/>
      <c r="CQ165" s="97"/>
      <c r="CR165" s="97"/>
      <c r="CS165" s="97"/>
      <c r="CT165" s="97"/>
      <c r="CU165" s="97"/>
      <c r="CV165" s="97"/>
      <c r="CW165" s="97"/>
      <c r="CX165" s="97"/>
      <c r="CY165" s="97"/>
      <c r="CZ165" s="97"/>
      <c r="DA165" s="97"/>
      <c r="DB165" s="97"/>
      <c r="DC165" s="97"/>
      <c r="DD165" s="97"/>
      <c r="DE165" s="97"/>
      <c r="DF165" s="97"/>
      <c r="DG165" s="97"/>
      <c r="DH165" s="97"/>
      <c r="DI165" s="97"/>
      <c r="DJ165" s="97"/>
      <c r="DK165" s="97"/>
      <c r="DL165" s="97"/>
      <c r="DM165" s="97"/>
      <c r="DN165" s="97"/>
      <c r="DO165" s="97"/>
      <c r="DP165" s="97"/>
      <c r="DQ165" s="97"/>
      <c r="DR165" s="97"/>
      <c r="DS165" s="97"/>
      <c r="DT165" s="97"/>
      <c r="DU165" s="97"/>
      <c r="DV165" s="97"/>
      <c r="DW165" s="97"/>
      <c r="DX165" s="97"/>
      <c r="DY165" s="97"/>
      <c r="DZ165" s="97"/>
      <c r="EA165" s="97"/>
      <c r="EB165" s="97"/>
      <c r="EC165" s="97"/>
      <c r="ED165" s="97"/>
      <c r="EE165" s="97"/>
      <c r="EF165" s="97"/>
      <c r="EG165" s="97"/>
      <c r="EH165" s="97"/>
      <c r="EI165" s="97"/>
      <c r="EJ165" s="97"/>
      <c r="EK165" s="97"/>
      <c r="EL165" s="97"/>
      <c r="EM165" s="97"/>
      <c r="EN165" s="97"/>
      <c r="EO165" s="97"/>
      <c r="EP165" s="97"/>
      <c r="EQ165" s="97"/>
      <c r="ER165" s="97"/>
      <c r="ES165" s="97"/>
      <c r="ET165" s="97"/>
      <c r="EU165" s="97"/>
      <c r="EV165" s="97"/>
      <c r="EW165" s="97"/>
      <c r="EX165" s="97"/>
      <c r="EY165" s="97"/>
      <c r="EZ165" s="97"/>
      <c r="FA165" s="97"/>
      <c r="FB165" s="97"/>
      <c r="FC165" s="97"/>
      <c r="FD165" s="97"/>
      <c r="FE165" s="97"/>
      <c r="FF165" s="97"/>
      <c r="FG165" s="97"/>
      <c r="FH165" s="97"/>
      <c r="FI165" s="97"/>
      <c r="FJ165" s="97"/>
      <c r="FK165" s="97"/>
      <c r="FL165" s="97"/>
      <c r="FM165" s="97"/>
      <c r="FN165" s="97"/>
      <c r="FO165" s="97"/>
      <c r="FP165" s="97"/>
      <c r="FQ165" s="97"/>
      <c r="FR165" s="97"/>
      <c r="FS165" s="97"/>
      <c r="FT165" s="97"/>
      <c r="FU165" s="97"/>
      <c r="FV165" s="97"/>
      <c r="FW165" s="97"/>
      <c r="FX165" s="97"/>
      <c r="FY165" s="97"/>
      <c r="FZ165" s="97"/>
      <c r="GA165" s="97"/>
      <c r="GB165" s="97"/>
      <c r="GC165" s="97"/>
      <c r="GD165" s="97"/>
      <c r="GE165" s="97"/>
      <c r="GF165" s="97"/>
      <c r="GG165" s="97"/>
      <c r="GH165" s="97"/>
      <c r="GI165" s="97"/>
      <c r="GJ165" s="97"/>
      <c r="GK165" s="97"/>
      <c r="GL165" s="97"/>
      <c r="GM165" s="97"/>
      <c r="GN165" s="97"/>
      <c r="GO165" s="97"/>
      <c r="GP165" s="97"/>
      <c r="GQ165" s="97"/>
      <c r="GR165" s="97"/>
      <c r="GS165" s="97"/>
      <c r="GT165" s="97"/>
      <c r="GU165" s="97"/>
      <c r="GV165" s="97"/>
      <c r="GW165" s="97"/>
      <c r="GX165" s="97"/>
      <c r="GY165" s="97"/>
      <c r="GZ165" s="97"/>
      <c r="HA165" s="97"/>
      <c r="HB165" s="97"/>
      <c r="HC165" s="97"/>
      <c r="HD165" s="97"/>
      <c r="HE165" s="97"/>
      <c r="HF165" s="97"/>
      <c r="HG165" s="97"/>
      <c r="HH165" s="97"/>
      <c r="HI165" s="97"/>
      <c r="HJ165" s="97"/>
      <c r="HK165" s="97"/>
      <c r="HL165" s="97"/>
      <c r="HM165" s="97"/>
      <c r="HN165" s="97"/>
      <c r="HO165" s="97"/>
      <c r="HP165" s="97"/>
      <c r="HQ165" s="97"/>
      <c r="HR165" s="97"/>
      <c r="HS165" s="97"/>
      <c r="HT165" s="97"/>
      <c r="HU165" s="97"/>
      <c r="HV165" s="97"/>
      <c r="HW165" s="97"/>
      <c r="HX165" s="97"/>
      <c r="HY165" s="97"/>
      <c r="HZ165" s="97"/>
      <c r="IA165" s="97"/>
      <c r="IB165" s="97"/>
      <c r="IC165" s="97"/>
      <c r="ID165" s="97"/>
      <c r="IE165" s="97"/>
      <c r="IF165" s="97"/>
      <c r="IG165" s="97"/>
      <c r="IH165" s="97"/>
      <c r="II165" s="97"/>
      <c r="IJ165" s="97"/>
      <c r="IK165" s="97"/>
      <c r="IL165" s="97"/>
      <c r="IM165" s="97"/>
      <c r="IN165" s="97"/>
      <c r="IO165" s="97"/>
      <c r="IP165" s="97"/>
      <c r="IQ165" s="97"/>
      <c r="IR165" s="97"/>
      <c r="IS165" s="97"/>
    </row>
    <row r="166" spans="1:253" hidden="1">
      <c r="A166" s="28"/>
      <c r="K166" s="84" t="s">
        <v>77</v>
      </c>
      <c r="L166" s="22">
        <f>SUM(L158:L165)</f>
        <v>0</v>
      </c>
      <c r="M166" s="90">
        <f>SUM(M158:M165)</f>
        <v>0</v>
      </c>
      <c r="N166" s="31">
        <f>SUM(N158:N165)</f>
        <v>0</v>
      </c>
      <c r="O166" s="83">
        <f>SUM(O158:O165)</f>
        <v>0</v>
      </c>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97"/>
      <c r="AO166" s="97"/>
      <c r="AP166" s="97"/>
      <c r="AQ166" s="97"/>
      <c r="AR166" s="97"/>
      <c r="AS166" s="97"/>
      <c r="AT166" s="97"/>
      <c r="AU166" s="97"/>
      <c r="AV166" s="97"/>
      <c r="AW166" s="97"/>
      <c r="AX166" s="97"/>
      <c r="AY166" s="97"/>
      <c r="AZ166" s="97"/>
      <c r="BA166" s="97"/>
      <c r="BB166" s="97"/>
      <c r="BC166" s="97"/>
      <c r="BD166" s="97"/>
      <c r="BE166" s="97"/>
      <c r="BF166" s="97"/>
      <c r="BG166" s="97"/>
      <c r="BH166" s="97"/>
      <c r="BI166" s="97"/>
      <c r="BJ166" s="97"/>
      <c r="BK166" s="97"/>
      <c r="BL166" s="97"/>
      <c r="BM166" s="97"/>
      <c r="BN166" s="97"/>
      <c r="BO166" s="97"/>
      <c r="BP166" s="97"/>
      <c r="BQ166" s="97"/>
      <c r="BR166" s="97"/>
      <c r="BS166" s="97"/>
      <c r="BT166" s="97"/>
      <c r="BU166" s="97"/>
      <c r="BV166" s="97"/>
      <c r="BW166" s="97"/>
      <c r="BX166" s="97"/>
      <c r="BY166" s="97"/>
      <c r="BZ166" s="97"/>
      <c r="CA166" s="97"/>
      <c r="CB166" s="97"/>
      <c r="CC166" s="97"/>
      <c r="CD166" s="97"/>
      <c r="CE166" s="97"/>
      <c r="CF166" s="97"/>
      <c r="CG166" s="97"/>
      <c r="CH166" s="97"/>
      <c r="CI166" s="97"/>
      <c r="CJ166" s="97"/>
      <c r="CK166" s="97"/>
      <c r="CL166" s="97"/>
      <c r="CM166" s="97"/>
      <c r="CN166" s="97"/>
      <c r="CO166" s="97"/>
      <c r="CP166" s="97"/>
      <c r="CQ166" s="97"/>
      <c r="CR166" s="97"/>
      <c r="CS166" s="97"/>
      <c r="CT166" s="97"/>
      <c r="CU166" s="97"/>
      <c r="CV166" s="97"/>
      <c r="CW166" s="97"/>
      <c r="CX166" s="97"/>
      <c r="CY166" s="97"/>
      <c r="CZ166" s="97"/>
      <c r="DA166" s="97"/>
      <c r="DB166" s="97"/>
      <c r="DC166" s="97"/>
      <c r="DD166" s="97"/>
      <c r="DE166" s="97"/>
      <c r="DF166" s="97"/>
      <c r="DG166" s="97"/>
      <c r="DH166" s="97"/>
      <c r="DI166" s="97"/>
      <c r="DJ166" s="97"/>
      <c r="DK166" s="97"/>
      <c r="DL166" s="97"/>
      <c r="DM166" s="97"/>
      <c r="DN166" s="97"/>
      <c r="DO166" s="97"/>
      <c r="DP166" s="97"/>
      <c r="DQ166" s="97"/>
      <c r="DR166" s="97"/>
      <c r="DS166" s="97"/>
      <c r="DT166" s="97"/>
      <c r="DU166" s="97"/>
      <c r="DV166" s="97"/>
      <c r="DW166" s="97"/>
      <c r="DX166" s="97"/>
      <c r="DY166" s="97"/>
      <c r="DZ166" s="97"/>
      <c r="EA166" s="97"/>
      <c r="EB166" s="97"/>
      <c r="EC166" s="97"/>
      <c r="ED166" s="97"/>
      <c r="EE166" s="97"/>
      <c r="EF166" s="97"/>
      <c r="EG166" s="97"/>
      <c r="EH166" s="97"/>
      <c r="EI166" s="97"/>
      <c r="EJ166" s="97"/>
      <c r="EK166" s="97"/>
      <c r="EL166" s="97"/>
      <c r="EM166" s="97"/>
      <c r="EN166" s="97"/>
      <c r="EO166" s="97"/>
      <c r="EP166" s="97"/>
      <c r="EQ166" s="97"/>
      <c r="ER166" s="97"/>
      <c r="ES166" s="97"/>
      <c r="ET166" s="97"/>
      <c r="EU166" s="97"/>
      <c r="EV166" s="97"/>
      <c r="EW166" s="97"/>
      <c r="EX166" s="97"/>
      <c r="EY166" s="97"/>
      <c r="EZ166" s="97"/>
      <c r="FA166" s="97"/>
      <c r="FB166" s="97"/>
      <c r="FC166" s="97"/>
      <c r="FD166" s="97"/>
      <c r="FE166" s="97"/>
      <c r="FF166" s="97"/>
      <c r="FG166" s="97"/>
      <c r="FH166" s="97"/>
      <c r="FI166" s="97"/>
      <c r="FJ166" s="97"/>
      <c r="FK166" s="97"/>
      <c r="FL166" s="97"/>
      <c r="FM166" s="97"/>
      <c r="FN166" s="97"/>
      <c r="FO166" s="97"/>
      <c r="FP166" s="97"/>
      <c r="FQ166" s="97"/>
      <c r="FR166" s="97"/>
      <c r="FS166" s="97"/>
      <c r="FT166" s="97"/>
      <c r="FU166" s="97"/>
      <c r="FV166" s="97"/>
      <c r="FW166" s="97"/>
      <c r="FX166" s="97"/>
      <c r="FY166" s="97"/>
      <c r="FZ166" s="97"/>
      <c r="GA166" s="97"/>
      <c r="GB166" s="97"/>
      <c r="GC166" s="97"/>
      <c r="GD166" s="97"/>
      <c r="GE166" s="97"/>
      <c r="GF166" s="97"/>
      <c r="GG166" s="97"/>
      <c r="GH166" s="97"/>
      <c r="GI166" s="97"/>
      <c r="GJ166" s="97"/>
      <c r="GK166" s="97"/>
      <c r="GL166" s="97"/>
      <c r="GM166" s="97"/>
      <c r="GN166" s="97"/>
      <c r="GO166" s="97"/>
      <c r="GP166" s="97"/>
      <c r="GQ166" s="97"/>
      <c r="GR166" s="97"/>
      <c r="GS166" s="97"/>
      <c r="GT166" s="97"/>
      <c r="GU166" s="97"/>
      <c r="GV166" s="97"/>
      <c r="GW166" s="97"/>
      <c r="GX166" s="97"/>
      <c r="GY166" s="97"/>
      <c r="GZ166" s="97"/>
      <c r="HA166" s="97"/>
      <c r="HB166" s="97"/>
      <c r="HC166" s="97"/>
      <c r="HD166" s="97"/>
      <c r="HE166" s="97"/>
      <c r="HF166" s="97"/>
      <c r="HG166" s="97"/>
      <c r="HH166" s="97"/>
      <c r="HI166" s="97"/>
      <c r="HJ166" s="97"/>
      <c r="HK166" s="97"/>
      <c r="HL166" s="97"/>
      <c r="HM166" s="97"/>
      <c r="HN166" s="97"/>
      <c r="HO166" s="97"/>
      <c r="HP166" s="97"/>
      <c r="HQ166" s="97"/>
      <c r="HR166" s="97"/>
      <c r="HS166" s="97"/>
      <c r="HT166" s="97"/>
      <c r="HU166" s="97"/>
      <c r="HV166" s="97"/>
      <c r="HW166" s="97"/>
      <c r="HX166" s="97"/>
      <c r="HY166" s="97"/>
      <c r="HZ166" s="97"/>
      <c r="IA166" s="97"/>
      <c r="IB166" s="97"/>
      <c r="IC166" s="97"/>
      <c r="ID166" s="97"/>
      <c r="IE166" s="97"/>
      <c r="IF166" s="97"/>
      <c r="IG166" s="97"/>
      <c r="IH166" s="97"/>
      <c r="II166" s="97"/>
      <c r="IJ166" s="97"/>
      <c r="IK166" s="97"/>
      <c r="IL166" s="97"/>
      <c r="IM166" s="97"/>
      <c r="IN166" s="97"/>
      <c r="IO166" s="97"/>
      <c r="IP166" s="97"/>
      <c r="IQ166" s="97"/>
      <c r="IR166" s="97"/>
      <c r="IS166" s="97"/>
    </row>
    <row r="167" spans="1:253" hidden="1">
      <c r="A167" s="28"/>
      <c r="J167" s="86" t="s">
        <v>73</v>
      </c>
      <c r="L167" s="34"/>
      <c r="M167" s="34"/>
      <c r="N167" s="34"/>
      <c r="O167" s="34"/>
      <c r="P167" s="82" t="s">
        <v>76</v>
      </c>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97"/>
      <c r="AY167" s="97"/>
      <c r="AZ167" s="97"/>
      <c r="BA167" s="97"/>
      <c r="BB167" s="97"/>
      <c r="BC167" s="97"/>
      <c r="BD167" s="97"/>
      <c r="BE167" s="97"/>
      <c r="BF167" s="97"/>
      <c r="BG167" s="97"/>
      <c r="BH167" s="97"/>
      <c r="BI167" s="97"/>
      <c r="BJ167" s="97"/>
      <c r="BK167" s="97"/>
      <c r="BL167" s="97"/>
      <c r="BM167" s="97"/>
      <c r="BN167" s="97"/>
      <c r="BO167" s="97"/>
      <c r="BP167" s="97"/>
      <c r="BQ167" s="97"/>
      <c r="BR167" s="97"/>
      <c r="BS167" s="97"/>
      <c r="BT167" s="97"/>
      <c r="BU167" s="97"/>
      <c r="BV167" s="97"/>
      <c r="BW167" s="97"/>
      <c r="BX167" s="97"/>
      <c r="BY167" s="97"/>
      <c r="BZ167" s="97"/>
      <c r="CA167" s="97"/>
      <c r="CB167" s="97"/>
      <c r="CC167" s="97"/>
      <c r="CD167" s="97"/>
      <c r="CE167" s="97"/>
      <c r="CF167" s="97"/>
      <c r="CG167" s="97"/>
      <c r="CH167" s="97"/>
      <c r="CI167" s="97"/>
      <c r="CJ167" s="97"/>
      <c r="CK167" s="97"/>
      <c r="CL167" s="97"/>
      <c r="CM167" s="97"/>
      <c r="CN167" s="97"/>
      <c r="CO167" s="97"/>
      <c r="CP167" s="97"/>
      <c r="CQ167" s="97"/>
      <c r="CR167" s="97"/>
      <c r="CS167" s="97"/>
      <c r="CT167" s="97"/>
      <c r="CU167" s="97"/>
      <c r="CV167" s="97"/>
      <c r="CW167" s="97"/>
      <c r="CX167" s="97"/>
      <c r="CY167" s="97"/>
      <c r="CZ167" s="97"/>
      <c r="DA167" s="97"/>
      <c r="DB167" s="97"/>
      <c r="DC167" s="97"/>
      <c r="DD167" s="97"/>
      <c r="DE167" s="97"/>
      <c r="DF167" s="97"/>
      <c r="DG167" s="97"/>
      <c r="DH167" s="97"/>
      <c r="DI167" s="97"/>
      <c r="DJ167" s="97"/>
      <c r="DK167" s="97"/>
      <c r="DL167" s="97"/>
      <c r="DM167" s="97"/>
      <c r="DN167" s="97"/>
      <c r="DO167" s="97"/>
      <c r="DP167" s="97"/>
      <c r="DQ167" s="97"/>
      <c r="DR167" s="97"/>
      <c r="DS167" s="97"/>
      <c r="DT167" s="97"/>
      <c r="DU167" s="97"/>
      <c r="DV167" s="97"/>
      <c r="DW167" s="97"/>
      <c r="DX167" s="97"/>
      <c r="DY167" s="97"/>
      <c r="DZ167" s="97"/>
      <c r="EA167" s="97"/>
      <c r="EB167" s="97"/>
      <c r="EC167" s="97"/>
      <c r="ED167" s="97"/>
      <c r="EE167" s="97"/>
      <c r="EF167" s="97"/>
      <c r="EG167" s="97"/>
      <c r="EH167" s="97"/>
      <c r="EI167" s="97"/>
      <c r="EJ167" s="97"/>
      <c r="EK167" s="97"/>
      <c r="EL167" s="97"/>
      <c r="EM167" s="97"/>
      <c r="EN167" s="97"/>
      <c r="EO167" s="97"/>
      <c r="EP167" s="97"/>
      <c r="EQ167" s="97"/>
      <c r="ER167" s="97"/>
      <c r="ES167" s="97"/>
      <c r="ET167" s="97"/>
      <c r="EU167" s="97"/>
      <c r="EV167" s="97"/>
      <c r="EW167" s="97"/>
      <c r="EX167" s="97"/>
      <c r="EY167" s="97"/>
      <c r="EZ167" s="97"/>
      <c r="FA167" s="97"/>
      <c r="FB167" s="97"/>
      <c r="FC167" s="97"/>
      <c r="FD167" s="97"/>
      <c r="FE167" s="97"/>
      <c r="FF167" s="97"/>
      <c r="FG167" s="97"/>
      <c r="FH167" s="97"/>
      <c r="FI167" s="97"/>
      <c r="FJ167" s="97"/>
      <c r="FK167" s="97"/>
      <c r="FL167" s="97"/>
      <c r="FM167" s="97"/>
      <c r="FN167" s="97"/>
      <c r="FO167" s="97"/>
      <c r="FP167" s="97"/>
      <c r="FQ167" s="97"/>
      <c r="FR167" s="97"/>
      <c r="FS167" s="97"/>
      <c r="FT167" s="97"/>
      <c r="FU167" s="97"/>
      <c r="FV167" s="97"/>
      <c r="FW167" s="97"/>
      <c r="FX167" s="97"/>
      <c r="FY167" s="97"/>
      <c r="FZ167" s="97"/>
      <c r="GA167" s="97"/>
      <c r="GB167" s="97"/>
      <c r="GC167" s="97"/>
      <c r="GD167" s="97"/>
      <c r="GE167" s="97"/>
      <c r="GF167" s="97"/>
      <c r="GG167" s="97"/>
      <c r="GH167" s="97"/>
      <c r="GI167" s="97"/>
      <c r="GJ167" s="97"/>
      <c r="GK167" s="97"/>
      <c r="GL167" s="97"/>
      <c r="GM167" s="97"/>
      <c r="GN167" s="97"/>
      <c r="GO167" s="97"/>
      <c r="GP167" s="97"/>
      <c r="GQ167" s="97"/>
      <c r="GR167" s="97"/>
      <c r="GS167" s="97"/>
      <c r="GT167" s="97"/>
      <c r="GU167" s="97"/>
      <c r="GV167" s="97"/>
      <c r="GW167" s="97"/>
      <c r="GX167" s="97"/>
      <c r="GY167" s="97"/>
      <c r="GZ167" s="97"/>
      <c r="HA167" s="97"/>
      <c r="HB167" s="97"/>
      <c r="HC167" s="97"/>
      <c r="HD167" s="97"/>
      <c r="HE167" s="97"/>
      <c r="HF167" s="97"/>
      <c r="HG167" s="97"/>
      <c r="HH167" s="97"/>
      <c r="HI167" s="97"/>
      <c r="HJ167" s="97"/>
      <c r="HK167" s="97"/>
      <c r="HL167" s="97"/>
      <c r="HM167" s="97"/>
      <c r="HN167" s="97"/>
      <c r="HO167" s="97"/>
      <c r="HP167" s="97"/>
      <c r="HQ167" s="97"/>
      <c r="HR167" s="97"/>
      <c r="HS167" s="97"/>
      <c r="HT167" s="97"/>
      <c r="HU167" s="97"/>
      <c r="HV167" s="97"/>
      <c r="HW167" s="97"/>
      <c r="HX167" s="97"/>
      <c r="HY167" s="97"/>
      <c r="HZ167" s="97"/>
      <c r="IA167" s="97"/>
      <c r="IB167" s="97"/>
      <c r="IC167" s="97"/>
      <c r="ID167" s="97"/>
      <c r="IE167" s="97"/>
      <c r="IF167" s="97"/>
      <c r="IG167" s="97"/>
      <c r="IH167" s="97"/>
      <c r="II167" s="97"/>
      <c r="IJ167" s="97"/>
      <c r="IK167" s="97"/>
      <c r="IL167" s="97"/>
      <c r="IM167" s="97"/>
      <c r="IN167" s="97"/>
      <c r="IO167" s="97"/>
      <c r="IP167" s="97"/>
      <c r="IQ167" s="97"/>
      <c r="IR167" s="97"/>
      <c r="IS167" s="97"/>
    </row>
    <row r="168" spans="1:253" hidden="1">
      <c r="A168" s="28"/>
      <c r="J168" s="6">
        <v>105</v>
      </c>
      <c r="K168" s="19" t="str">
        <f>'Data Export'!B106</f>
        <v/>
      </c>
      <c r="L168" s="22" t="str">
        <f>IF(K168="", "", 'Hot Food Holding Cabinets'!S8)</f>
        <v/>
      </c>
      <c r="M168" s="22" t="str">
        <f>IF(K168="", "", 'Hot Food Holding Cabinets'!T8)</f>
        <v/>
      </c>
      <c r="N168" s="6" t="str">
        <f>IF(K168="", "", 'Hot Food Holding Cabinets'!J8)</f>
        <v/>
      </c>
      <c r="O168" s="83" t="str">
        <f>IF(K168="", "", 'Hot Food Holding Cabinets'!U8)</f>
        <v/>
      </c>
      <c r="P168" s="6" t="str">
        <f t="shared" ref="P168:P175" si="13">IF(K168="","",CONCATENATE($C$10,J168))</f>
        <v/>
      </c>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97"/>
      <c r="AY168" s="97"/>
      <c r="AZ168" s="97"/>
      <c r="BA168" s="97"/>
      <c r="BB168" s="97"/>
      <c r="BC168" s="97"/>
      <c r="BD168" s="97"/>
      <c r="BE168" s="97"/>
      <c r="BF168" s="97"/>
      <c r="BG168" s="97"/>
      <c r="BH168" s="97"/>
      <c r="BI168" s="97"/>
      <c r="BJ168" s="97"/>
      <c r="BK168" s="97"/>
      <c r="BL168" s="97"/>
      <c r="BM168" s="97"/>
      <c r="BN168" s="97"/>
      <c r="BO168" s="97"/>
      <c r="BP168" s="97"/>
      <c r="BQ168" s="97"/>
      <c r="BR168" s="97"/>
      <c r="BS168" s="97"/>
      <c r="BT168" s="97"/>
      <c r="BU168" s="97"/>
      <c r="BV168" s="97"/>
      <c r="BW168" s="97"/>
      <c r="BX168" s="97"/>
      <c r="BY168" s="97"/>
      <c r="BZ168" s="97"/>
      <c r="CA168" s="97"/>
      <c r="CB168" s="97"/>
      <c r="CC168" s="97"/>
      <c r="CD168" s="97"/>
      <c r="CE168" s="97"/>
      <c r="CF168" s="97"/>
      <c r="CG168" s="97"/>
      <c r="CH168" s="97"/>
      <c r="CI168" s="97"/>
      <c r="CJ168" s="97"/>
      <c r="CK168" s="97"/>
      <c r="CL168" s="97"/>
      <c r="CM168" s="97"/>
      <c r="CN168" s="97"/>
      <c r="CO168" s="97"/>
      <c r="CP168" s="97"/>
      <c r="CQ168" s="97"/>
      <c r="CR168" s="97"/>
      <c r="CS168" s="97"/>
      <c r="CT168" s="97"/>
      <c r="CU168" s="97"/>
      <c r="CV168" s="97"/>
      <c r="CW168" s="97"/>
      <c r="CX168" s="97"/>
      <c r="CY168" s="97"/>
      <c r="CZ168" s="97"/>
      <c r="DA168" s="97"/>
      <c r="DB168" s="97"/>
      <c r="DC168" s="97"/>
      <c r="DD168" s="97"/>
      <c r="DE168" s="97"/>
      <c r="DF168" s="97"/>
      <c r="DG168" s="97"/>
      <c r="DH168" s="97"/>
      <c r="DI168" s="97"/>
      <c r="DJ168" s="97"/>
      <c r="DK168" s="97"/>
      <c r="DL168" s="97"/>
      <c r="DM168" s="97"/>
      <c r="DN168" s="97"/>
      <c r="DO168" s="97"/>
      <c r="DP168" s="97"/>
      <c r="DQ168" s="97"/>
      <c r="DR168" s="97"/>
      <c r="DS168" s="97"/>
      <c r="DT168" s="97"/>
      <c r="DU168" s="97"/>
      <c r="DV168" s="97"/>
      <c r="DW168" s="97"/>
      <c r="DX168" s="97"/>
      <c r="DY168" s="97"/>
      <c r="DZ168" s="97"/>
      <c r="EA168" s="97"/>
      <c r="EB168" s="97"/>
      <c r="EC168" s="97"/>
      <c r="ED168" s="97"/>
      <c r="EE168" s="97"/>
      <c r="EF168" s="97"/>
      <c r="EG168" s="97"/>
      <c r="EH168" s="97"/>
      <c r="EI168" s="97"/>
      <c r="EJ168" s="97"/>
      <c r="EK168" s="97"/>
      <c r="EL168" s="97"/>
      <c r="EM168" s="97"/>
      <c r="EN168" s="97"/>
      <c r="EO168" s="97"/>
      <c r="EP168" s="97"/>
      <c r="EQ168" s="97"/>
      <c r="ER168" s="97"/>
      <c r="ES168" s="97"/>
      <c r="ET168" s="97"/>
      <c r="EU168" s="97"/>
      <c r="EV168" s="97"/>
      <c r="EW168" s="97"/>
      <c r="EX168" s="97"/>
      <c r="EY168" s="97"/>
      <c r="EZ168" s="97"/>
      <c r="FA168" s="97"/>
      <c r="FB168" s="97"/>
      <c r="FC168" s="97"/>
      <c r="FD168" s="97"/>
      <c r="FE168" s="97"/>
      <c r="FF168" s="97"/>
      <c r="FG168" s="97"/>
      <c r="FH168" s="97"/>
      <c r="FI168" s="97"/>
      <c r="FJ168" s="97"/>
      <c r="FK168" s="97"/>
      <c r="FL168" s="97"/>
      <c r="FM168" s="97"/>
      <c r="FN168" s="97"/>
      <c r="FO168" s="97"/>
      <c r="FP168" s="97"/>
      <c r="FQ168" s="97"/>
      <c r="FR168" s="97"/>
      <c r="FS168" s="97"/>
      <c r="FT168" s="97"/>
      <c r="FU168" s="97"/>
      <c r="FV168" s="97"/>
      <c r="FW168" s="97"/>
      <c r="FX168" s="97"/>
      <c r="FY168" s="97"/>
      <c r="FZ168" s="97"/>
      <c r="GA168" s="97"/>
      <c r="GB168" s="97"/>
      <c r="GC168" s="97"/>
      <c r="GD168" s="97"/>
      <c r="GE168" s="97"/>
      <c r="GF168" s="97"/>
      <c r="GG168" s="97"/>
      <c r="GH168" s="97"/>
      <c r="GI168" s="97"/>
      <c r="GJ168" s="97"/>
      <c r="GK168" s="97"/>
      <c r="GL168" s="97"/>
      <c r="GM168" s="97"/>
      <c r="GN168" s="97"/>
      <c r="GO168" s="97"/>
      <c r="GP168" s="97"/>
      <c r="GQ168" s="97"/>
      <c r="GR168" s="97"/>
      <c r="GS168" s="97"/>
      <c r="GT168" s="97"/>
      <c r="GU168" s="97"/>
      <c r="GV168" s="97"/>
      <c r="GW168" s="97"/>
      <c r="GX168" s="97"/>
      <c r="GY168" s="97"/>
      <c r="GZ168" s="97"/>
      <c r="HA168" s="97"/>
      <c r="HB168" s="97"/>
      <c r="HC168" s="97"/>
      <c r="HD168" s="97"/>
      <c r="HE168" s="97"/>
      <c r="HF168" s="97"/>
      <c r="HG168" s="97"/>
      <c r="HH168" s="97"/>
      <c r="HI168" s="97"/>
      <c r="HJ168" s="97"/>
      <c r="HK168" s="97"/>
      <c r="HL168" s="97"/>
      <c r="HM168" s="97"/>
      <c r="HN168" s="97"/>
      <c r="HO168" s="97"/>
      <c r="HP168" s="97"/>
      <c r="HQ168" s="97"/>
      <c r="HR168" s="97"/>
      <c r="HS168" s="97"/>
      <c r="HT168" s="97"/>
      <c r="HU168" s="97"/>
      <c r="HV168" s="97"/>
      <c r="HW168" s="97"/>
      <c r="HX168" s="97"/>
      <c r="HY168" s="97"/>
      <c r="HZ168" s="97"/>
      <c r="IA168" s="97"/>
      <c r="IB168" s="97"/>
      <c r="IC168" s="97"/>
      <c r="ID168" s="97"/>
      <c r="IE168" s="97"/>
      <c r="IF168" s="97"/>
      <c r="IG168" s="97"/>
      <c r="IH168" s="97"/>
      <c r="II168" s="97"/>
      <c r="IJ168" s="97"/>
      <c r="IK168" s="97"/>
      <c r="IL168" s="97"/>
      <c r="IM168" s="97"/>
      <c r="IN168" s="97"/>
      <c r="IO168" s="97"/>
      <c r="IP168" s="97"/>
      <c r="IQ168" s="97"/>
      <c r="IR168" s="97"/>
      <c r="IS168" s="97"/>
    </row>
    <row r="169" spans="1:253" hidden="1">
      <c r="A169" s="28"/>
      <c r="J169" s="6">
        <v>106</v>
      </c>
      <c r="K169" s="19" t="str">
        <f>'Data Export'!B107</f>
        <v/>
      </c>
      <c r="L169" s="22" t="str">
        <f>IF(K169="", "", 'Hot Food Holding Cabinets'!S9)</f>
        <v/>
      </c>
      <c r="M169" s="22" t="str">
        <f>IF(K169="", "", 'Hot Food Holding Cabinets'!T9)</f>
        <v/>
      </c>
      <c r="N169" s="6" t="str">
        <f>IF(K169="", "", 'Hot Food Holding Cabinets'!J9)</f>
        <v/>
      </c>
      <c r="O169" s="83" t="str">
        <f>IF(K169="", "", 'Hot Food Holding Cabinets'!U9)</f>
        <v/>
      </c>
      <c r="P169" s="6" t="str">
        <f t="shared" si="13"/>
        <v/>
      </c>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7"/>
      <c r="AY169" s="97"/>
      <c r="AZ169" s="97"/>
      <c r="BA169" s="97"/>
      <c r="BB169" s="97"/>
      <c r="BC169" s="97"/>
      <c r="BD169" s="97"/>
      <c r="BE169" s="97"/>
      <c r="BF169" s="97"/>
      <c r="BG169" s="97"/>
      <c r="BH169" s="97"/>
      <c r="BI169" s="97"/>
      <c r="BJ169" s="97"/>
      <c r="BK169" s="97"/>
      <c r="BL169" s="97"/>
      <c r="BM169" s="97"/>
      <c r="BN169" s="97"/>
      <c r="BO169" s="97"/>
      <c r="BP169" s="97"/>
      <c r="BQ169" s="97"/>
      <c r="BR169" s="97"/>
      <c r="BS169" s="97"/>
      <c r="BT169" s="97"/>
      <c r="BU169" s="97"/>
      <c r="BV169" s="97"/>
      <c r="BW169" s="97"/>
      <c r="BX169" s="97"/>
      <c r="BY169" s="97"/>
      <c r="BZ169" s="97"/>
      <c r="CA169" s="97"/>
      <c r="CB169" s="97"/>
      <c r="CC169" s="97"/>
      <c r="CD169" s="97"/>
      <c r="CE169" s="97"/>
      <c r="CF169" s="97"/>
      <c r="CG169" s="97"/>
      <c r="CH169" s="97"/>
      <c r="CI169" s="97"/>
      <c r="CJ169" s="97"/>
      <c r="CK169" s="97"/>
      <c r="CL169" s="97"/>
      <c r="CM169" s="97"/>
      <c r="CN169" s="97"/>
      <c r="CO169" s="97"/>
      <c r="CP169" s="97"/>
      <c r="CQ169" s="97"/>
      <c r="CR169" s="97"/>
      <c r="CS169" s="97"/>
      <c r="CT169" s="97"/>
      <c r="CU169" s="97"/>
      <c r="CV169" s="97"/>
      <c r="CW169" s="97"/>
      <c r="CX169" s="97"/>
      <c r="CY169" s="97"/>
      <c r="CZ169" s="97"/>
      <c r="DA169" s="97"/>
      <c r="DB169" s="97"/>
      <c r="DC169" s="97"/>
      <c r="DD169" s="97"/>
      <c r="DE169" s="97"/>
      <c r="DF169" s="97"/>
      <c r="DG169" s="97"/>
      <c r="DH169" s="97"/>
      <c r="DI169" s="97"/>
      <c r="DJ169" s="97"/>
      <c r="DK169" s="97"/>
      <c r="DL169" s="97"/>
      <c r="DM169" s="97"/>
      <c r="DN169" s="97"/>
      <c r="DO169" s="97"/>
      <c r="DP169" s="97"/>
      <c r="DQ169" s="97"/>
      <c r="DR169" s="97"/>
      <c r="DS169" s="97"/>
      <c r="DT169" s="97"/>
      <c r="DU169" s="97"/>
      <c r="DV169" s="97"/>
      <c r="DW169" s="97"/>
      <c r="DX169" s="97"/>
      <c r="DY169" s="97"/>
      <c r="DZ169" s="97"/>
      <c r="EA169" s="97"/>
      <c r="EB169" s="97"/>
      <c r="EC169" s="97"/>
      <c r="ED169" s="97"/>
      <c r="EE169" s="97"/>
      <c r="EF169" s="97"/>
      <c r="EG169" s="97"/>
      <c r="EH169" s="97"/>
      <c r="EI169" s="97"/>
      <c r="EJ169" s="97"/>
      <c r="EK169" s="97"/>
      <c r="EL169" s="97"/>
      <c r="EM169" s="97"/>
      <c r="EN169" s="97"/>
      <c r="EO169" s="97"/>
      <c r="EP169" s="97"/>
      <c r="EQ169" s="97"/>
      <c r="ER169" s="97"/>
      <c r="ES169" s="97"/>
      <c r="ET169" s="97"/>
      <c r="EU169" s="97"/>
      <c r="EV169" s="97"/>
      <c r="EW169" s="97"/>
      <c r="EX169" s="97"/>
      <c r="EY169" s="97"/>
      <c r="EZ169" s="97"/>
      <c r="FA169" s="97"/>
      <c r="FB169" s="97"/>
      <c r="FC169" s="97"/>
      <c r="FD169" s="97"/>
      <c r="FE169" s="97"/>
      <c r="FF169" s="97"/>
      <c r="FG169" s="97"/>
      <c r="FH169" s="97"/>
      <c r="FI169" s="97"/>
      <c r="FJ169" s="97"/>
      <c r="FK169" s="97"/>
      <c r="FL169" s="97"/>
      <c r="FM169" s="97"/>
      <c r="FN169" s="97"/>
      <c r="FO169" s="97"/>
      <c r="FP169" s="97"/>
      <c r="FQ169" s="97"/>
      <c r="FR169" s="97"/>
      <c r="FS169" s="97"/>
      <c r="FT169" s="97"/>
      <c r="FU169" s="97"/>
      <c r="FV169" s="97"/>
      <c r="FW169" s="97"/>
      <c r="FX169" s="97"/>
      <c r="FY169" s="97"/>
      <c r="FZ169" s="97"/>
      <c r="GA169" s="97"/>
      <c r="GB169" s="97"/>
      <c r="GC169" s="97"/>
      <c r="GD169" s="97"/>
      <c r="GE169" s="97"/>
      <c r="GF169" s="97"/>
      <c r="GG169" s="97"/>
      <c r="GH169" s="97"/>
      <c r="GI169" s="97"/>
      <c r="GJ169" s="97"/>
      <c r="GK169" s="97"/>
      <c r="GL169" s="97"/>
      <c r="GM169" s="97"/>
      <c r="GN169" s="97"/>
      <c r="GO169" s="97"/>
      <c r="GP169" s="97"/>
      <c r="GQ169" s="97"/>
      <c r="GR169" s="97"/>
      <c r="GS169" s="97"/>
      <c r="GT169" s="97"/>
      <c r="GU169" s="97"/>
      <c r="GV169" s="97"/>
      <c r="GW169" s="97"/>
      <c r="GX169" s="97"/>
      <c r="GY169" s="97"/>
      <c r="GZ169" s="97"/>
      <c r="HA169" s="97"/>
      <c r="HB169" s="97"/>
      <c r="HC169" s="97"/>
      <c r="HD169" s="97"/>
      <c r="HE169" s="97"/>
      <c r="HF169" s="97"/>
      <c r="HG169" s="97"/>
      <c r="HH169" s="97"/>
      <c r="HI169" s="97"/>
      <c r="HJ169" s="97"/>
      <c r="HK169" s="97"/>
      <c r="HL169" s="97"/>
      <c r="HM169" s="97"/>
      <c r="HN169" s="97"/>
      <c r="HO169" s="97"/>
      <c r="HP169" s="97"/>
      <c r="HQ169" s="97"/>
      <c r="HR169" s="97"/>
      <c r="HS169" s="97"/>
      <c r="HT169" s="97"/>
      <c r="HU169" s="97"/>
      <c r="HV169" s="97"/>
      <c r="HW169" s="97"/>
      <c r="HX169" s="97"/>
      <c r="HY169" s="97"/>
      <c r="HZ169" s="97"/>
      <c r="IA169" s="97"/>
      <c r="IB169" s="97"/>
      <c r="IC169" s="97"/>
      <c r="ID169" s="97"/>
      <c r="IE169" s="97"/>
      <c r="IF169" s="97"/>
      <c r="IG169" s="97"/>
      <c r="IH169" s="97"/>
      <c r="II169" s="97"/>
      <c r="IJ169" s="97"/>
      <c r="IK169" s="97"/>
      <c r="IL169" s="97"/>
      <c r="IM169" s="97"/>
      <c r="IN169" s="97"/>
      <c r="IO169" s="97"/>
      <c r="IP169" s="97"/>
      <c r="IQ169" s="97"/>
      <c r="IR169" s="97"/>
      <c r="IS169" s="97"/>
    </row>
    <row r="170" spans="1:253" hidden="1">
      <c r="A170" s="28"/>
      <c r="J170" s="6">
        <v>107</v>
      </c>
      <c r="K170" s="19" t="str">
        <f>'Data Export'!B108</f>
        <v/>
      </c>
      <c r="L170" s="22" t="str">
        <f>IF(K170="", "", 'Hot Food Holding Cabinets'!S10)</f>
        <v/>
      </c>
      <c r="M170" s="22" t="str">
        <f>IF(K170="", "", 'Hot Food Holding Cabinets'!T10)</f>
        <v/>
      </c>
      <c r="N170" s="6" t="str">
        <f>IF(K170="", "", 'Hot Food Holding Cabinets'!J10)</f>
        <v/>
      </c>
      <c r="O170" s="83" t="str">
        <f>IF(K170="", "", 'Hot Food Holding Cabinets'!U10)</f>
        <v/>
      </c>
      <c r="P170" s="6" t="str">
        <f t="shared" si="13"/>
        <v/>
      </c>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97"/>
      <c r="AY170" s="97"/>
      <c r="AZ170" s="97"/>
      <c r="BA170" s="97"/>
      <c r="BB170" s="97"/>
      <c r="BC170" s="97"/>
      <c r="BD170" s="97"/>
      <c r="BE170" s="97"/>
      <c r="BF170" s="97"/>
      <c r="BG170" s="97"/>
      <c r="BH170" s="97"/>
      <c r="BI170" s="97"/>
      <c r="BJ170" s="97"/>
      <c r="BK170" s="97"/>
      <c r="BL170" s="97"/>
      <c r="BM170" s="97"/>
      <c r="BN170" s="97"/>
      <c r="BO170" s="97"/>
      <c r="BP170" s="97"/>
      <c r="BQ170" s="97"/>
      <c r="BR170" s="97"/>
      <c r="BS170" s="97"/>
      <c r="BT170" s="97"/>
      <c r="BU170" s="97"/>
      <c r="BV170" s="97"/>
      <c r="BW170" s="97"/>
      <c r="BX170" s="97"/>
      <c r="BY170" s="97"/>
      <c r="BZ170" s="97"/>
      <c r="CA170" s="97"/>
      <c r="CB170" s="97"/>
      <c r="CC170" s="97"/>
      <c r="CD170" s="97"/>
      <c r="CE170" s="97"/>
      <c r="CF170" s="97"/>
      <c r="CG170" s="97"/>
      <c r="CH170" s="97"/>
      <c r="CI170" s="97"/>
      <c r="CJ170" s="97"/>
      <c r="CK170" s="97"/>
      <c r="CL170" s="97"/>
      <c r="CM170" s="97"/>
      <c r="CN170" s="97"/>
      <c r="CO170" s="97"/>
      <c r="CP170" s="97"/>
      <c r="CQ170" s="97"/>
      <c r="CR170" s="97"/>
      <c r="CS170" s="97"/>
      <c r="CT170" s="97"/>
      <c r="CU170" s="97"/>
      <c r="CV170" s="97"/>
      <c r="CW170" s="97"/>
      <c r="CX170" s="97"/>
      <c r="CY170" s="97"/>
      <c r="CZ170" s="97"/>
      <c r="DA170" s="97"/>
      <c r="DB170" s="97"/>
      <c r="DC170" s="97"/>
      <c r="DD170" s="97"/>
      <c r="DE170" s="97"/>
      <c r="DF170" s="97"/>
      <c r="DG170" s="97"/>
      <c r="DH170" s="97"/>
      <c r="DI170" s="97"/>
      <c r="DJ170" s="97"/>
      <c r="DK170" s="97"/>
      <c r="DL170" s="97"/>
      <c r="DM170" s="97"/>
      <c r="DN170" s="97"/>
      <c r="DO170" s="97"/>
      <c r="DP170" s="97"/>
      <c r="DQ170" s="97"/>
      <c r="DR170" s="97"/>
      <c r="DS170" s="97"/>
      <c r="DT170" s="97"/>
      <c r="DU170" s="97"/>
      <c r="DV170" s="97"/>
      <c r="DW170" s="97"/>
      <c r="DX170" s="97"/>
      <c r="DY170" s="97"/>
      <c r="DZ170" s="97"/>
      <c r="EA170" s="97"/>
      <c r="EB170" s="97"/>
      <c r="EC170" s="97"/>
      <c r="ED170" s="97"/>
      <c r="EE170" s="97"/>
      <c r="EF170" s="97"/>
      <c r="EG170" s="97"/>
      <c r="EH170" s="97"/>
      <c r="EI170" s="97"/>
      <c r="EJ170" s="97"/>
      <c r="EK170" s="97"/>
      <c r="EL170" s="97"/>
      <c r="EM170" s="97"/>
      <c r="EN170" s="97"/>
      <c r="EO170" s="97"/>
      <c r="EP170" s="97"/>
      <c r="EQ170" s="97"/>
      <c r="ER170" s="97"/>
      <c r="ES170" s="97"/>
      <c r="ET170" s="97"/>
      <c r="EU170" s="97"/>
      <c r="EV170" s="97"/>
      <c r="EW170" s="97"/>
      <c r="EX170" s="97"/>
      <c r="EY170" s="97"/>
      <c r="EZ170" s="97"/>
      <c r="FA170" s="97"/>
      <c r="FB170" s="97"/>
      <c r="FC170" s="97"/>
      <c r="FD170" s="97"/>
      <c r="FE170" s="97"/>
      <c r="FF170" s="97"/>
      <c r="FG170" s="97"/>
      <c r="FH170" s="97"/>
      <c r="FI170" s="97"/>
      <c r="FJ170" s="97"/>
      <c r="FK170" s="97"/>
      <c r="FL170" s="97"/>
      <c r="FM170" s="97"/>
      <c r="FN170" s="97"/>
      <c r="FO170" s="97"/>
      <c r="FP170" s="97"/>
      <c r="FQ170" s="97"/>
      <c r="FR170" s="97"/>
      <c r="FS170" s="97"/>
      <c r="FT170" s="97"/>
      <c r="FU170" s="97"/>
      <c r="FV170" s="97"/>
      <c r="FW170" s="97"/>
      <c r="FX170" s="97"/>
      <c r="FY170" s="97"/>
      <c r="FZ170" s="97"/>
      <c r="GA170" s="97"/>
      <c r="GB170" s="97"/>
      <c r="GC170" s="97"/>
      <c r="GD170" s="97"/>
      <c r="GE170" s="97"/>
      <c r="GF170" s="97"/>
      <c r="GG170" s="97"/>
      <c r="GH170" s="97"/>
      <c r="GI170" s="97"/>
      <c r="GJ170" s="97"/>
      <c r="GK170" s="97"/>
      <c r="GL170" s="97"/>
      <c r="GM170" s="97"/>
      <c r="GN170" s="97"/>
      <c r="GO170" s="97"/>
      <c r="GP170" s="97"/>
      <c r="GQ170" s="97"/>
      <c r="GR170" s="97"/>
      <c r="GS170" s="97"/>
      <c r="GT170" s="97"/>
      <c r="GU170" s="97"/>
      <c r="GV170" s="97"/>
      <c r="GW170" s="97"/>
      <c r="GX170" s="97"/>
      <c r="GY170" s="97"/>
      <c r="GZ170" s="97"/>
      <c r="HA170" s="97"/>
      <c r="HB170" s="97"/>
      <c r="HC170" s="97"/>
      <c r="HD170" s="97"/>
      <c r="HE170" s="97"/>
      <c r="HF170" s="97"/>
      <c r="HG170" s="97"/>
      <c r="HH170" s="97"/>
      <c r="HI170" s="97"/>
      <c r="HJ170" s="97"/>
      <c r="HK170" s="97"/>
      <c r="HL170" s="97"/>
      <c r="HM170" s="97"/>
      <c r="HN170" s="97"/>
      <c r="HO170" s="97"/>
      <c r="HP170" s="97"/>
      <c r="HQ170" s="97"/>
      <c r="HR170" s="97"/>
      <c r="HS170" s="97"/>
      <c r="HT170" s="97"/>
      <c r="HU170" s="97"/>
      <c r="HV170" s="97"/>
      <c r="HW170" s="97"/>
      <c r="HX170" s="97"/>
      <c r="HY170" s="97"/>
      <c r="HZ170" s="97"/>
      <c r="IA170" s="97"/>
      <c r="IB170" s="97"/>
      <c r="IC170" s="97"/>
      <c r="ID170" s="97"/>
      <c r="IE170" s="97"/>
      <c r="IF170" s="97"/>
      <c r="IG170" s="97"/>
      <c r="IH170" s="97"/>
      <c r="II170" s="97"/>
      <c r="IJ170" s="97"/>
      <c r="IK170" s="97"/>
      <c r="IL170" s="97"/>
      <c r="IM170" s="97"/>
      <c r="IN170" s="97"/>
      <c r="IO170" s="97"/>
      <c r="IP170" s="97"/>
      <c r="IQ170" s="97"/>
      <c r="IR170" s="97"/>
      <c r="IS170" s="97"/>
    </row>
    <row r="171" spans="1:253" hidden="1">
      <c r="A171" s="28"/>
      <c r="J171" s="6">
        <v>108</v>
      </c>
      <c r="K171" s="19" t="str">
        <f>'Data Export'!B109</f>
        <v/>
      </c>
      <c r="L171" s="22" t="str">
        <f>IF(K171="", "", 'Hot Food Holding Cabinets'!S11)</f>
        <v/>
      </c>
      <c r="M171" s="22" t="str">
        <f>IF(K171="", "", 'Hot Food Holding Cabinets'!T11)</f>
        <v/>
      </c>
      <c r="N171" s="6" t="str">
        <f>IF(K171="", "", 'Hot Food Holding Cabinets'!J11)</f>
        <v/>
      </c>
      <c r="O171" s="83" t="str">
        <f>IF(K171="", "", 'Hot Food Holding Cabinets'!U11)</f>
        <v/>
      </c>
      <c r="P171" s="6" t="str">
        <f t="shared" si="13"/>
        <v/>
      </c>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c r="AQ171" s="97"/>
      <c r="AR171" s="97"/>
      <c r="AS171" s="97"/>
      <c r="AT171" s="97"/>
      <c r="AU171" s="97"/>
      <c r="AV171" s="97"/>
      <c r="AW171" s="97"/>
      <c r="AX171" s="97"/>
      <c r="AY171" s="97"/>
      <c r="AZ171" s="97"/>
      <c r="BA171" s="97"/>
      <c r="BB171" s="97"/>
      <c r="BC171" s="97"/>
      <c r="BD171" s="97"/>
      <c r="BE171" s="97"/>
      <c r="BF171" s="97"/>
      <c r="BG171" s="97"/>
      <c r="BH171" s="97"/>
      <c r="BI171" s="97"/>
      <c r="BJ171" s="97"/>
      <c r="BK171" s="97"/>
      <c r="BL171" s="97"/>
      <c r="BM171" s="97"/>
      <c r="BN171" s="97"/>
      <c r="BO171" s="97"/>
      <c r="BP171" s="97"/>
      <c r="BQ171" s="97"/>
      <c r="BR171" s="97"/>
      <c r="BS171" s="97"/>
      <c r="BT171" s="97"/>
      <c r="BU171" s="97"/>
      <c r="BV171" s="97"/>
      <c r="BW171" s="97"/>
      <c r="BX171" s="97"/>
      <c r="BY171" s="97"/>
      <c r="BZ171" s="97"/>
      <c r="CA171" s="97"/>
      <c r="CB171" s="97"/>
      <c r="CC171" s="97"/>
      <c r="CD171" s="97"/>
      <c r="CE171" s="97"/>
      <c r="CF171" s="97"/>
      <c r="CG171" s="97"/>
      <c r="CH171" s="97"/>
      <c r="CI171" s="97"/>
      <c r="CJ171" s="97"/>
      <c r="CK171" s="97"/>
      <c r="CL171" s="97"/>
      <c r="CM171" s="97"/>
      <c r="CN171" s="97"/>
      <c r="CO171" s="97"/>
      <c r="CP171" s="97"/>
      <c r="CQ171" s="97"/>
      <c r="CR171" s="97"/>
      <c r="CS171" s="97"/>
      <c r="CT171" s="97"/>
      <c r="CU171" s="97"/>
      <c r="CV171" s="97"/>
      <c r="CW171" s="97"/>
      <c r="CX171" s="97"/>
      <c r="CY171" s="97"/>
      <c r="CZ171" s="97"/>
      <c r="DA171" s="97"/>
      <c r="DB171" s="97"/>
      <c r="DC171" s="97"/>
      <c r="DD171" s="97"/>
      <c r="DE171" s="97"/>
      <c r="DF171" s="97"/>
      <c r="DG171" s="97"/>
      <c r="DH171" s="97"/>
      <c r="DI171" s="97"/>
      <c r="DJ171" s="97"/>
      <c r="DK171" s="97"/>
      <c r="DL171" s="97"/>
      <c r="DM171" s="97"/>
      <c r="DN171" s="97"/>
      <c r="DO171" s="97"/>
      <c r="DP171" s="97"/>
      <c r="DQ171" s="97"/>
      <c r="DR171" s="97"/>
      <c r="DS171" s="97"/>
      <c r="DT171" s="97"/>
      <c r="DU171" s="97"/>
      <c r="DV171" s="97"/>
      <c r="DW171" s="97"/>
      <c r="DX171" s="97"/>
      <c r="DY171" s="97"/>
      <c r="DZ171" s="97"/>
      <c r="EA171" s="97"/>
      <c r="EB171" s="97"/>
      <c r="EC171" s="97"/>
      <c r="ED171" s="97"/>
      <c r="EE171" s="97"/>
      <c r="EF171" s="97"/>
      <c r="EG171" s="97"/>
      <c r="EH171" s="97"/>
      <c r="EI171" s="97"/>
      <c r="EJ171" s="97"/>
      <c r="EK171" s="97"/>
      <c r="EL171" s="97"/>
      <c r="EM171" s="97"/>
      <c r="EN171" s="97"/>
      <c r="EO171" s="97"/>
      <c r="EP171" s="97"/>
      <c r="EQ171" s="97"/>
      <c r="ER171" s="97"/>
      <c r="ES171" s="97"/>
      <c r="ET171" s="97"/>
      <c r="EU171" s="97"/>
      <c r="EV171" s="97"/>
      <c r="EW171" s="97"/>
      <c r="EX171" s="97"/>
      <c r="EY171" s="97"/>
      <c r="EZ171" s="97"/>
      <c r="FA171" s="97"/>
      <c r="FB171" s="97"/>
      <c r="FC171" s="97"/>
      <c r="FD171" s="97"/>
      <c r="FE171" s="97"/>
      <c r="FF171" s="97"/>
      <c r="FG171" s="97"/>
      <c r="FH171" s="97"/>
      <c r="FI171" s="97"/>
      <c r="FJ171" s="97"/>
      <c r="FK171" s="97"/>
      <c r="FL171" s="97"/>
      <c r="FM171" s="97"/>
      <c r="FN171" s="97"/>
      <c r="FO171" s="97"/>
      <c r="FP171" s="97"/>
      <c r="FQ171" s="97"/>
      <c r="FR171" s="97"/>
      <c r="FS171" s="97"/>
      <c r="FT171" s="97"/>
      <c r="FU171" s="97"/>
      <c r="FV171" s="97"/>
      <c r="FW171" s="97"/>
      <c r="FX171" s="97"/>
      <c r="FY171" s="97"/>
      <c r="FZ171" s="97"/>
      <c r="GA171" s="97"/>
      <c r="GB171" s="97"/>
      <c r="GC171" s="97"/>
      <c r="GD171" s="97"/>
      <c r="GE171" s="97"/>
      <c r="GF171" s="97"/>
      <c r="GG171" s="97"/>
      <c r="GH171" s="97"/>
      <c r="GI171" s="97"/>
      <c r="GJ171" s="97"/>
      <c r="GK171" s="97"/>
      <c r="GL171" s="97"/>
      <c r="GM171" s="97"/>
      <c r="GN171" s="97"/>
      <c r="GO171" s="97"/>
      <c r="GP171" s="97"/>
      <c r="GQ171" s="97"/>
      <c r="GR171" s="97"/>
      <c r="GS171" s="97"/>
      <c r="GT171" s="97"/>
      <c r="GU171" s="97"/>
      <c r="GV171" s="97"/>
      <c r="GW171" s="97"/>
      <c r="GX171" s="97"/>
      <c r="GY171" s="97"/>
      <c r="GZ171" s="97"/>
      <c r="HA171" s="97"/>
      <c r="HB171" s="97"/>
      <c r="HC171" s="97"/>
      <c r="HD171" s="97"/>
      <c r="HE171" s="97"/>
      <c r="HF171" s="97"/>
      <c r="HG171" s="97"/>
      <c r="HH171" s="97"/>
      <c r="HI171" s="97"/>
      <c r="HJ171" s="97"/>
      <c r="HK171" s="97"/>
      <c r="HL171" s="97"/>
      <c r="HM171" s="97"/>
      <c r="HN171" s="97"/>
      <c r="HO171" s="97"/>
      <c r="HP171" s="97"/>
      <c r="HQ171" s="97"/>
      <c r="HR171" s="97"/>
      <c r="HS171" s="97"/>
      <c r="HT171" s="97"/>
      <c r="HU171" s="97"/>
      <c r="HV171" s="97"/>
      <c r="HW171" s="97"/>
      <c r="HX171" s="97"/>
      <c r="HY171" s="97"/>
      <c r="HZ171" s="97"/>
      <c r="IA171" s="97"/>
      <c r="IB171" s="97"/>
      <c r="IC171" s="97"/>
      <c r="ID171" s="97"/>
      <c r="IE171" s="97"/>
      <c r="IF171" s="97"/>
      <c r="IG171" s="97"/>
      <c r="IH171" s="97"/>
      <c r="II171" s="97"/>
      <c r="IJ171" s="97"/>
      <c r="IK171" s="97"/>
      <c r="IL171" s="97"/>
      <c r="IM171" s="97"/>
      <c r="IN171" s="97"/>
      <c r="IO171" s="97"/>
      <c r="IP171" s="97"/>
      <c r="IQ171" s="97"/>
      <c r="IR171" s="97"/>
      <c r="IS171" s="97"/>
    </row>
    <row r="172" spans="1:253" hidden="1">
      <c r="A172" s="28"/>
      <c r="J172" s="6">
        <v>109</v>
      </c>
      <c r="K172" s="19" t="str">
        <f>'Data Export'!B110</f>
        <v/>
      </c>
      <c r="L172" s="22" t="str">
        <f>IF(K172="", "", 'Hot Food Holding Cabinets'!S12)</f>
        <v/>
      </c>
      <c r="M172" s="22" t="str">
        <f>IF(K172="", "", 'Hot Food Holding Cabinets'!T12)</f>
        <v/>
      </c>
      <c r="N172" s="6" t="str">
        <f>IF(K172="", "", 'Hot Food Holding Cabinets'!J12)</f>
        <v/>
      </c>
      <c r="O172" s="83" t="str">
        <f>IF(K172="", "", 'Hot Food Holding Cabinets'!U12)</f>
        <v/>
      </c>
      <c r="P172" s="6" t="str">
        <f t="shared" si="13"/>
        <v/>
      </c>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c r="AQ172" s="97"/>
      <c r="AR172" s="97"/>
      <c r="AS172" s="97"/>
      <c r="AT172" s="97"/>
      <c r="AU172" s="97"/>
      <c r="AV172" s="97"/>
      <c r="AW172" s="97"/>
      <c r="AX172" s="97"/>
      <c r="AY172" s="97"/>
      <c r="AZ172" s="97"/>
      <c r="BA172" s="97"/>
      <c r="BB172" s="97"/>
      <c r="BC172" s="97"/>
      <c r="BD172" s="97"/>
      <c r="BE172" s="97"/>
      <c r="BF172" s="97"/>
      <c r="BG172" s="97"/>
      <c r="BH172" s="97"/>
      <c r="BI172" s="97"/>
      <c r="BJ172" s="97"/>
      <c r="BK172" s="97"/>
      <c r="BL172" s="97"/>
      <c r="BM172" s="97"/>
      <c r="BN172" s="97"/>
      <c r="BO172" s="97"/>
      <c r="BP172" s="97"/>
      <c r="BQ172" s="97"/>
      <c r="BR172" s="97"/>
      <c r="BS172" s="97"/>
      <c r="BT172" s="97"/>
      <c r="BU172" s="97"/>
      <c r="BV172" s="97"/>
      <c r="BW172" s="97"/>
      <c r="BX172" s="97"/>
      <c r="BY172" s="97"/>
      <c r="BZ172" s="97"/>
      <c r="CA172" s="97"/>
      <c r="CB172" s="97"/>
      <c r="CC172" s="97"/>
      <c r="CD172" s="97"/>
      <c r="CE172" s="97"/>
      <c r="CF172" s="97"/>
      <c r="CG172" s="97"/>
      <c r="CH172" s="97"/>
      <c r="CI172" s="97"/>
      <c r="CJ172" s="97"/>
      <c r="CK172" s="97"/>
      <c r="CL172" s="97"/>
      <c r="CM172" s="97"/>
      <c r="CN172" s="97"/>
      <c r="CO172" s="97"/>
      <c r="CP172" s="97"/>
      <c r="CQ172" s="97"/>
      <c r="CR172" s="97"/>
      <c r="CS172" s="97"/>
      <c r="CT172" s="97"/>
      <c r="CU172" s="97"/>
      <c r="CV172" s="97"/>
      <c r="CW172" s="97"/>
      <c r="CX172" s="97"/>
      <c r="CY172" s="97"/>
      <c r="CZ172" s="97"/>
      <c r="DA172" s="97"/>
      <c r="DB172" s="97"/>
      <c r="DC172" s="97"/>
      <c r="DD172" s="97"/>
      <c r="DE172" s="97"/>
      <c r="DF172" s="97"/>
      <c r="DG172" s="97"/>
      <c r="DH172" s="97"/>
      <c r="DI172" s="97"/>
      <c r="DJ172" s="97"/>
      <c r="DK172" s="97"/>
      <c r="DL172" s="97"/>
      <c r="DM172" s="97"/>
      <c r="DN172" s="97"/>
      <c r="DO172" s="97"/>
      <c r="DP172" s="97"/>
      <c r="DQ172" s="97"/>
      <c r="DR172" s="97"/>
      <c r="DS172" s="97"/>
      <c r="DT172" s="97"/>
      <c r="DU172" s="97"/>
      <c r="DV172" s="97"/>
      <c r="DW172" s="97"/>
      <c r="DX172" s="97"/>
      <c r="DY172" s="97"/>
      <c r="DZ172" s="97"/>
      <c r="EA172" s="97"/>
      <c r="EB172" s="97"/>
      <c r="EC172" s="97"/>
      <c r="ED172" s="97"/>
      <c r="EE172" s="97"/>
      <c r="EF172" s="97"/>
      <c r="EG172" s="97"/>
      <c r="EH172" s="97"/>
      <c r="EI172" s="97"/>
      <c r="EJ172" s="97"/>
      <c r="EK172" s="97"/>
      <c r="EL172" s="97"/>
      <c r="EM172" s="97"/>
      <c r="EN172" s="97"/>
      <c r="EO172" s="97"/>
      <c r="EP172" s="97"/>
      <c r="EQ172" s="97"/>
      <c r="ER172" s="97"/>
      <c r="ES172" s="97"/>
      <c r="ET172" s="97"/>
      <c r="EU172" s="97"/>
      <c r="EV172" s="97"/>
      <c r="EW172" s="97"/>
      <c r="EX172" s="97"/>
      <c r="EY172" s="97"/>
      <c r="EZ172" s="97"/>
      <c r="FA172" s="97"/>
      <c r="FB172" s="97"/>
      <c r="FC172" s="97"/>
      <c r="FD172" s="97"/>
      <c r="FE172" s="97"/>
      <c r="FF172" s="97"/>
      <c r="FG172" s="97"/>
      <c r="FH172" s="97"/>
      <c r="FI172" s="97"/>
      <c r="FJ172" s="97"/>
      <c r="FK172" s="97"/>
      <c r="FL172" s="97"/>
      <c r="FM172" s="97"/>
      <c r="FN172" s="97"/>
      <c r="FO172" s="97"/>
      <c r="FP172" s="97"/>
      <c r="FQ172" s="97"/>
      <c r="FR172" s="97"/>
      <c r="FS172" s="97"/>
      <c r="FT172" s="97"/>
      <c r="FU172" s="97"/>
      <c r="FV172" s="97"/>
      <c r="FW172" s="97"/>
      <c r="FX172" s="97"/>
      <c r="FY172" s="97"/>
      <c r="FZ172" s="97"/>
      <c r="GA172" s="97"/>
      <c r="GB172" s="97"/>
      <c r="GC172" s="97"/>
      <c r="GD172" s="97"/>
      <c r="GE172" s="97"/>
      <c r="GF172" s="97"/>
      <c r="GG172" s="97"/>
      <c r="GH172" s="97"/>
      <c r="GI172" s="97"/>
      <c r="GJ172" s="97"/>
      <c r="GK172" s="97"/>
      <c r="GL172" s="97"/>
      <c r="GM172" s="97"/>
      <c r="GN172" s="97"/>
      <c r="GO172" s="97"/>
      <c r="GP172" s="97"/>
      <c r="GQ172" s="97"/>
      <c r="GR172" s="97"/>
      <c r="GS172" s="97"/>
      <c r="GT172" s="97"/>
      <c r="GU172" s="97"/>
      <c r="GV172" s="97"/>
      <c r="GW172" s="97"/>
      <c r="GX172" s="97"/>
      <c r="GY172" s="97"/>
      <c r="GZ172" s="97"/>
      <c r="HA172" s="97"/>
      <c r="HB172" s="97"/>
      <c r="HC172" s="97"/>
      <c r="HD172" s="97"/>
      <c r="HE172" s="97"/>
      <c r="HF172" s="97"/>
      <c r="HG172" s="97"/>
      <c r="HH172" s="97"/>
      <c r="HI172" s="97"/>
      <c r="HJ172" s="97"/>
      <c r="HK172" s="97"/>
      <c r="HL172" s="97"/>
      <c r="HM172" s="97"/>
      <c r="HN172" s="97"/>
      <c r="HO172" s="97"/>
      <c r="HP172" s="97"/>
      <c r="HQ172" s="97"/>
      <c r="HR172" s="97"/>
      <c r="HS172" s="97"/>
      <c r="HT172" s="97"/>
      <c r="HU172" s="97"/>
      <c r="HV172" s="97"/>
      <c r="HW172" s="97"/>
      <c r="HX172" s="97"/>
      <c r="HY172" s="97"/>
      <c r="HZ172" s="97"/>
      <c r="IA172" s="97"/>
      <c r="IB172" s="97"/>
      <c r="IC172" s="97"/>
      <c r="ID172" s="97"/>
      <c r="IE172" s="97"/>
      <c r="IF172" s="97"/>
      <c r="IG172" s="97"/>
      <c r="IH172" s="97"/>
      <c r="II172" s="97"/>
      <c r="IJ172" s="97"/>
      <c r="IK172" s="97"/>
      <c r="IL172" s="97"/>
      <c r="IM172" s="97"/>
      <c r="IN172" s="97"/>
      <c r="IO172" s="97"/>
      <c r="IP172" s="97"/>
      <c r="IQ172" s="97"/>
      <c r="IR172" s="97"/>
      <c r="IS172" s="97"/>
    </row>
    <row r="173" spans="1:253" hidden="1">
      <c r="A173" s="28"/>
      <c r="J173" s="6">
        <v>110</v>
      </c>
      <c r="K173" s="19" t="str">
        <f>'Data Export'!B111</f>
        <v/>
      </c>
      <c r="L173" s="22" t="str">
        <f>IF(K173="", "", 'Hot Food Holding Cabinets'!S13)</f>
        <v/>
      </c>
      <c r="M173" s="22" t="str">
        <f>IF(K173="", "", 'Hot Food Holding Cabinets'!T13)</f>
        <v/>
      </c>
      <c r="N173" s="6" t="str">
        <f>IF(K173="", "", 'Hot Food Holding Cabinets'!J13)</f>
        <v/>
      </c>
      <c r="O173" s="83" t="str">
        <f>IF(K173="", "", 'Hot Food Holding Cabinets'!U13)</f>
        <v/>
      </c>
      <c r="P173" s="6" t="str">
        <f t="shared" si="13"/>
        <v/>
      </c>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c r="AQ173" s="97"/>
      <c r="AR173" s="97"/>
      <c r="AS173" s="97"/>
      <c r="AT173" s="97"/>
      <c r="AU173" s="97"/>
      <c r="AV173" s="97"/>
      <c r="AW173" s="97"/>
      <c r="AX173" s="97"/>
      <c r="AY173" s="97"/>
      <c r="AZ173" s="97"/>
      <c r="BA173" s="97"/>
      <c r="BB173" s="97"/>
      <c r="BC173" s="97"/>
      <c r="BD173" s="97"/>
      <c r="BE173" s="97"/>
      <c r="BF173" s="97"/>
      <c r="BG173" s="97"/>
      <c r="BH173" s="97"/>
      <c r="BI173" s="97"/>
      <c r="BJ173" s="97"/>
      <c r="BK173" s="97"/>
      <c r="BL173" s="97"/>
      <c r="BM173" s="97"/>
      <c r="BN173" s="97"/>
      <c r="BO173" s="97"/>
      <c r="BP173" s="97"/>
      <c r="BQ173" s="97"/>
      <c r="BR173" s="97"/>
      <c r="BS173" s="97"/>
      <c r="BT173" s="97"/>
      <c r="BU173" s="97"/>
      <c r="BV173" s="97"/>
      <c r="BW173" s="97"/>
      <c r="BX173" s="97"/>
      <c r="BY173" s="97"/>
      <c r="BZ173" s="97"/>
      <c r="CA173" s="97"/>
      <c r="CB173" s="97"/>
      <c r="CC173" s="97"/>
      <c r="CD173" s="97"/>
      <c r="CE173" s="97"/>
      <c r="CF173" s="97"/>
      <c r="CG173" s="97"/>
      <c r="CH173" s="97"/>
      <c r="CI173" s="97"/>
      <c r="CJ173" s="97"/>
      <c r="CK173" s="97"/>
      <c r="CL173" s="97"/>
      <c r="CM173" s="97"/>
      <c r="CN173" s="97"/>
      <c r="CO173" s="97"/>
      <c r="CP173" s="97"/>
      <c r="CQ173" s="97"/>
      <c r="CR173" s="97"/>
      <c r="CS173" s="97"/>
      <c r="CT173" s="97"/>
      <c r="CU173" s="97"/>
      <c r="CV173" s="97"/>
      <c r="CW173" s="97"/>
      <c r="CX173" s="97"/>
      <c r="CY173" s="97"/>
      <c r="CZ173" s="97"/>
      <c r="DA173" s="97"/>
      <c r="DB173" s="97"/>
      <c r="DC173" s="97"/>
      <c r="DD173" s="97"/>
      <c r="DE173" s="97"/>
      <c r="DF173" s="97"/>
      <c r="DG173" s="97"/>
      <c r="DH173" s="97"/>
      <c r="DI173" s="97"/>
      <c r="DJ173" s="97"/>
      <c r="DK173" s="97"/>
      <c r="DL173" s="97"/>
      <c r="DM173" s="97"/>
      <c r="DN173" s="97"/>
      <c r="DO173" s="97"/>
      <c r="DP173" s="97"/>
      <c r="DQ173" s="97"/>
      <c r="DR173" s="97"/>
      <c r="DS173" s="97"/>
      <c r="DT173" s="97"/>
      <c r="DU173" s="97"/>
      <c r="DV173" s="97"/>
      <c r="DW173" s="97"/>
      <c r="DX173" s="97"/>
      <c r="DY173" s="97"/>
      <c r="DZ173" s="97"/>
      <c r="EA173" s="97"/>
      <c r="EB173" s="97"/>
      <c r="EC173" s="97"/>
      <c r="ED173" s="97"/>
      <c r="EE173" s="97"/>
      <c r="EF173" s="97"/>
      <c r="EG173" s="97"/>
      <c r="EH173" s="97"/>
      <c r="EI173" s="97"/>
      <c r="EJ173" s="97"/>
      <c r="EK173" s="97"/>
      <c r="EL173" s="97"/>
      <c r="EM173" s="97"/>
      <c r="EN173" s="97"/>
      <c r="EO173" s="97"/>
      <c r="EP173" s="97"/>
      <c r="EQ173" s="97"/>
      <c r="ER173" s="97"/>
      <c r="ES173" s="97"/>
      <c r="ET173" s="97"/>
      <c r="EU173" s="97"/>
      <c r="EV173" s="97"/>
      <c r="EW173" s="97"/>
      <c r="EX173" s="97"/>
      <c r="EY173" s="97"/>
      <c r="EZ173" s="97"/>
      <c r="FA173" s="97"/>
      <c r="FB173" s="97"/>
      <c r="FC173" s="97"/>
      <c r="FD173" s="97"/>
      <c r="FE173" s="97"/>
      <c r="FF173" s="97"/>
      <c r="FG173" s="97"/>
      <c r="FH173" s="97"/>
      <c r="FI173" s="97"/>
      <c r="FJ173" s="97"/>
      <c r="FK173" s="97"/>
      <c r="FL173" s="97"/>
      <c r="FM173" s="97"/>
      <c r="FN173" s="97"/>
      <c r="FO173" s="97"/>
      <c r="FP173" s="97"/>
      <c r="FQ173" s="97"/>
      <c r="FR173" s="97"/>
      <c r="FS173" s="97"/>
      <c r="FT173" s="97"/>
      <c r="FU173" s="97"/>
      <c r="FV173" s="97"/>
      <c r="FW173" s="97"/>
      <c r="FX173" s="97"/>
      <c r="FY173" s="97"/>
      <c r="FZ173" s="97"/>
      <c r="GA173" s="97"/>
      <c r="GB173" s="97"/>
      <c r="GC173" s="97"/>
      <c r="GD173" s="97"/>
      <c r="GE173" s="97"/>
      <c r="GF173" s="97"/>
      <c r="GG173" s="97"/>
      <c r="GH173" s="97"/>
      <c r="GI173" s="97"/>
      <c r="GJ173" s="97"/>
      <c r="GK173" s="97"/>
      <c r="GL173" s="97"/>
      <c r="GM173" s="97"/>
      <c r="GN173" s="97"/>
      <c r="GO173" s="97"/>
      <c r="GP173" s="97"/>
      <c r="GQ173" s="97"/>
      <c r="GR173" s="97"/>
      <c r="GS173" s="97"/>
      <c r="GT173" s="97"/>
      <c r="GU173" s="97"/>
      <c r="GV173" s="97"/>
      <c r="GW173" s="97"/>
      <c r="GX173" s="97"/>
      <c r="GY173" s="97"/>
      <c r="GZ173" s="97"/>
      <c r="HA173" s="97"/>
      <c r="HB173" s="97"/>
      <c r="HC173" s="97"/>
      <c r="HD173" s="97"/>
      <c r="HE173" s="97"/>
      <c r="HF173" s="97"/>
      <c r="HG173" s="97"/>
      <c r="HH173" s="97"/>
      <c r="HI173" s="97"/>
      <c r="HJ173" s="97"/>
      <c r="HK173" s="97"/>
      <c r="HL173" s="97"/>
      <c r="HM173" s="97"/>
      <c r="HN173" s="97"/>
      <c r="HO173" s="97"/>
      <c r="HP173" s="97"/>
      <c r="HQ173" s="97"/>
      <c r="HR173" s="97"/>
      <c r="HS173" s="97"/>
      <c r="HT173" s="97"/>
      <c r="HU173" s="97"/>
      <c r="HV173" s="97"/>
      <c r="HW173" s="97"/>
      <c r="HX173" s="97"/>
      <c r="HY173" s="97"/>
      <c r="HZ173" s="97"/>
      <c r="IA173" s="97"/>
      <c r="IB173" s="97"/>
      <c r="IC173" s="97"/>
      <c r="ID173" s="97"/>
      <c r="IE173" s="97"/>
      <c r="IF173" s="97"/>
      <c r="IG173" s="97"/>
      <c r="IH173" s="97"/>
      <c r="II173" s="97"/>
      <c r="IJ173" s="97"/>
      <c r="IK173" s="97"/>
      <c r="IL173" s="97"/>
      <c r="IM173" s="97"/>
      <c r="IN173" s="97"/>
      <c r="IO173" s="97"/>
      <c r="IP173" s="97"/>
      <c r="IQ173" s="97"/>
      <c r="IR173" s="97"/>
      <c r="IS173" s="97"/>
    </row>
    <row r="174" spans="1:253" hidden="1">
      <c r="A174" s="28"/>
      <c r="J174" s="6">
        <v>111</v>
      </c>
      <c r="K174" s="19" t="str">
        <f>'Data Export'!B112</f>
        <v/>
      </c>
      <c r="L174" s="22" t="str">
        <f>IF(K174="", "", 'Hot Food Holding Cabinets'!S14)</f>
        <v/>
      </c>
      <c r="M174" s="22" t="str">
        <f>IF(K174="", "", 'Hot Food Holding Cabinets'!T14)</f>
        <v/>
      </c>
      <c r="N174" s="6" t="str">
        <f>IF(K174="", "", 'Hot Food Holding Cabinets'!J14)</f>
        <v/>
      </c>
      <c r="O174" s="83" t="str">
        <f>IF(K174="", "", 'Hot Food Holding Cabinets'!U14)</f>
        <v/>
      </c>
      <c r="P174" s="6" t="str">
        <f t="shared" si="13"/>
        <v/>
      </c>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97"/>
      <c r="AO174" s="97"/>
      <c r="AP174" s="97"/>
      <c r="AQ174" s="97"/>
      <c r="AR174" s="97"/>
      <c r="AS174" s="97"/>
      <c r="AT174" s="97"/>
      <c r="AU174" s="97"/>
      <c r="AV174" s="97"/>
      <c r="AW174" s="97"/>
      <c r="AX174" s="97"/>
      <c r="AY174" s="97"/>
      <c r="AZ174" s="97"/>
      <c r="BA174" s="97"/>
      <c r="BB174" s="97"/>
      <c r="BC174" s="97"/>
      <c r="BD174" s="97"/>
      <c r="BE174" s="97"/>
      <c r="BF174" s="97"/>
      <c r="BG174" s="97"/>
      <c r="BH174" s="97"/>
      <c r="BI174" s="97"/>
      <c r="BJ174" s="97"/>
      <c r="BK174" s="97"/>
      <c r="BL174" s="97"/>
      <c r="BM174" s="97"/>
      <c r="BN174" s="97"/>
      <c r="BO174" s="97"/>
      <c r="BP174" s="97"/>
      <c r="BQ174" s="97"/>
      <c r="BR174" s="97"/>
      <c r="BS174" s="97"/>
      <c r="BT174" s="97"/>
      <c r="BU174" s="97"/>
      <c r="BV174" s="97"/>
      <c r="BW174" s="97"/>
      <c r="BX174" s="97"/>
      <c r="BY174" s="97"/>
      <c r="BZ174" s="97"/>
      <c r="CA174" s="97"/>
      <c r="CB174" s="97"/>
      <c r="CC174" s="97"/>
      <c r="CD174" s="97"/>
      <c r="CE174" s="97"/>
      <c r="CF174" s="97"/>
      <c r="CG174" s="97"/>
      <c r="CH174" s="97"/>
      <c r="CI174" s="97"/>
      <c r="CJ174" s="97"/>
      <c r="CK174" s="97"/>
      <c r="CL174" s="97"/>
      <c r="CM174" s="97"/>
      <c r="CN174" s="97"/>
      <c r="CO174" s="97"/>
      <c r="CP174" s="97"/>
      <c r="CQ174" s="97"/>
      <c r="CR174" s="97"/>
      <c r="CS174" s="97"/>
      <c r="CT174" s="97"/>
      <c r="CU174" s="97"/>
      <c r="CV174" s="97"/>
      <c r="CW174" s="97"/>
      <c r="CX174" s="97"/>
      <c r="CY174" s="97"/>
      <c r="CZ174" s="97"/>
      <c r="DA174" s="97"/>
      <c r="DB174" s="97"/>
      <c r="DC174" s="97"/>
      <c r="DD174" s="97"/>
      <c r="DE174" s="97"/>
      <c r="DF174" s="97"/>
      <c r="DG174" s="97"/>
      <c r="DH174" s="97"/>
      <c r="DI174" s="97"/>
      <c r="DJ174" s="97"/>
      <c r="DK174" s="97"/>
      <c r="DL174" s="97"/>
      <c r="DM174" s="97"/>
      <c r="DN174" s="97"/>
      <c r="DO174" s="97"/>
      <c r="DP174" s="97"/>
      <c r="DQ174" s="97"/>
      <c r="DR174" s="97"/>
      <c r="DS174" s="97"/>
      <c r="DT174" s="97"/>
      <c r="DU174" s="97"/>
      <c r="DV174" s="97"/>
      <c r="DW174" s="97"/>
      <c r="DX174" s="97"/>
      <c r="DY174" s="97"/>
      <c r="DZ174" s="97"/>
      <c r="EA174" s="97"/>
      <c r="EB174" s="97"/>
      <c r="EC174" s="97"/>
      <c r="ED174" s="97"/>
      <c r="EE174" s="97"/>
      <c r="EF174" s="97"/>
      <c r="EG174" s="97"/>
      <c r="EH174" s="97"/>
      <c r="EI174" s="97"/>
      <c r="EJ174" s="97"/>
      <c r="EK174" s="97"/>
      <c r="EL174" s="97"/>
      <c r="EM174" s="97"/>
      <c r="EN174" s="97"/>
      <c r="EO174" s="97"/>
      <c r="EP174" s="97"/>
      <c r="EQ174" s="97"/>
      <c r="ER174" s="97"/>
      <c r="ES174" s="97"/>
      <c r="ET174" s="97"/>
      <c r="EU174" s="97"/>
      <c r="EV174" s="97"/>
      <c r="EW174" s="97"/>
      <c r="EX174" s="97"/>
      <c r="EY174" s="97"/>
      <c r="EZ174" s="97"/>
      <c r="FA174" s="97"/>
      <c r="FB174" s="97"/>
      <c r="FC174" s="97"/>
      <c r="FD174" s="97"/>
      <c r="FE174" s="97"/>
      <c r="FF174" s="97"/>
      <c r="FG174" s="97"/>
      <c r="FH174" s="97"/>
      <c r="FI174" s="97"/>
      <c r="FJ174" s="97"/>
      <c r="FK174" s="97"/>
      <c r="FL174" s="97"/>
      <c r="FM174" s="97"/>
      <c r="FN174" s="97"/>
      <c r="FO174" s="97"/>
      <c r="FP174" s="97"/>
      <c r="FQ174" s="97"/>
      <c r="FR174" s="97"/>
      <c r="FS174" s="97"/>
      <c r="FT174" s="97"/>
      <c r="FU174" s="97"/>
      <c r="FV174" s="97"/>
      <c r="FW174" s="97"/>
      <c r="FX174" s="97"/>
      <c r="FY174" s="97"/>
      <c r="FZ174" s="97"/>
      <c r="GA174" s="97"/>
      <c r="GB174" s="97"/>
      <c r="GC174" s="97"/>
      <c r="GD174" s="97"/>
      <c r="GE174" s="97"/>
      <c r="GF174" s="97"/>
      <c r="GG174" s="97"/>
      <c r="GH174" s="97"/>
      <c r="GI174" s="97"/>
      <c r="GJ174" s="97"/>
      <c r="GK174" s="97"/>
      <c r="GL174" s="97"/>
      <c r="GM174" s="97"/>
      <c r="GN174" s="97"/>
      <c r="GO174" s="97"/>
      <c r="GP174" s="97"/>
      <c r="GQ174" s="97"/>
      <c r="GR174" s="97"/>
      <c r="GS174" s="97"/>
      <c r="GT174" s="97"/>
      <c r="GU174" s="97"/>
      <c r="GV174" s="97"/>
      <c r="GW174" s="97"/>
      <c r="GX174" s="97"/>
      <c r="GY174" s="97"/>
      <c r="GZ174" s="97"/>
      <c r="HA174" s="97"/>
      <c r="HB174" s="97"/>
      <c r="HC174" s="97"/>
      <c r="HD174" s="97"/>
      <c r="HE174" s="97"/>
      <c r="HF174" s="97"/>
      <c r="HG174" s="97"/>
      <c r="HH174" s="97"/>
      <c r="HI174" s="97"/>
      <c r="HJ174" s="97"/>
      <c r="HK174" s="97"/>
      <c r="HL174" s="97"/>
      <c r="HM174" s="97"/>
      <c r="HN174" s="97"/>
      <c r="HO174" s="97"/>
      <c r="HP174" s="97"/>
      <c r="HQ174" s="97"/>
      <c r="HR174" s="97"/>
      <c r="HS174" s="97"/>
      <c r="HT174" s="97"/>
      <c r="HU174" s="97"/>
      <c r="HV174" s="97"/>
      <c r="HW174" s="97"/>
      <c r="HX174" s="97"/>
      <c r="HY174" s="97"/>
      <c r="HZ174" s="97"/>
      <c r="IA174" s="97"/>
      <c r="IB174" s="97"/>
      <c r="IC174" s="97"/>
      <c r="ID174" s="97"/>
      <c r="IE174" s="97"/>
      <c r="IF174" s="97"/>
      <c r="IG174" s="97"/>
      <c r="IH174" s="97"/>
      <c r="II174" s="97"/>
      <c r="IJ174" s="97"/>
      <c r="IK174" s="97"/>
      <c r="IL174" s="97"/>
      <c r="IM174" s="97"/>
      <c r="IN174" s="97"/>
      <c r="IO174" s="97"/>
      <c r="IP174" s="97"/>
      <c r="IQ174" s="97"/>
      <c r="IR174" s="97"/>
      <c r="IS174" s="97"/>
    </row>
    <row r="175" spans="1:253" hidden="1">
      <c r="A175" s="28"/>
      <c r="J175" s="6">
        <v>112</v>
      </c>
      <c r="K175" s="19" t="str">
        <f>'Data Export'!B113</f>
        <v/>
      </c>
      <c r="L175" s="22" t="str">
        <f>IF(K175="", "", 'Hot Food Holding Cabinets'!S15)</f>
        <v/>
      </c>
      <c r="M175" s="22" t="str">
        <f>IF(K175="", "", 'Hot Food Holding Cabinets'!T15)</f>
        <v/>
      </c>
      <c r="N175" s="6" t="str">
        <f>IF(K175="", "", 'Hot Food Holding Cabinets'!J15)</f>
        <v/>
      </c>
      <c r="O175" s="83" t="str">
        <f>IF(K175="", "", 'Hot Food Holding Cabinets'!U15)</f>
        <v/>
      </c>
      <c r="P175" s="6" t="str">
        <f t="shared" si="13"/>
        <v/>
      </c>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97"/>
      <c r="AO175" s="97"/>
      <c r="AP175" s="97"/>
      <c r="AQ175" s="97"/>
      <c r="AR175" s="97"/>
      <c r="AS175" s="97"/>
      <c r="AT175" s="97"/>
      <c r="AU175" s="97"/>
      <c r="AV175" s="97"/>
      <c r="AW175" s="97"/>
      <c r="AX175" s="97"/>
      <c r="AY175" s="97"/>
      <c r="AZ175" s="97"/>
      <c r="BA175" s="97"/>
      <c r="BB175" s="97"/>
      <c r="BC175" s="97"/>
      <c r="BD175" s="97"/>
      <c r="BE175" s="97"/>
      <c r="BF175" s="97"/>
      <c r="BG175" s="97"/>
      <c r="BH175" s="97"/>
      <c r="BI175" s="97"/>
      <c r="BJ175" s="97"/>
      <c r="BK175" s="97"/>
      <c r="BL175" s="97"/>
      <c r="BM175" s="97"/>
      <c r="BN175" s="97"/>
      <c r="BO175" s="97"/>
      <c r="BP175" s="97"/>
      <c r="BQ175" s="97"/>
      <c r="BR175" s="97"/>
      <c r="BS175" s="97"/>
      <c r="BT175" s="97"/>
      <c r="BU175" s="97"/>
      <c r="BV175" s="97"/>
      <c r="BW175" s="97"/>
      <c r="BX175" s="97"/>
      <c r="BY175" s="97"/>
      <c r="BZ175" s="97"/>
      <c r="CA175" s="97"/>
      <c r="CB175" s="97"/>
      <c r="CC175" s="97"/>
      <c r="CD175" s="97"/>
      <c r="CE175" s="97"/>
      <c r="CF175" s="97"/>
      <c r="CG175" s="97"/>
      <c r="CH175" s="97"/>
      <c r="CI175" s="97"/>
      <c r="CJ175" s="97"/>
      <c r="CK175" s="97"/>
      <c r="CL175" s="97"/>
      <c r="CM175" s="97"/>
      <c r="CN175" s="97"/>
      <c r="CO175" s="97"/>
      <c r="CP175" s="97"/>
      <c r="CQ175" s="97"/>
      <c r="CR175" s="97"/>
      <c r="CS175" s="97"/>
      <c r="CT175" s="97"/>
      <c r="CU175" s="97"/>
      <c r="CV175" s="97"/>
      <c r="CW175" s="97"/>
      <c r="CX175" s="97"/>
      <c r="CY175" s="97"/>
      <c r="CZ175" s="97"/>
      <c r="DA175" s="97"/>
      <c r="DB175" s="97"/>
      <c r="DC175" s="97"/>
      <c r="DD175" s="97"/>
      <c r="DE175" s="97"/>
      <c r="DF175" s="97"/>
      <c r="DG175" s="97"/>
      <c r="DH175" s="97"/>
      <c r="DI175" s="97"/>
      <c r="DJ175" s="97"/>
      <c r="DK175" s="97"/>
      <c r="DL175" s="97"/>
      <c r="DM175" s="97"/>
      <c r="DN175" s="97"/>
      <c r="DO175" s="97"/>
      <c r="DP175" s="97"/>
      <c r="DQ175" s="97"/>
      <c r="DR175" s="97"/>
      <c r="DS175" s="97"/>
      <c r="DT175" s="97"/>
      <c r="DU175" s="97"/>
      <c r="DV175" s="97"/>
      <c r="DW175" s="97"/>
      <c r="DX175" s="97"/>
      <c r="DY175" s="97"/>
      <c r="DZ175" s="97"/>
      <c r="EA175" s="97"/>
      <c r="EB175" s="97"/>
      <c r="EC175" s="97"/>
      <c r="ED175" s="97"/>
      <c r="EE175" s="97"/>
      <c r="EF175" s="97"/>
      <c r="EG175" s="97"/>
      <c r="EH175" s="97"/>
      <c r="EI175" s="97"/>
      <c r="EJ175" s="97"/>
      <c r="EK175" s="97"/>
      <c r="EL175" s="97"/>
      <c r="EM175" s="97"/>
      <c r="EN175" s="97"/>
      <c r="EO175" s="97"/>
      <c r="EP175" s="97"/>
      <c r="EQ175" s="97"/>
      <c r="ER175" s="97"/>
      <c r="ES175" s="97"/>
      <c r="ET175" s="97"/>
      <c r="EU175" s="97"/>
      <c r="EV175" s="97"/>
      <c r="EW175" s="97"/>
      <c r="EX175" s="97"/>
      <c r="EY175" s="97"/>
      <c r="EZ175" s="97"/>
      <c r="FA175" s="97"/>
      <c r="FB175" s="97"/>
      <c r="FC175" s="97"/>
      <c r="FD175" s="97"/>
      <c r="FE175" s="97"/>
      <c r="FF175" s="97"/>
      <c r="FG175" s="97"/>
      <c r="FH175" s="97"/>
      <c r="FI175" s="97"/>
      <c r="FJ175" s="97"/>
      <c r="FK175" s="97"/>
      <c r="FL175" s="97"/>
      <c r="FM175" s="97"/>
      <c r="FN175" s="97"/>
      <c r="FO175" s="97"/>
      <c r="FP175" s="97"/>
      <c r="FQ175" s="97"/>
      <c r="FR175" s="97"/>
      <c r="FS175" s="97"/>
      <c r="FT175" s="97"/>
      <c r="FU175" s="97"/>
      <c r="FV175" s="97"/>
      <c r="FW175" s="97"/>
      <c r="FX175" s="97"/>
      <c r="FY175" s="97"/>
      <c r="FZ175" s="97"/>
      <c r="GA175" s="97"/>
      <c r="GB175" s="97"/>
      <c r="GC175" s="97"/>
      <c r="GD175" s="97"/>
      <c r="GE175" s="97"/>
      <c r="GF175" s="97"/>
      <c r="GG175" s="97"/>
      <c r="GH175" s="97"/>
      <c r="GI175" s="97"/>
      <c r="GJ175" s="97"/>
      <c r="GK175" s="97"/>
      <c r="GL175" s="97"/>
      <c r="GM175" s="97"/>
      <c r="GN175" s="97"/>
      <c r="GO175" s="97"/>
      <c r="GP175" s="97"/>
      <c r="GQ175" s="97"/>
      <c r="GR175" s="97"/>
      <c r="GS175" s="97"/>
      <c r="GT175" s="97"/>
      <c r="GU175" s="97"/>
      <c r="GV175" s="97"/>
      <c r="GW175" s="97"/>
      <c r="GX175" s="97"/>
      <c r="GY175" s="97"/>
      <c r="GZ175" s="97"/>
      <c r="HA175" s="97"/>
      <c r="HB175" s="97"/>
      <c r="HC175" s="97"/>
      <c r="HD175" s="97"/>
      <c r="HE175" s="97"/>
      <c r="HF175" s="97"/>
      <c r="HG175" s="97"/>
      <c r="HH175" s="97"/>
      <c r="HI175" s="97"/>
      <c r="HJ175" s="97"/>
      <c r="HK175" s="97"/>
      <c r="HL175" s="97"/>
      <c r="HM175" s="97"/>
      <c r="HN175" s="97"/>
      <c r="HO175" s="97"/>
      <c r="HP175" s="97"/>
      <c r="HQ175" s="97"/>
      <c r="HR175" s="97"/>
      <c r="HS175" s="97"/>
      <c r="HT175" s="97"/>
      <c r="HU175" s="97"/>
      <c r="HV175" s="97"/>
      <c r="HW175" s="97"/>
      <c r="HX175" s="97"/>
      <c r="HY175" s="97"/>
      <c r="HZ175" s="97"/>
      <c r="IA175" s="97"/>
      <c r="IB175" s="97"/>
      <c r="IC175" s="97"/>
      <c r="ID175" s="97"/>
      <c r="IE175" s="97"/>
      <c r="IF175" s="97"/>
      <c r="IG175" s="97"/>
      <c r="IH175" s="97"/>
      <c r="II175" s="97"/>
      <c r="IJ175" s="97"/>
      <c r="IK175" s="97"/>
      <c r="IL175" s="97"/>
      <c r="IM175" s="97"/>
      <c r="IN175" s="97"/>
      <c r="IO175" s="97"/>
      <c r="IP175" s="97"/>
      <c r="IQ175" s="97"/>
      <c r="IR175" s="97"/>
      <c r="IS175" s="97"/>
    </row>
    <row r="176" spans="1:253" hidden="1">
      <c r="A176" s="28"/>
      <c r="K176" s="84" t="s">
        <v>77</v>
      </c>
      <c r="L176" s="22">
        <f>SUM(L168:L175)</f>
        <v>0</v>
      </c>
      <c r="M176" s="90">
        <f>SUM(M168:M175)</f>
        <v>0</v>
      </c>
      <c r="N176" s="6">
        <f>SUM(N168:N175)</f>
        <v>0</v>
      </c>
      <c r="O176" s="83">
        <f>SUM(O168:O175)</f>
        <v>0</v>
      </c>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97"/>
      <c r="AP176" s="97"/>
      <c r="AQ176" s="97"/>
      <c r="AR176" s="97"/>
      <c r="AS176" s="97"/>
      <c r="AT176" s="97"/>
      <c r="AU176" s="97"/>
      <c r="AV176" s="97"/>
      <c r="AW176" s="97"/>
      <c r="AX176" s="97"/>
      <c r="AY176" s="97"/>
      <c r="AZ176" s="97"/>
      <c r="BA176" s="97"/>
      <c r="BB176" s="97"/>
      <c r="BC176" s="97"/>
      <c r="BD176" s="97"/>
      <c r="BE176" s="97"/>
      <c r="BF176" s="97"/>
      <c r="BG176" s="97"/>
      <c r="BH176" s="97"/>
      <c r="BI176" s="97"/>
      <c r="BJ176" s="97"/>
      <c r="BK176" s="97"/>
      <c r="BL176" s="97"/>
      <c r="BM176" s="97"/>
      <c r="BN176" s="97"/>
      <c r="BO176" s="97"/>
      <c r="BP176" s="97"/>
      <c r="BQ176" s="97"/>
      <c r="BR176" s="97"/>
      <c r="BS176" s="97"/>
      <c r="BT176" s="97"/>
      <c r="BU176" s="97"/>
      <c r="BV176" s="97"/>
      <c r="BW176" s="97"/>
      <c r="BX176" s="97"/>
      <c r="BY176" s="97"/>
      <c r="BZ176" s="97"/>
      <c r="CA176" s="97"/>
      <c r="CB176" s="97"/>
      <c r="CC176" s="97"/>
      <c r="CD176" s="97"/>
      <c r="CE176" s="97"/>
      <c r="CF176" s="97"/>
      <c r="CG176" s="97"/>
      <c r="CH176" s="97"/>
      <c r="CI176" s="97"/>
      <c r="CJ176" s="97"/>
      <c r="CK176" s="97"/>
      <c r="CL176" s="97"/>
      <c r="CM176" s="97"/>
      <c r="CN176" s="97"/>
      <c r="CO176" s="97"/>
      <c r="CP176" s="97"/>
      <c r="CQ176" s="97"/>
      <c r="CR176" s="97"/>
      <c r="CS176" s="97"/>
      <c r="CT176" s="97"/>
      <c r="CU176" s="97"/>
      <c r="CV176" s="97"/>
      <c r="CW176" s="97"/>
      <c r="CX176" s="97"/>
      <c r="CY176" s="97"/>
      <c r="CZ176" s="97"/>
      <c r="DA176" s="97"/>
      <c r="DB176" s="97"/>
      <c r="DC176" s="97"/>
      <c r="DD176" s="97"/>
      <c r="DE176" s="97"/>
      <c r="DF176" s="97"/>
      <c r="DG176" s="97"/>
      <c r="DH176" s="97"/>
      <c r="DI176" s="97"/>
      <c r="DJ176" s="97"/>
      <c r="DK176" s="97"/>
      <c r="DL176" s="97"/>
      <c r="DM176" s="97"/>
      <c r="DN176" s="97"/>
      <c r="DO176" s="97"/>
      <c r="DP176" s="97"/>
      <c r="DQ176" s="97"/>
      <c r="DR176" s="97"/>
      <c r="DS176" s="97"/>
      <c r="DT176" s="97"/>
      <c r="DU176" s="97"/>
      <c r="DV176" s="97"/>
      <c r="DW176" s="97"/>
      <c r="DX176" s="97"/>
      <c r="DY176" s="97"/>
      <c r="DZ176" s="97"/>
      <c r="EA176" s="97"/>
      <c r="EB176" s="97"/>
      <c r="EC176" s="97"/>
      <c r="ED176" s="97"/>
      <c r="EE176" s="97"/>
      <c r="EF176" s="97"/>
      <c r="EG176" s="97"/>
      <c r="EH176" s="97"/>
      <c r="EI176" s="97"/>
      <c r="EJ176" s="97"/>
      <c r="EK176" s="97"/>
      <c r="EL176" s="97"/>
      <c r="EM176" s="97"/>
      <c r="EN176" s="97"/>
      <c r="EO176" s="97"/>
      <c r="EP176" s="97"/>
      <c r="EQ176" s="97"/>
      <c r="ER176" s="97"/>
      <c r="ES176" s="97"/>
      <c r="ET176" s="97"/>
      <c r="EU176" s="97"/>
      <c r="EV176" s="97"/>
      <c r="EW176" s="97"/>
      <c r="EX176" s="97"/>
      <c r="EY176" s="97"/>
      <c r="EZ176" s="97"/>
      <c r="FA176" s="97"/>
      <c r="FB176" s="97"/>
      <c r="FC176" s="97"/>
      <c r="FD176" s="97"/>
      <c r="FE176" s="97"/>
      <c r="FF176" s="97"/>
      <c r="FG176" s="97"/>
      <c r="FH176" s="97"/>
      <c r="FI176" s="97"/>
      <c r="FJ176" s="97"/>
      <c r="FK176" s="97"/>
      <c r="FL176" s="97"/>
      <c r="FM176" s="97"/>
      <c r="FN176" s="97"/>
      <c r="FO176" s="97"/>
      <c r="FP176" s="97"/>
      <c r="FQ176" s="97"/>
      <c r="FR176" s="97"/>
      <c r="FS176" s="97"/>
      <c r="FT176" s="97"/>
      <c r="FU176" s="97"/>
      <c r="FV176" s="97"/>
      <c r="FW176" s="97"/>
      <c r="FX176" s="97"/>
      <c r="FY176" s="97"/>
      <c r="FZ176" s="97"/>
      <c r="GA176" s="97"/>
      <c r="GB176" s="97"/>
      <c r="GC176" s="97"/>
      <c r="GD176" s="97"/>
      <c r="GE176" s="97"/>
      <c r="GF176" s="97"/>
      <c r="GG176" s="97"/>
      <c r="GH176" s="97"/>
      <c r="GI176" s="97"/>
      <c r="GJ176" s="97"/>
      <c r="GK176" s="97"/>
      <c r="GL176" s="97"/>
      <c r="GM176" s="97"/>
      <c r="GN176" s="97"/>
      <c r="GO176" s="97"/>
      <c r="GP176" s="97"/>
      <c r="GQ176" s="97"/>
      <c r="GR176" s="97"/>
      <c r="GS176" s="97"/>
      <c r="GT176" s="97"/>
      <c r="GU176" s="97"/>
      <c r="GV176" s="97"/>
      <c r="GW176" s="97"/>
      <c r="GX176" s="97"/>
      <c r="GY176" s="97"/>
      <c r="GZ176" s="97"/>
      <c r="HA176" s="97"/>
      <c r="HB176" s="97"/>
      <c r="HC176" s="97"/>
      <c r="HD176" s="97"/>
      <c r="HE176" s="97"/>
      <c r="HF176" s="97"/>
      <c r="HG176" s="97"/>
      <c r="HH176" s="97"/>
      <c r="HI176" s="97"/>
      <c r="HJ176" s="97"/>
      <c r="HK176" s="97"/>
      <c r="HL176" s="97"/>
      <c r="HM176" s="97"/>
      <c r="HN176" s="97"/>
      <c r="HO176" s="97"/>
      <c r="HP176" s="97"/>
      <c r="HQ176" s="97"/>
      <c r="HR176" s="97"/>
      <c r="HS176" s="97"/>
      <c r="HT176" s="97"/>
      <c r="HU176" s="97"/>
      <c r="HV176" s="97"/>
      <c r="HW176" s="97"/>
      <c r="HX176" s="97"/>
      <c r="HY176" s="97"/>
      <c r="HZ176" s="97"/>
      <c r="IA176" s="97"/>
      <c r="IB176" s="97"/>
      <c r="IC176" s="97"/>
      <c r="ID176" s="97"/>
      <c r="IE176" s="97"/>
      <c r="IF176" s="97"/>
      <c r="IG176" s="97"/>
      <c r="IH176" s="97"/>
      <c r="II176" s="97"/>
      <c r="IJ176" s="97"/>
      <c r="IK176" s="97"/>
      <c r="IL176" s="97"/>
      <c r="IM176" s="97"/>
      <c r="IN176" s="97"/>
      <c r="IO176" s="97"/>
      <c r="IP176" s="97"/>
      <c r="IQ176" s="97"/>
      <c r="IR176" s="97"/>
      <c r="IS176" s="97"/>
    </row>
    <row r="177" spans="1:253" hidden="1">
      <c r="A177" s="28"/>
      <c r="Q177" s="97"/>
      <c r="R177" s="97"/>
      <c r="S177" s="97"/>
      <c r="T177" s="97"/>
      <c r="U177" s="97"/>
      <c r="V177" s="97"/>
      <c r="W177" s="97"/>
      <c r="X177" s="97"/>
      <c r="Y177" s="97"/>
      <c r="Z177" s="97"/>
      <c r="AA177" s="97"/>
      <c r="AB177" s="97"/>
      <c r="AC177" s="97"/>
      <c r="AD177" s="97"/>
      <c r="AE177" s="97"/>
      <c r="AF177" s="97"/>
      <c r="AG177" s="97"/>
      <c r="AH177" s="97"/>
      <c r="AI177" s="97"/>
      <c r="AJ177" s="97"/>
      <c r="AK177" s="97"/>
      <c r="AL177" s="97"/>
      <c r="AM177" s="97"/>
      <c r="AN177" s="97"/>
      <c r="AO177" s="97"/>
      <c r="AP177" s="97"/>
      <c r="AQ177" s="97"/>
      <c r="AR177" s="97"/>
      <c r="AS177" s="97"/>
      <c r="AT177" s="97"/>
      <c r="AU177" s="97"/>
      <c r="AV177" s="97"/>
      <c r="AW177" s="97"/>
      <c r="AX177" s="97"/>
      <c r="AY177" s="97"/>
      <c r="AZ177" s="97"/>
      <c r="BA177" s="97"/>
      <c r="BB177" s="97"/>
      <c r="BC177" s="97"/>
      <c r="BD177" s="97"/>
      <c r="BE177" s="97"/>
      <c r="BF177" s="97"/>
      <c r="BG177" s="97"/>
      <c r="BH177" s="97"/>
      <c r="BI177" s="97"/>
      <c r="BJ177" s="97"/>
      <c r="BK177" s="97"/>
      <c r="BL177" s="97"/>
      <c r="BM177" s="97"/>
      <c r="BN177" s="97"/>
      <c r="BO177" s="97"/>
      <c r="BP177" s="97"/>
      <c r="BQ177" s="97"/>
      <c r="BR177" s="97"/>
      <c r="BS177" s="97"/>
      <c r="BT177" s="97"/>
      <c r="BU177" s="97"/>
      <c r="BV177" s="97"/>
      <c r="BW177" s="97"/>
      <c r="BX177" s="97"/>
      <c r="BY177" s="97"/>
      <c r="BZ177" s="97"/>
      <c r="CA177" s="97"/>
      <c r="CB177" s="97"/>
      <c r="CC177" s="97"/>
      <c r="CD177" s="97"/>
      <c r="CE177" s="97"/>
      <c r="CF177" s="97"/>
      <c r="CG177" s="97"/>
      <c r="CH177" s="97"/>
      <c r="CI177" s="97"/>
      <c r="CJ177" s="97"/>
      <c r="CK177" s="97"/>
      <c r="CL177" s="97"/>
      <c r="CM177" s="97"/>
      <c r="CN177" s="97"/>
      <c r="CO177" s="97"/>
      <c r="CP177" s="97"/>
      <c r="CQ177" s="97"/>
      <c r="CR177" s="97"/>
      <c r="CS177" s="97"/>
      <c r="CT177" s="97"/>
      <c r="CU177" s="97"/>
      <c r="CV177" s="97"/>
      <c r="CW177" s="97"/>
      <c r="CX177" s="97"/>
      <c r="CY177" s="97"/>
      <c r="CZ177" s="97"/>
      <c r="DA177" s="97"/>
      <c r="DB177" s="97"/>
      <c r="DC177" s="97"/>
      <c r="DD177" s="97"/>
      <c r="DE177" s="97"/>
      <c r="DF177" s="97"/>
      <c r="DG177" s="97"/>
      <c r="DH177" s="97"/>
      <c r="DI177" s="97"/>
      <c r="DJ177" s="97"/>
      <c r="DK177" s="97"/>
      <c r="DL177" s="97"/>
      <c r="DM177" s="97"/>
      <c r="DN177" s="97"/>
      <c r="DO177" s="97"/>
      <c r="DP177" s="97"/>
      <c r="DQ177" s="97"/>
      <c r="DR177" s="97"/>
      <c r="DS177" s="97"/>
      <c r="DT177" s="97"/>
      <c r="DU177" s="97"/>
      <c r="DV177" s="97"/>
      <c r="DW177" s="97"/>
      <c r="DX177" s="97"/>
      <c r="DY177" s="97"/>
      <c r="DZ177" s="97"/>
      <c r="EA177" s="97"/>
      <c r="EB177" s="97"/>
      <c r="EC177" s="97"/>
      <c r="ED177" s="97"/>
      <c r="EE177" s="97"/>
      <c r="EF177" s="97"/>
      <c r="EG177" s="97"/>
      <c r="EH177" s="97"/>
      <c r="EI177" s="97"/>
      <c r="EJ177" s="97"/>
      <c r="EK177" s="97"/>
      <c r="EL177" s="97"/>
      <c r="EM177" s="97"/>
      <c r="EN177" s="97"/>
      <c r="EO177" s="97"/>
      <c r="EP177" s="97"/>
      <c r="EQ177" s="97"/>
      <c r="ER177" s="97"/>
      <c r="ES177" s="97"/>
      <c r="ET177" s="97"/>
      <c r="EU177" s="97"/>
      <c r="EV177" s="97"/>
      <c r="EW177" s="97"/>
      <c r="EX177" s="97"/>
      <c r="EY177" s="97"/>
      <c r="EZ177" s="97"/>
      <c r="FA177" s="97"/>
      <c r="FB177" s="97"/>
      <c r="FC177" s="97"/>
      <c r="FD177" s="97"/>
      <c r="FE177" s="97"/>
      <c r="FF177" s="97"/>
      <c r="FG177" s="97"/>
      <c r="FH177" s="97"/>
      <c r="FI177" s="97"/>
      <c r="FJ177" s="97"/>
      <c r="FK177" s="97"/>
      <c r="FL177" s="97"/>
      <c r="FM177" s="97"/>
      <c r="FN177" s="97"/>
      <c r="FO177" s="97"/>
      <c r="FP177" s="97"/>
      <c r="FQ177" s="97"/>
      <c r="FR177" s="97"/>
      <c r="FS177" s="97"/>
      <c r="FT177" s="97"/>
      <c r="FU177" s="97"/>
      <c r="FV177" s="97"/>
      <c r="FW177" s="97"/>
      <c r="FX177" s="97"/>
      <c r="FY177" s="97"/>
      <c r="FZ177" s="97"/>
      <c r="GA177" s="97"/>
      <c r="GB177" s="97"/>
      <c r="GC177" s="97"/>
      <c r="GD177" s="97"/>
      <c r="GE177" s="97"/>
      <c r="GF177" s="97"/>
      <c r="GG177" s="97"/>
      <c r="GH177" s="97"/>
      <c r="GI177" s="97"/>
      <c r="GJ177" s="97"/>
      <c r="GK177" s="97"/>
      <c r="GL177" s="97"/>
      <c r="GM177" s="97"/>
      <c r="GN177" s="97"/>
      <c r="GO177" s="97"/>
      <c r="GP177" s="97"/>
      <c r="GQ177" s="97"/>
      <c r="GR177" s="97"/>
      <c r="GS177" s="97"/>
      <c r="GT177" s="97"/>
      <c r="GU177" s="97"/>
      <c r="GV177" s="97"/>
      <c r="GW177" s="97"/>
      <c r="GX177" s="97"/>
      <c r="GY177" s="97"/>
      <c r="GZ177" s="97"/>
      <c r="HA177" s="97"/>
      <c r="HB177" s="97"/>
      <c r="HC177" s="97"/>
      <c r="HD177" s="97"/>
      <c r="HE177" s="97"/>
      <c r="HF177" s="97"/>
      <c r="HG177" s="97"/>
      <c r="HH177" s="97"/>
      <c r="HI177" s="97"/>
      <c r="HJ177" s="97"/>
      <c r="HK177" s="97"/>
      <c r="HL177" s="97"/>
      <c r="HM177" s="97"/>
      <c r="HN177" s="97"/>
      <c r="HO177" s="97"/>
      <c r="HP177" s="97"/>
      <c r="HQ177" s="97"/>
      <c r="HR177" s="97"/>
      <c r="HS177" s="97"/>
      <c r="HT177" s="97"/>
      <c r="HU177" s="97"/>
      <c r="HV177" s="97"/>
      <c r="HW177" s="97"/>
      <c r="HX177" s="97"/>
      <c r="HY177" s="97"/>
      <c r="HZ177" s="97"/>
      <c r="IA177" s="97"/>
      <c r="IB177" s="97"/>
      <c r="IC177" s="97"/>
      <c r="ID177" s="97"/>
      <c r="IE177" s="97"/>
      <c r="IF177" s="97"/>
      <c r="IG177" s="97"/>
      <c r="IH177" s="97"/>
      <c r="II177" s="97"/>
      <c r="IJ177" s="97"/>
      <c r="IK177" s="97"/>
      <c r="IL177" s="97"/>
      <c r="IM177" s="97"/>
      <c r="IN177" s="97"/>
      <c r="IO177" s="97"/>
      <c r="IP177" s="97"/>
      <c r="IQ177" s="97"/>
      <c r="IR177" s="97"/>
      <c r="IS177" s="97"/>
    </row>
    <row r="178" spans="1:253" hidden="1">
      <c r="A178" s="28"/>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7"/>
      <c r="BR178" s="97"/>
      <c r="BS178" s="97"/>
      <c r="BT178" s="97"/>
      <c r="BU178" s="97"/>
      <c r="BV178" s="97"/>
      <c r="BW178" s="97"/>
      <c r="BX178" s="97"/>
      <c r="BY178" s="97"/>
      <c r="BZ178" s="97"/>
      <c r="CA178" s="97"/>
      <c r="CB178" s="97"/>
      <c r="CC178" s="97"/>
      <c r="CD178" s="97"/>
      <c r="CE178" s="97"/>
      <c r="CF178" s="97"/>
      <c r="CG178" s="97"/>
      <c r="CH178" s="97"/>
      <c r="CI178" s="97"/>
      <c r="CJ178" s="97"/>
      <c r="CK178" s="97"/>
      <c r="CL178" s="97"/>
      <c r="CM178" s="97"/>
      <c r="CN178" s="97"/>
      <c r="CO178" s="97"/>
      <c r="CP178" s="97"/>
      <c r="CQ178" s="97"/>
      <c r="CR178" s="97"/>
      <c r="CS178" s="97"/>
      <c r="CT178" s="97"/>
      <c r="CU178" s="97"/>
      <c r="CV178" s="97"/>
      <c r="CW178" s="97"/>
      <c r="CX178" s="97"/>
      <c r="CY178" s="97"/>
      <c r="CZ178" s="97"/>
      <c r="DA178" s="97"/>
      <c r="DB178" s="97"/>
      <c r="DC178" s="97"/>
      <c r="DD178" s="97"/>
      <c r="DE178" s="97"/>
      <c r="DF178" s="97"/>
      <c r="DG178" s="97"/>
      <c r="DH178" s="97"/>
      <c r="DI178" s="97"/>
      <c r="DJ178" s="97"/>
      <c r="DK178" s="97"/>
      <c r="DL178" s="97"/>
      <c r="DM178" s="97"/>
      <c r="DN178" s="97"/>
      <c r="DO178" s="97"/>
      <c r="DP178" s="97"/>
      <c r="DQ178" s="97"/>
      <c r="DR178" s="97"/>
      <c r="DS178" s="97"/>
      <c r="DT178" s="97"/>
      <c r="DU178" s="97"/>
      <c r="DV178" s="97"/>
      <c r="DW178" s="97"/>
      <c r="DX178" s="97"/>
      <c r="DY178" s="97"/>
      <c r="DZ178" s="97"/>
      <c r="EA178" s="97"/>
      <c r="EB178" s="97"/>
      <c r="EC178" s="97"/>
      <c r="ED178" s="97"/>
      <c r="EE178" s="97"/>
      <c r="EF178" s="97"/>
      <c r="EG178" s="97"/>
      <c r="EH178" s="97"/>
      <c r="EI178" s="97"/>
      <c r="EJ178" s="97"/>
      <c r="EK178" s="97"/>
      <c r="EL178" s="97"/>
      <c r="EM178" s="97"/>
      <c r="EN178" s="97"/>
      <c r="EO178" s="97"/>
      <c r="EP178" s="97"/>
      <c r="EQ178" s="97"/>
      <c r="ER178" s="97"/>
      <c r="ES178" s="97"/>
      <c r="ET178" s="97"/>
      <c r="EU178" s="97"/>
      <c r="EV178" s="97"/>
      <c r="EW178" s="97"/>
      <c r="EX178" s="97"/>
      <c r="EY178" s="97"/>
      <c r="EZ178" s="97"/>
      <c r="FA178" s="97"/>
      <c r="FB178" s="97"/>
      <c r="FC178" s="97"/>
      <c r="FD178" s="97"/>
      <c r="FE178" s="97"/>
      <c r="FF178" s="97"/>
      <c r="FG178" s="97"/>
      <c r="FH178" s="97"/>
      <c r="FI178" s="97"/>
      <c r="FJ178" s="97"/>
      <c r="FK178" s="97"/>
      <c r="FL178" s="97"/>
      <c r="FM178" s="97"/>
      <c r="FN178" s="97"/>
      <c r="FO178" s="97"/>
      <c r="FP178" s="97"/>
      <c r="FQ178" s="97"/>
      <c r="FR178" s="97"/>
      <c r="FS178" s="97"/>
      <c r="FT178" s="97"/>
      <c r="FU178" s="97"/>
      <c r="FV178" s="97"/>
      <c r="FW178" s="97"/>
      <c r="FX178" s="97"/>
      <c r="FY178" s="97"/>
      <c r="FZ178" s="97"/>
      <c r="GA178" s="97"/>
      <c r="GB178" s="97"/>
      <c r="GC178" s="97"/>
      <c r="GD178" s="97"/>
      <c r="GE178" s="97"/>
      <c r="GF178" s="97"/>
      <c r="GG178" s="97"/>
      <c r="GH178" s="97"/>
      <c r="GI178" s="97"/>
      <c r="GJ178" s="97"/>
      <c r="GK178" s="97"/>
      <c r="GL178" s="97"/>
      <c r="GM178" s="97"/>
      <c r="GN178" s="97"/>
      <c r="GO178" s="97"/>
      <c r="GP178" s="97"/>
      <c r="GQ178" s="97"/>
      <c r="GR178" s="97"/>
      <c r="GS178" s="97"/>
      <c r="GT178" s="97"/>
      <c r="GU178" s="97"/>
      <c r="GV178" s="97"/>
      <c r="GW178" s="97"/>
      <c r="GX178" s="97"/>
      <c r="GY178" s="97"/>
      <c r="GZ178" s="97"/>
      <c r="HA178" s="97"/>
      <c r="HB178" s="97"/>
      <c r="HC178" s="97"/>
      <c r="HD178" s="97"/>
      <c r="HE178" s="97"/>
      <c r="HF178" s="97"/>
      <c r="HG178" s="97"/>
      <c r="HH178" s="97"/>
      <c r="HI178" s="97"/>
      <c r="HJ178" s="97"/>
      <c r="HK178" s="97"/>
      <c r="HL178" s="97"/>
      <c r="HM178" s="97"/>
      <c r="HN178" s="97"/>
      <c r="HO178" s="97"/>
      <c r="HP178" s="97"/>
      <c r="HQ178" s="97"/>
      <c r="HR178" s="97"/>
      <c r="HS178" s="97"/>
      <c r="HT178" s="97"/>
      <c r="HU178" s="97"/>
      <c r="HV178" s="97"/>
      <c r="HW178" s="97"/>
      <c r="HX178" s="97"/>
      <c r="HY178" s="97"/>
      <c r="HZ178" s="97"/>
      <c r="IA178" s="97"/>
      <c r="IB178" s="97"/>
      <c r="IC178" s="97"/>
      <c r="ID178" s="97"/>
      <c r="IE178" s="97"/>
      <c r="IF178" s="97"/>
      <c r="IG178" s="97"/>
      <c r="IH178" s="97"/>
      <c r="II178" s="97"/>
      <c r="IJ178" s="97"/>
      <c r="IK178" s="97"/>
      <c r="IL178" s="97"/>
      <c r="IM178" s="97"/>
      <c r="IN178" s="97"/>
      <c r="IO178" s="97"/>
      <c r="IP178" s="97"/>
      <c r="IQ178" s="97"/>
      <c r="IR178" s="97"/>
      <c r="IS178" s="97"/>
    </row>
    <row r="179" spans="1:253" hidden="1">
      <c r="A179" s="28"/>
      <c r="K179" s="91" t="s">
        <v>74</v>
      </c>
      <c r="L179" s="49" t="s">
        <v>78</v>
      </c>
      <c r="Q179" s="97"/>
      <c r="R179" s="97"/>
      <c r="S179" s="97"/>
      <c r="T179" s="97"/>
      <c r="U179" s="97"/>
      <c r="V179" s="97"/>
      <c r="W179" s="97"/>
      <c r="X179" s="97"/>
      <c r="Y179" s="97"/>
      <c r="Z179" s="97"/>
      <c r="AA179" s="97"/>
      <c r="AB179" s="97"/>
      <c r="AC179" s="97"/>
      <c r="AD179" s="97"/>
      <c r="AE179" s="97"/>
      <c r="AF179" s="97"/>
      <c r="AG179" s="97"/>
      <c r="AH179" s="97"/>
      <c r="AI179" s="97"/>
      <c r="AJ179" s="97"/>
      <c r="AK179" s="97"/>
      <c r="AL179" s="97"/>
      <c r="AM179" s="97"/>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7"/>
      <c r="BR179" s="97"/>
      <c r="BS179" s="97"/>
      <c r="BT179" s="97"/>
      <c r="BU179" s="97"/>
      <c r="BV179" s="97"/>
      <c r="BW179" s="97"/>
      <c r="BX179" s="97"/>
      <c r="BY179" s="97"/>
      <c r="BZ179" s="97"/>
      <c r="CA179" s="97"/>
      <c r="CB179" s="97"/>
      <c r="CC179" s="97"/>
      <c r="CD179" s="97"/>
      <c r="CE179" s="97"/>
      <c r="CF179" s="97"/>
      <c r="CG179" s="97"/>
      <c r="CH179" s="97"/>
      <c r="CI179" s="97"/>
      <c r="CJ179" s="97"/>
      <c r="CK179" s="97"/>
      <c r="CL179" s="97"/>
      <c r="CM179" s="97"/>
      <c r="CN179" s="97"/>
      <c r="CO179" s="97"/>
      <c r="CP179" s="97"/>
      <c r="CQ179" s="97"/>
      <c r="CR179" s="97"/>
      <c r="CS179" s="97"/>
      <c r="CT179" s="97"/>
      <c r="CU179" s="97"/>
      <c r="CV179" s="97"/>
      <c r="CW179" s="97"/>
      <c r="CX179" s="97"/>
      <c r="CY179" s="97"/>
      <c r="CZ179" s="97"/>
      <c r="DA179" s="97"/>
      <c r="DB179" s="97"/>
      <c r="DC179" s="97"/>
      <c r="DD179" s="97"/>
      <c r="DE179" s="97"/>
      <c r="DF179" s="97"/>
      <c r="DG179" s="97"/>
      <c r="DH179" s="97"/>
      <c r="DI179" s="97"/>
      <c r="DJ179" s="97"/>
      <c r="DK179" s="97"/>
      <c r="DL179" s="97"/>
      <c r="DM179" s="97"/>
      <c r="DN179" s="97"/>
      <c r="DO179" s="97"/>
      <c r="DP179" s="97"/>
      <c r="DQ179" s="97"/>
      <c r="DR179" s="97"/>
      <c r="DS179" s="97"/>
      <c r="DT179" s="97"/>
      <c r="DU179" s="97"/>
      <c r="DV179" s="97"/>
      <c r="DW179" s="97"/>
      <c r="DX179" s="97"/>
      <c r="DY179" s="97"/>
      <c r="DZ179" s="97"/>
      <c r="EA179" s="97"/>
      <c r="EB179" s="97"/>
      <c r="EC179" s="97"/>
      <c r="ED179" s="97"/>
      <c r="EE179" s="97"/>
      <c r="EF179" s="97"/>
      <c r="EG179" s="97"/>
      <c r="EH179" s="97"/>
      <c r="EI179" s="97"/>
      <c r="EJ179" s="97"/>
      <c r="EK179" s="97"/>
      <c r="EL179" s="97"/>
      <c r="EM179" s="97"/>
      <c r="EN179" s="97"/>
      <c r="EO179" s="97"/>
      <c r="EP179" s="97"/>
      <c r="EQ179" s="97"/>
      <c r="ER179" s="97"/>
      <c r="ES179" s="97"/>
      <c r="ET179" s="97"/>
      <c r="EU179" s="97"/>
      <c r="EV179" s="97"/>
      <c r="EW179" s="97"/>
      <c r="EX179" s="97"/>
      <c r="EY179" s="97"/>
      <c r="EZ179" s="97"/>
      <c r="FA179" s="97"/>
      <c r="FB179" s="97"/>
      <c r="FC179" s="97"/>
      <c r="FD179" s="97"/>
      <c r="FE179" s="97"/>
      <c r="FF179" s="97"/>
      <c r="FG179" s="97"/>
      <c r="FH179" s="97"/>
      <c r="FI179" s="97"/>
      <c r="FJ179" s="97"/>
      <c r="FK179" s="97"/>
      <c r="FL179" s="97"/>
      <c r="FM179" s="97"/>
      <c r="FN179" s="97"/>
      <c r="FO179" s="97"/>
      <c r="FP179" s="97"/>
      <c r="FQ179" s="97"/>
      <c r="FR179" s="97"/>
      <c r="FS179" s="97"/>
      <c r="FT179" s="97"/>
      <c r="FU179" s="97"/>
      <c r="FV179" s="97"/>
      <c r="FW179" s="97"/>
      <c r="FX179" s="97"/>
      <c r="FY179" s="97"/>
      <c r="FZ179" s="97"/>
      <c r="GA179" s="97"/>
      <c r="GB179" s="97"/>
      <c r="GC179" s="97"/>
      <c r="GD179" s="97"/>
      <c r="GE179" s="97"/>
      <c r="GF179" s="97"/>
      <c r="GG179" s="97"/>
      <c r="GH179" s="97"/>
      <c r="GI179" s="97"/>
      <c r="GJ179" s="97"/>
      <c r="GK179" s="97"/>
      <c r="GL179" s="97"/>
      <c r="GM179" s="97"/>
      <c r="GN179" s="97"/>
      <c r="GO179" s="97"/>
      <c r="GP179" s="97"/>
      <c r="GQ179" s="97"/>
      <c r="GR179" s="97"/>
      <c r="GS179" s="97"/>
      <c r="GT179" s="97"/>
      <c r="GU179" s="97"/>
      <c r="GV179" s="97"/>
      <c r="GW179" s="97"/>
      <c r="GX179" s="97"/>
      <c r="GY179" s="97"/>
      <c r="GZ179" s="97"/>
      <c r="HA179" s="97"/>
      <c r="HB179" s="97"/>
      <c r="HC179" s="97"/>
      <c r="HD179" s="97"/>
      <c r="HE179" s="97"/>
      <c r="HF179" s="97"/>
      <c r="HG179" s="97"/>
      <c r="HH179" s="97"/>
      <c r="HI179" s="97"/>
      <c r="HJ179" s="97"/>
      <c r="HK179" s="97"/>
      <c r="HL179" s="97"/>
      <c r="HM179" s="97"/>
      <c r="HN179" s="97"/>
      <c r="HO179" s="97"/>
      <c r="HP179" s="97"/>
      <c r="HQ179" s="97"/>
      <c r="HR179" s="97"/>
      <c r="HS179" s="97"/>
      <c r="HT179" s="97"/>
      <c r="HU179" s="97"/>
      <c r="HV179" s="97"/>
      <c r="HW179" s="97"/>
      <c r="HX179" s="97"/>
      <c r="HY179" s="97"/>
      <c r="HZ179" s="97"/>
      <c r="IA179" s="97"/>
      <c r="IB179" s="97"/>
      <c r="IC179" s="97"/>
      <c r="ID179" s="97"/>
      <c r="IE179" s="97"/>
      <c r="IF179" s="97"/>
      <c r="IG179" s="97"/>
      <c r="IH179" s="97"/>
      <c r="II179" s="97"/>
      <c r="IJ179" s="97"/>
      <c r="IK179" s="97"/>
      <c r="IL179" s="97"/>
      <c r="IM179" s="97"/>
      <c r="IN179" s="97"/>
      <c r="IO179" s="97"/>
      <c r="IP179" s="97"/>
      <c r="IQ179" s="97"/>
      <c r="IR179" s="97"/>
      <c r="IS179" s="97"/>
    </row>
    <row r="180" spans="1:253" hidden="1">
      <c r="A180" s="28"/>
      <c r="K180" s="19" t="s">
        <v>79</v>
      </c>
      <c r="L180" s="93" t="s">
        <v>80</v>
      </c>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7"/>
      <c r="BR180" s="97"/>
      <c r="BS180" s="97"/>
      <c r="BT180" s="97"/>
      <c r="BU180" s="97"/>
      <c r="BV180" s="97"/>
      <c r="BW180" s="97"/>
      <c r="BX180" s="97"/>
      <c r="BY180" s="97"/>
      <c r="BZ180" s="97"/>
      <c r="CA180" s="97"/>
      <c r="CB180" s="97"/>
      <c r="CC180" s="97"/>
      <c r="CD180" s="97"/>
      <c r="CE180" s="97"/>
      <c r="CF180" s="97"/>
      <c r="CG180" s="97"/>
      <c r="CH180" s="97"/>
      <c r="CI180" s="97"/>
      <c r="CJ180" s="97"/>
      <c r="CK180" s="97"/>
      <c r="CL180" s="97"/>
      <c r="CM180" s="97"/>
      <c r="CN180" s="97"/>
      <c r="CO180" s="97"/>
      <c r="CP180" s="97"/>
      <c r="CQ180" s="97"/>
      <c r="CR180" s="97"/>
      <c r="CS180" s="97"/>
      <c r="CT180" s="97"/>
      <c r="CU180" s="97"/>
      <c r="CV180" s="97"/>
      <c r="CW180" s="97"/>
      <c r="CX180" s="97"/>
      <c r="CY180" s="97"/>
      <c r="CZ180" s="97"/>
      <c r="DA180" s="97"/>
      <c r="DB180" s="97"/>
      <c r="DC180" s="97"/>
      <c r="DD180" s="97"/>
      <c r="DE180" s="97"/>
      <c r="DF180" s="97"/>
      <c r="DG180" s="97"/>
      <c r="DH180" s="97"/>
      <c r="DI180" s="97"/>
      <c r="DJ180" s="97"/>
      <c r="DK180" s="97"/>
      <c r="DL180" s="97"/>
      <c r="DM180" s="97"/>
      <c r="DN180" s="97"/>
      <c r="DO180" s="97"/>
      <c r="DP180" s="97"/>
      <c r="DQ180" s="97"/>
      <c r="DR180" s="97"/>
      <c r="DS180" s="97"/>
      <c r="DT180" s="97"/>
      <c r="DU180" s="97"/>
      <c r="DV180" s="97"/>
      <c r="DW180" s="97"/>
      <c r="DX180" s="97"/>
      <c r="DY180" s="97"/>
      <c r="DZ180" s="97"/>
      <c r="EA180" s="97"/>
      <c r="EB180" s="97"/>
      <c r="EC180" s="97"/>
      <c r="ED180" s="97"/>
      <c r="EE180" s="97"/>
      <c r="EF180" s="97"/>
      <c r="EG180" s="97"/>
      <c r="EH180" s="97"/>
      <c r="EI180" s="97"/>
      <c r="EJ180" s="97"/>
      <c r="EK180" s="97"/>
      <c r="EL180" s="97"/>
      <c r="EM180" s="97"/>
      <c r="EN180" s="97"/>
      <c r="EO180" s="97"/>
      <c r="EP180" s="97"/>
      <c r="EQ180" s="97"/>
      <c r="ER180" s="97"/>
      <c r="ES180" s="97"/>
      <c r="ET180" s="97"/>
      <c r="EU180" s="97"/>
      <c r="EV180" s="97"/>
      <c r="EW180" s="97"/>
      <c r="EX180" s="97"/>
      <c r="EY180" s="97"/>
      <c r="EZ180" s="97"/>
      <c r="FA180" s="97"/>
      <c r="FB180" s="97"/>
      <c r="FC180" s="97"/>
      <c r="FD180" s="97"/>
      <c r="FE180" s="97"/>
      <c r="FF180" s="97"/>
      <c r="FG180" s="97"/>
      <c r="FH180" s="97"/>
      <c r="FI180" s="97"/>
      <c r="FJ180" s="97"/>
      <c r="FK180" s="97"/>
      <c r="FL180" s="97"/>
      <c r="FM180" s="97"/>
      <c r="FN180" s="97"/>
      <c r="FO180" s="97"/>
      <c r="FP180" s="97"/>
      <c r="FQ180" s="97"/>
      <c r="FR180" s="97"/>
      <c r="FS180" s="97"/>
      <c r="FT180" s="97"/>
      <c r="FU180" s="97"/>
      <c r="FV180" s="97"/>
      <c r="FW180" s="97"/>
      <c r="FX180" s="97"/>
      <c r="FY180" s="97"/>
      <c r="FZ180" s="97"/>
      <c r="GA180" s="97"/>
      <c r="GB180" s="97"/>
      <c r="GC180" s="97"/>
      <c r="GD180" s="97"/>
      <c r="GE180" s="97"/>
      <c r="GF180" s="97"/>
      <c r="GG180" s="97"/>
      <c r="GH180" s="97"/>
      <c r="GI180" s="97"/>
      <c r="GJ180" s="97"/>
      <c r="GK180" s="97"/>
      <c r="GL180" s="97"/>
      <c r="GM180" s="97"/>
      <c r="GN180" s="97"/>
      <c r="GO180" s="97"/>
      <c r="GP180" s="97"/>
      <c r="GQ180" s="97"/>
      <c r="GR180" s="97"/>
      <c r="GS180" s="97"/>
      <c r="GT180" s="97"/>
      <c r="GU180" s="97"/>
      <c r="GV180" s="97"/>
      <c r="GW180" s="97"/>
      <c r="GX180" s="97"/>
      <c r="GY180" s="97"/>
      <c r="GZ180" s="97"/>
      <c r="HA180" s="97"/>
      <c r="HB180" s="97"/>
      <c r="HC180" s="97"/>
      <c r="HD180" s="97"/>
      <c r="HE180" s="97"/>
      <c r="HF180" s="97"/>
      <c r="HG180" s="97"/>
      <c r="HH180" s="97"/>
      <c r="HI180" s="97"/>
      <c r="HJ180" s="97"/>
      <c r="HK180" s="97"/>
      <c r="HL180" s="97"/>
      <c r="HM180" s="97"/>
      <c r="HN180" s="97"/>
      <c r="HO180" s="97"/>
      <c r="HP180" s="97"/>
      <c r="HQ180" s="97"/>
      <c r="HR180" s="97"/>
      <c r="HS180" s="97"/>
      <c r="HT180" s="97"/>
      <c r="HU180" s="97"/>
      <c r="HV180" s="97"/>
      <c r="HW180" s="97"/>
      <c r="HX180" s="97"/>
      <c r="HY180" s="97"/>
      <c r="HZ180" s="97"/>
      <c r="IA180" s="97"/>
      <c r="IB180" s="97"/>
      <c r="IC180" s="97"/>
      <c r="ID180" s="97"/>
      <c r="IE180" s="97"/>
      <c r="IF180" s="97"/>
      <c r="IG180" s="97"/>
      <c r="IH180" s="97"/>
      <c r="II180" s="97"/>
      <c r="IJ180" s="97"/>
      <c r="IK180" s="97"/>
      <c r="IL180" s="97"/>
      <c r="IM180" s="97"/>
      <c r="IN180" s="97"/>
      <c r="IO180" s="97"/>
      <c r="IP180" s="97"/>
      <c r="IQ180" s="97"/>
      <c r="IR180" s="97"/>
      <c r="IS180" s="97"/>
    </row>
    <row r="181" spans="1:253" hidden="1">
      <c r="A181" s="28"/>
      <c r="K181" s="19" t="s">
        <v>65</v>
      </c>
      <c r="L181" s="93" t="s">
        <v>81</v>
      </c>
      <c r="Q181" s="97"/>
      <c r="R181" s="97"/>
      <c r="S181" s="97"/>
      <c r="T181" s="97"/>
      <c r="U181" s="97"/>
      <c r="V181" s="97"/>
      <c r="W181" s="97"/>
      <c r="X181" s="97"/>
      <c r="Y181" s="97"/>
      <c r="Z181" s="97"/>
      <c r="AA181" s="97"/>
      <c r="AB181" s="97"/>
      <c r="AC181" s="97"/>
      <c r="AD181" s="97"/>
      <c r="AE181" s="97"/>
      <c r="AF181" s="97"/>
      <c r="AG181" s="97"/>
      <c r="AH181" s="97"/>
      <c r="AI181" s="97"/>
      <c r="AJ181" s="97"/>
      <c r="AK181" s="97"/>
      <c r="AL181" s="97"/>
      <c r="AM181" s="97"/>
      <c r="AN181" s="97"/>
      <c r="AO181" s="97"/>
      <c r="AP181" s="97"/>
      <c r="AQ181" s="97"/>
      <c r="AR181" s="97"/>
      <c r="AS181" s="97"/>
      <c r="AT181" s="97"/>
      <c r="AU181" s="97"/>
      <c r="AV181" s="97"/>
      <c r="AW181" s="97"/>
      <c r="AX181" s="97"/>
      <c r="AY181" s="97"/>
      <c r="AZ181" s="97"/>
      <c r="BA181" s="97"/>
      <c r="BB181" s="97"/>
      <c r="BC181" s="97"/>
      <c r="BD181" s="97"/>
      <c r="BE181" s="97"/>
      <c r="BF181" s="97"/>
      <c r="BG181" s="97"/>
      <c r="BH181" s="97"/>
      <c r="BI181" s="97"/>
      <c r="BJ181" s="97"/>
      <c r="BK181" s="97"/>
      <c r="BL181" s="97"/>
      <c r="BM181" s="97"/>
      <c r="BN181" s="97"/>
      <c r="BO181" s="97"/>
      <c r="BP181" s="97"/>
      <c r="BQ181" s="97"/>
      <c r="BR181" s="97"/>
      <c r="BS181" s="97"/>
      <c r="BT181" s="97"/>
      <c r="BU181" s="97"/>
      <c r="BV181" s="97"/>
      <c r="BW181" s="97"/>
      <c r="BX181" s="97"/>
      <c r="BY181" s="97"/>
      <c r="BZ181" s="97"/>
      <c r="CA181" s="97"/>
      <c r="CB181" s="97"/>
      <c r="CC181" s="97"/>
      <c r="CD181" s="97"/>
      <c r="CE181" s="97"/>
      <c r="CF181" s="97"/>
      <c r="CG181" s="97"/>
      <c r="CH181" s="97"/>
      <c r="CI181" s="97"/>
      <c r="CJ181" s="97"/>
      <c r="CK181" s="97"/>
      <c r="CL181" s="97"/>
      <c r="CM181" s="97"/>
      <c r="CN181" s="97"/>
      <c r="CO181" s="97"/>
      <c r="CP181" s="97"/>
      <c r="CQ181" s="97"/>
      <c r="CR181" s="97"/>
      <c r="CS181" s="97"/>
      <c r="CT181" s="97"/>
      <c r="CU181" s="97"/>
      <c r="CV181" s="97"/>
      <c r="CW181" s="97"/>
      <c r="CX181" s="97"/>
      <c r="CY181" s="97"/>
      <c r="CZ181" s="97"/>
      <c r="DA181" s="97"/>
      <c r="DB181" s="97"/>
      <c r="DC181" s="97"/>
      <c r="DD181" s="97"/>
      <c r="DE181" s="97"/>
      <c r="DF181" s="97"/>
      <c r="DG181" s="97"/>
      <c r="DH181" s="97"/>
      <c r="DI181" s="97"/>
      <c r="DJ181" s="97"/>
      <c r="DK181" s="97"/>
      <c r="DL181" s="97"/>
      <c r="DM181" s="97"/>
      <c r="DN181" s="97"/>
      <c r="DO181" s="97"/>
      <c r="DP181" s="97"/>
      <c r="DQ181" s="97"/>
      <c r="DR181" s="97"/>
      <c r="DS181" s="97"/>
      <c r="DT181" s="97"/>
      <c r="DU181" s="97"/>
      <c r="DV181" s="97"/>
      <c r="DW181" s="97"/>
      <c r="DX181" s="97"/>
      <c r="DY181" s="97"/>
      <c r="DZ181" s="97"/>
      <c r="EA181" s="97"/>
      <c r="EB181" s="97"/>
      <c r="EC181" s="97"/>
      <c r="ED181" s="97"/>
      <c r="EE181" s="97"/>
      <c r="EF181" s="97"/>
      <c r="EG181" s="97"/>
      <c r="EH181" s="97"/>
      <c r="EI181" s="97"/>
      <c r="EJ181" s="97"/>
      <c r="EK181" s="97"/>
      <c r="EL181" s="97"/>
      <c r="EM181" s="97"/>
      <c r="EN181" s="97"/>
      <c r="EO181" s="97"/>
      <c r="EP181" s="97"/>
      <c r="EQ181" s="97"/>
      <c r="ER181" s="97"/>
      <c r="ES181" s="97"/>
      <c r="ET181" s="97"/>
      <c r="EU181" s="97"/>
      <c r="EV181" s="97"/>
      <c r="EW181" s="97"/>
      <c r="EX181" s="97"/>
      <c r="EY181" s="97"/>
      <c r="EZ181" s="97"/>
      <c r="FA181" s="97"/>
      <c r="FB181" s="97"/>
      <c r="FC181" s="97"/>
      <c r="FD181" s="97"/>
      <c r="FE181" s="97"/>
      <c r="FF181" s="97"/>
      <c r="FG181" s="97"/>
      <c r="FH181" s="97"/>
      <c r="FI181" s="97"/>
      <c r="FJ181" s="97"/>
      <c r="FK181" s="97"/>
      <c r="FL181" s="97"/>
      <c r="FM181" s="97"/>
      <c r="FN181" s="97"/>
      <c r="FO181" s="97"/>
      <c r="FP181" s="97"/>
      <c r="FQ181" s="97"/>
      <c r="FR181" s="97"/>
      <c r="FS181" s="97"/>
      <c r="FT181" s="97"/>
      <c r="FU181" s="97"/>
      <c r="FV181" s="97"/>
      <c r="FW181" s="97"/>
      <c r="FX181" s="97"/>
      <c r="FY181" s="97"/>
      <c r="FZ181" s="97"/>
      <c r="GA181" s="97"/>
      <c r="GB181" s="97"/>
      <c r="GC181" s="97"/>
      <c r="GD181" s="97"/>
      <c r="GE181" s="97"/>
      <c r="GF181" s="97"/>
      <c r="GG181" s="97"/>
      <c r="GH181" s="97"/>
      <c r="GI181" s="97"/>
      <c r="GJ181" s="97"/>
      <c r="GK181" s="97"/>
      <c r="GL181" s="97"/>
      <c r="GM181" s="97"/>
      <c r="GN181" s="97"/>
      <c r="GO181" s="97"/>
      <c r="GP181" s="97"/>
      <c r="GQ181" s="97"/>
      <c r="GR181" s="97"/>
      <c r="GS181" s="97"/>
      <c r="GT181" s="97"/>
      <c r="GU181" s="97"/>
      <c r="GV181" s="97"/>
      <c r="GW181" s="97"/>
      <c r="GX181" s="97"/>
      <c r="GY181" s="97"/>
      <c r="GZ181" s="97"/>
      <c r="HA181" s="97"/>
      <c r="HB181" s="97"/>
      <c r="HC181" s="97"/>
      <c r="HD181" s="97"/>
      <c r="HE181" s="97"/>
      <c r="HF181" s="97"/>
      <c r="HG181" s="97"/>
      <c r="HH181" s="97"/>
      <c r="HI181" s="97"/>
      <c r="HJ181" s="97"/>
      <c r="HK181" s="97"/>
      <c r="HL181" s="97"/>
      <c r="HM181" s="97"/>
      <c r="HN181" s="97"/>
      <c r="HO181" s="97"/>
      <c r="HP181" s="97"/>
      <c r="HQ181" s="97"/>
      <c r="HR181" s="97"/>
      <c r="HS181" s="97"/>
      <c r="HT181" s="97"/>
      <c r="HU181" s="97"/>
      <c r="HV181" s="97"/>
      <c r="HW181" s="97"/>
      <c r="HX181" s="97"/>
      <c r="HY181" s="97"/>
      <c r="HZ181" s="97"/>
      <c r="IA181" s="97"/>
      <c r="IB181" s="97"/>
      <c r="IC181" s="97"/>
      <c r="ID181" s="97"/>
      <c r="IE181" s="97"/>
      <c r="IF181" s="97"/>
      <c r="IG181" s="97"/>
      <c r="IH181" s="97"/>
      <c r="II181" s="97"/>
      <c r="IJ181" s="97"/>
      <c r="IK181" s="97"/>
      <c r="IL181" s="97"/>
      <c r="IM181" s="97"/>
      <c r="IN181" s="97"/>
      <c r="IO181" s="97"/>
      <c r="IP181" s="97"/>
      <c r="IQ181" s="97"/>
      <c r="IR181" s="97"/>
      <c r="IS181" s="97"/>
    </row>
    <row r="182" spans="1:253" hidden="1">
      <c r="A182" s="28"/>
      <c r="K182" s="19" t="s">
        <v>82</v>
      </c>
      <c r="L182" s="93" t="s">
        <v>83</v>
      </c>
      <c r="Q182" s="97"/>
      <c r="R182" s="97"/>
      <c r="S182" s="97"/>
      <c r="T182" s="97"/>
      <c r="U182" s="97"/>
      <c r="V182" s="97"/>
      <c r="W182" s="97"/>
      <c r="X182" s="97"/>
      <c r="Y182" s="97"/>
      <c r="Z182" s="97"/>
      <c r="AA182" s="97"/>
      <c r="AB182" s="97"/>
      <c r="AC182" s="97"/>
      <c r="AD182" s="97"/>
      <c r="AE182" s="97"/>
      <c r="AF182" s="97"/>
      <c r="AG182" s="97"/>
      <c r="AH182" s="97"/>
      <c r="AI182" s="97"/>
      <c r="AJ182" s="97"/>
      <c r="AK182" s="97"/>
      <c r="AL182" s="97"/>
      <c r="AM182" s="97"/>
      <c r="AN182" s="97"/>
      <c r="AO182" s="97"/>
      <c r="AP182" s="97"/>
      <c r="AQ182" s="97"/>
      <c r="AR182" s="97"/>
      <c r="AS182" s="97"/>
      <c r="AT182" s="97"/>
      <c r="AU182" s="97"/>
      <c r="AV182" s="97"/>
      <c r="AW182" s="97"/>
      <c r="AX182" s="97"/>
      <c r="AY182" s="97"/>
      <c r="AZ182" s="97"/>
      <c r="BA182" s="97"/>
      <c r="BB182" s="97"/>
      <c r="BC182" s="97"/>
      <c r="BD182" s="97"/>
      <c r="BE182" s="97"/>
      <c r="BF182" s="97"/>
      <c r="BG182" s="97"/>
      <c r="BH182" s="97"/>
      <c r="BI182" s="97"/>
      <c r="BJ182" s="97"/>
      <c r="BK182" s="97"/>
      <c r="BL182" s="97"/>
      <c r="BM182" s="97"/>
      <c r="BN182" s="97"/>
      <c r="BO182" s="97"/>
      <c r="BP182" s="97"/>
      <c r="BQ182" s="97"/>
      <c r="BR182" s="97"/>
      <c r="BS182" s="97"/>
      <c r="BT182" s="97"/>
      <c r="BU182" s="97"/>
      <c r="BV182" s="97"/>
      <c r="BW182" s="97"/>
      <c r="BX182" s="97"/>
      <c r="BY182" s="97"/>
      <c r="BZ182" s="97"/>
      <c r="CA182" s="97"/>
      <c r="CB182" s="97"/>
      <c r="CC182" s="97"/>
      <c r="CD182" s="97"/>
      <c r="CE182" s="97"/>
      <c r="CF182" s="97"/>
      <c r="CG182" s="97"/>
      <c r="CH182" s="97"/>
      <c r="CI182" s="97"/>
      <c r="CJ182" s="97"/>
      <c r="CK182" s="97"/>
      <c r="CL182" s="97"/>
      <c r="CM182" s="97"/>
      <c r="CN182" s="97"/>
      <c r="CO182" s="97"/>
      <c r="CP182" s="97"/>
      <c r="CQ182" s="97"/>
      <c r="CR182" s="97"/>
      <c r="CS182" s="97"/>
      <c r="CT182" s="97"/>
      <c r="CU182" s="97"/>
      <c r="CV182" s="97"/>
      <c r="CW182" s="97"/>
      <c r="CX182" s="97"/>
      <c r="CY182" s="97"/>
      <c r="CZ182" s="97"/>
      <c r="DA182" s="97"/>
      <c r="DB182" s="97"/>
      <c r="DC182" s="97"/>
      <c r="DD182" s="97"/>
      <c r="DE182" s="97"/>
      <c r="DF182" s="97"/>
      <c r="DG182" s="97"/>
      <c r="DH182" s="97"/>
      <c r="DI182" s="97"/>
      <c r="DJ182" s="97"/>
      <c r="DK182" s="97"/>
      <c r="DL182" s="97"/>
      <c r="DM182" s="97"/>
      <c r="DN182" s="97"/>
      <c r="DO182" s="97"/>
      <c r="DP182" s="97"/>
      <c r="DQ182" s="97"/>
      <c r="DR182" s="97"/>
      <c r="DS182" s="97"/>
      <c r="DT182" s="97"/>
      <c r="DU182" s="97"/>
      <c r="DV182" s="97"/>
      <c r="DW182" s="97"/>
      <c r="DX182" s="97"/>
      <c r="DY182" s="97"/>
      <c r="DZ182" s="97"/>
      <c r="EA182" s="97"/>
      <c r="EB182" s="97"/>
      <c r="EC182" s="97"/>
      <c r="ED182" s="97"/>
      <c r="EE182" s="97"/>
      <c r="EF182" s="97"/>
      <c r="EG182" s="97"/>
      <c r="EH182" s="97"/>
      <c r="EI182" s="97"/>
      <c r="EJ182" s="97"/>
      <c r="EK182" s="97"/>
      <c r="EL182" s="97"/>
      <c r="EM182" s="97"/>
      <c r="EN182" s="97"/>
      <c r="EO182" s="97"/>
      <c r="EP182" s="97"/>
      <c r="EQ182" s="97"/>
      <c r="ER182" s="97"/>
      <c r="ES182" s="97"/>
      <c r="ET182" s="97"/>
      <c r="EU182" s="97"/>
      <c r="EV182" s="97"/>
      <c r="EW182" s="97"/>
      <c r="EX182" s="97"/>
      <c r="EY182" s="97"/>
      <c r="EZ182" s="97"/>
      <c r="FA182" s="97"/>
      <c r="FB182" s="97"/>
      <c r="FC182" s="97"/>
      <c r="FD182" s="97"/>
      <c r="FE182" s="97"/>
      <c r="FF182" s="97"/>
      <c r="FG182" s="97"/>
      <c r="FH182" s="97"/>
      <c r="FI182" s="97"/>
      <c r="FJ182" s="97"/>
      <c r="FK182" s="97"/>
      <c r="FL182" s="97"/>
      <c r="FM182" s="97"/>
      <c r="FN182" s="97"/>
      <c r="FO182" s="97"/>
      <c r="FP182" s="97"/>
      <c r="FQ182" s="97"/>
      <c r="FR182" s="97"/>
      <c r="FS182" s="97"/>
      <c r="FT182" s="97"/>
      <c r="FU182" s="97"/>
      <c r="FV182" s="97"/>
      <c r="FW182" s="97"/>
      <c r="FX182" s="97"/>
      <c r="FY182" s="97"/>
      <c r="FZ182" s="97"/>
      <c r="GA182" s="97"/>
      <c r="GB182" s="97"/>
      <c r="GC182" s="97"/>
      <c r="GD182" s="97"/>
      <c r="GE182" s="97"/>
      <c r="GF182" s="97"/>
      <c r="GG182" s="97"/>
      <c r="GH182" s="97"/>
      <c r="GI182" s="97"/>
      <c r="GJ182" s="97"/>
      <c r="GK182" s="97"/>
      <c r="GL182" s="97"/>
      <c r="GM182" s="97"/>
      <c r="GN182" s="97"/>
      <c r="GO182" s="97"/>
      <c r="GP182" s="97"/>
      <c r="GQ182" s="97"/>
      <c r="GR182" s="97"/>
      <c r="GS182" s="97"/>
      <c r="GT182" s="97"/>
      <c r="GU182" s="97"/>
      <c r="GV182" s="97"/>
      <c r="GW182" s="97"/>
      <c r="GX182" s="97"/>
      <c r="GY182" s="97"/>
      <c r="GZ182" s="97"/>
      <c r="HA182" s="97"/>
      <c r="HB182" s="97"/>
      <c r="HC182" s="97"/>
      <c r="HD182" s="97"/>
      <c r="HE182" s="97"/>
      <c r="HF182" s="97"/>
      <c r="HG182" s="97"/>
      <c r="HH182" s="97"/>
      <c r="HI182" s="97"/>
      <c r="HJ182" s="97"/>
      <c r="HK182" s="97"/>
      <c r="HL182" s="97"/>
      <c r="HM182" s="97"/>
      <c r="HN182" s="97"/>
      <c r="HO182" s="97"/>
      <c r="HP182" s="97"/>
      <c r="HQ182" s="97"/>
      <c r="HR182" s="97"/>
      <c r="HS182" s="97"/>
      <c r="HT182" s="97"/>
      <c r="HU182" s="97"/>
      <c r="HV182" s="97"/>
      <c r="HW182" s="97"/>
      <c r="HX182" s="97"/>
      <c r="HY182" s="97"/>
      <c r="HZ182" s="97"/>
      <c r="IA182" s="97"/>
      <c r="IB182" s="97"/>
      <c r="IC182" s="97"/>
      <c r="ID182" s="97"/>
      <c r="IE182" s="97"/>
      <c r="IF182" s="97"/>
      <c r="IG182" s="97"/>
      <c r="IH182" s="97"/>
      <c r="II182" s="97"/>
      <c r="IJ182" s="97"/>
      <c r="IK182" s="97"/>
      <c r="IL182" s="97"/>
      <c r="IM182" s="97"/>
      <c r="IN182" s="97"/>
      <c r="IO182" s="97"/>
      <c r="IP182" s="97"/>
      <c r="IQ182" s="97"/>
      <c r="IR182" s="97"/>
      <c r="IS182" s="97"/>
    </row>
    <row r="183" spans="1:253" hidden="1">
      <c r="A183" s="28"/>
      <c r="K183" s="19" t="s">
        <v>84</v>
      </c>
      <c r="L183" s="93" t="s">
        <v>85</v>
      </c>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97"/>
      <c r="BF183" s="97"/>
      <c r="BG183" s="97"/>
      <c r="BH183" s="97"/>
      <c r="BI183" s="97"/>
      <c r="BJ183" s="97"/>
      <c r="BK183" s="97"/>
      <c r="BL183" s="97"/>
      <c r="BM183" s="97"/>
      <c r="BN183" s="97"/>
      <c r="BO183" s="97"/>
      <c r="BP183" s="97"/>
      <c r="BQ183" s="97"/>
      <c r="BR183" s="97"/>
      <c r="BS183" s="97"/>
      <c r="BT183" s="97"/>
      <c r="BU183" s="97"/>
      <c r="BV183" s="97"/>
      <c r="BW183" s="97"/>
      <c r="BX183" s="97"/>
      <c r="BY183" s="97"/>
      <c r="BZ183" s="97"/>
      <c r="CA183" s="97"/>
      <c r="CB183" s="97"/>
      <c r="CC183" s="97"/>
      <c r="CD183" s="97"/>
      <c r="CE183" s="97"/>
      <c r="CF183" s="97"/>
      <c r="CG183" s="97"/>
      <c r="CH183" s="97"/>
      <c r="CI183" s="97"/>
      <c r="CJ183" s="97"/>
      <c r="CK183" s="97"/>
      <c r="CL183" s="97"/>
      <c r="CM183" s="97"/>
      <c r="CN183" s="97"/>
      <c r="CO183" s="97"/>
      <c r="CP183" s="97"/>
      <c r="CQ183" s="97"/>
      <c r="CR183" s="97"/>
      <c r="CS183" s="97"/>
      <c r="CT183" s="97"/>
      <c r="CU183" s="97"/>
      <c r="CV183" s="97"/>
      <c r="CW183" s="97"/>
      <c r="CX183" s="97"/>
      <c r="CY183" s="97"/>
      <c r="CZ183" s="97"/>
      <c r="DA183" s="97"/>
      <c r="DB183" s="97"/>
      <c r="DC183" s="97"/>
      <c r="DD183" s="97"/>
      <c r="DE183" s="97"/>
      <c r="DF183" s="97"/>
      <c r="DG183" s="97"/>
      <c r="DH183" s="97"/>
      <c r="DI183" s="97"/>
      <c r="DJ183" s="97"/>
      <c r="DK183" s="97"/>
      <c r="DL183" s="97"/>
      <c r="DM183" s="97"/>
      <c r="DN183" s="97"/>
      <c r="DO183" s="97"/>
      <c r="DP183" s="97"/>
      <c r="DQ183" s="97"/>
      <c r="DR183" s="97"/>
      <c r="DS183" s="97"/>
      <c r="DT183" s="97"/>
      <c r="DU183" s="97"/>
      <c r="DV183" s="97"/>
      <c r="DW183" s="97"/>
      <c r="DX183" s="97"/>
      <c r="DY183" s="97"/>
      <c r="DZ183" s="97"/>
      <c r="EA183" s="97"/>
      <c r="EB183" s="97"/>
      <c r="EC183" s="97"/>
      <c r="ED183" s="97"/>
      <c r="EE183" s="97"/>
      <c r="EF183" s="97"/>
      <c r="EG183" s="97"/>
      <c r="EH183" s="97"/>
      <c r="EI183" s="97"/>
      <c r="EJ183" s="97"/>
      <c r="EK183" s="97"/>
      <c r="EL183" s="97"/>
      <c r="EM183" s="97"/>
      <c r="EN183" s="97"/>
      <c r="EO183" s="97"/>
      <c r="EP183" s="97"/>
      <c r="EQ183" s="97"/>
      <c r="ER183" s="97"/>
      <c r="ES183" s="97"/>
      <c r="ET183" s="97"/>
      <c r="EU183" s="97"/>
      <c r="EV183" s="97"/>
      <c r="EW183" s="97"/>
      <c r="EX183" s="97"/>
      <c r="EY183" s="97"/>
      <c r="EZ183" s="97"/>
      <c r="FA183" s="97"/>
      <c r="FB183" s="97"/>
      <c r="FC183" s="97"/>
      <c r="FD183" s="97"/>
      <c r="FE183" s="97"/>
      <c r="FF183" s="97"/>
      <c r="FG183" s="97"/>
      <c r="FH183" s="97"/>
      <c r="FI183" s="97"/>
      <c r="FJ183" s="97"/>
      <c r="FK183" s="97"/>
      <c r="FL183" s="97"/>
      <c r="FM183" s="97"/>
      <c r="FN183" s="97"/>
      <c r="FO183" s="97"/>
      <c r="FP183" s="97"/>
      <c r="FQ183" s="97"/>
      <c r="FR183" s="97"/>
      <c r="FS183" s="97"/>
      <c r="FT183" s="97"/>
      <c r="FU183" s="97"/>
      <c r="FV183" s="97"/>
      <c r="FW183" s="97"/>
      <c r="FX183" s="97"/>
      <c r="FY183" s="97"/>
      <c r="FZ183" s="97"/>
      <c r="GA183" s="97"/>
      <c r="GB183" s="97"/>
      <c r="GC183" s="97"/>
      <c r="GD183" s="97"/>
      <c r="GE183" s="97"/>
      <c r="GF183" s="97"/>
      <c r="GG183" s="97"/>
      <c r="GH183" s="97"/>
      <c r="GI183" s="97"/>
      <c r="GJ183" s="97"/>
      <c r="GK183" s="97"/>
      <c r="GL183" s="97"/>
      <c r="GM183" s="97"/>
      <c r="GN183" s="97"/>
      <c r="GO183" s="97"/>
      <c r="GP183" s="97"/>
      <c r="GQ183" s="97"/>
      <c r="GR183" s="97"/>
      <c r="GS183" s="97"/>
      <c r="GT183" s="97"/>
      <c r="GU183" s="97"/>
      <c r="GV183" s="97"/>
      <c r="GW183" s="97"/>
      <c r="GX183" s="97"/>
      <c r="GY183" s="97"/>
      <c r="GZ183" s="97"/>
      <c r="HA183" s="97"/>
      <c r="HB183" s="97"/>
      <c r="HC183" s="97"/>
      <c r="HD183" s="97"/>
      <c r="HE183" s="97"/>
      <c r="HF183" s="97"/>
      <c r="HG183" s="97"/>
      <c r="HH183" s="97"/>
      <c r="HI183" s="97"/>
      <c r="HJ183" s="97"/>
      <c r="HK183" s="97"/>
      <c r="HL183" s="97"/>
      <c r="HM183" s="97"/>
      <c r="HN183" s="97"/>
      <c r="HO183" s="97"/>
      <c r="HP183" s="97"/>
      <c r="HQ183" s="97"/>
      <c r="HR183" s="97"/>
      <c r="HS183" s="97"/>
      <c r="HT183" s="97"/>
      <c r="HU183" s="97"/>
      <c r="HV183" s="97"/>
      <c r="HW183" s="97"/>
      <c r="HX183" s="97"/>
      <c r="HY183" s="97"/>
      <c r="HZ183" s="97"/>
      <c r="IA183" s="97"/>
      <c r="IB183" s="97"/>
      <c r="IC183" s="97"/>
      <c r="ID183" s="97"/>
      <c r="IE183" s="97"/>
      <c r="IF183" s="97"/>
      <c r="IG183" s="97"/>
      <c r="IH183" s="97"/>
      <c r="II183" s="97"/>
      <c r="IJ183" s="97"/>
      <c r="IK183" s="97"/>
      <c r="IL183" s="97"/>
      <c r="IM183" s="97"/>
      <c r="IN183" s="97"/>
      <c r="IO183" s="97"/>
      <c r="IP183" s="97"/>
      <c r="IQ183" s="97"/>
      <c r="IR183" s="97"/>
      <c r="IS183" s="97"/>
    </row>
    <row r="184" spans="1:253" hidden="1">
      <c r="A184" s="28"/>
      <c r="K184" s="19" t="s">
        <v>86</v>
      </c>
      <c r="L184" s="93" t="s">
        <v>87</v>
      </c>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BJ184" s="97"/>
      <c r="BK184" s="97"/>
      <c r="BL184" s="97"/>
      <c r="BM184" s="97"/>
      <c r="BN184" s="97"/>
      <c r="BO184" s="97"/>
      <c r="BP184" s="97"/>
      <c r="BQ184" s="97"/>
      <c r="BR184" s="97"/>
      <c r="BS184" s="97"/>
      <c r="BT184" s="97"/>
      <c r="BU184" s="97"/>
      <c r="BV184" s="97"/>
      <c r="BW184" s="97"/>
      <c r="BX184" s="97"/>
      <c r="BY184" s="97"/>
      <c r="BZ184" s="97"/>
      <c r="CA184" s="97"/>
      <c r="CB184" s="97"/>
      <c r="CC184" s="97"/>
      <c r="CD184" s="97"/>
      <c r="CE184" s="97"/>
      <c r="CF184" s="97"/>
      <c r="CG184" s="97"/>
      <c r="CH184" s="97"/>
      <c r="CI184" s="97"/>
      <c r="CJ184" s="97"/>
      <c r="CK184" s="97"/>
      <c r="CL184" s="97"/>
      <c r="CM184" s="97"/>
      <c r="CN184" s="97"/>
      <c r="CO184" s="97"/>
      <c r="CP184" s="97"/>
      <c r="CQ184" s="97"/>
      <c r="CR184" s="97"/>
      <c r="CS184" s="97"/>
      <c r="CT184" s="97"/>
      <c r="CU184" s="97"/>
      <c r="CV184" s="97"/>
      <c r="CW184" s="97"/>
      <c r="CX184" s="97"/>
      <c r="CY184" s="97"/>
      <c r="CZ184" s="97"/>
      <c r="DA184" s="97"/>
      <c r="DB184" s="97"/>
      <c r="DC184" s="97"/>
      <c r="DD184" s="97"/>
      <c r="DE184" s="97"/>
      <c r="DF184" s="97"/>
      <c r="DG184" s="97"/>
      <c r="DH184" s="97"/>
      <c r="DI184" s="97"/>
      <c r="DJ184" s="97"/>
      <c r="DK184" s="97"/>
      <c r="DL184" s="97"/>
      <c r="DM184" s="97"/>
      <c r="DN184" s="97"/>
      <c r="DO184" s="97"/>
      <c r="DP184" s="97"/>
      <c r="DQ184" s="97"/>
      <c r="DR184" s="97"/>
      <c r="DS184" s="97"/>
      <c r="DT184" s="97"/>
      <c r="DU184" s="97"/>
      <c r="DV184" s="97"/>
      <c r="DW184" s="97"/>
      <c r="DX184" s="97"/>
      <c r="DY184" s="97"/>
      <c r="DZ184" s="97"/>
      <c r="EA184" s="97"/>
      <c r="EB184" s="97"/>
      <c r="EC184" s="97"/>
      <c r="ED184" s="97"/>
      <c r="EE184" s="97"/>
      <c r="EF184" s="97"/>
      <c r="EG184" s="97"/>
      <c r="EH184" s="97"/>
      <c r="EI184" s="97"/>
      <c r="EJ184" s="97"/>
      <c r="EK184" s="97"/>
      <c r="EL184" s="97"/>
      <c r="EM184" s="97"/>
      <c r="EN184" s="97"/>
      <c r="EO184" s="97"/>
      <c r="EP184" s="97"/>
      <c r="EQ184" s="97"/>
      <c r="ER184" s="97"/>
      <c r="ES184" s="97"/>
      <c r="ET184" s="97"/>
      <c r="EU184" s="97"/>
      <c r="EV184" s="97"/>
      <c r="EW184" s="97"/>
      <c r="EX184" s="97"/>
      <c r="EY184" s="97"/>
      <c r="EZ184" s="97"/>
      <c r="FA184" s="97"/>
      <c r="FB184" s="97"/>
      <c r="FC184" s="97"/>
      <c r="FD184" s="97"/>
      <c r="FE184" s="97"/>
      <c r="FF184" s="97"/>
      <c r="FG184" s="97"/>
      <c r="FH184" s="97"/>
      <c r="FI184" s="97"/>
      <c r="FJ184" s="97"/>
      <c r="FK184" s="97"/>
      <c r="FL184" s="97"/>
      <c r="FM184" s="97"/>
      <c r="FN184" s="97"/>
      <c r="FO184" s="97"/>
      <c r="FP184" s="97"/>
      <c r="FQ184" s="97"/>
      <c r="FR184" s="97"/>
      <c r="FS184" s="97"/>
      <c r="FT184" s="97"/>
      <c r="FU184" s="97"/>
      <c r="FV184" s="97"/>
      <c r="FW184" s="97"/>
      <c r="FX184" s="97"/>
      <c r="FY184" s="97"/>
      <c r="FZ184" s="97"/>
      <c r="GA184" s="97"/>
      <c r="GB184" s="97"/>
      <c r="GC184" s="97"/>
      <c r="GD184" s="97"/>
      <c r="GE184" s="97"/>
      <c r="GF184" s="97"/>
      <c r="GG184" s="97"/>
      <c r="GH184" s="97"/>
      <c r="GI184" s="97"/>
      <c r="GJ184" s="97"/>
      <c r="GK184" s="97"/>
      <c r="GL184" s="97"/>
      <c r="GM184" s="97"/>
      <c r="GN184" s="97"/>
      <c r="GO184" s="97"/>
      <c r="GP184" s="97"/>
      <c r="GQ184" s="97"/>
      <c r="GR184" s="97"/>
      <c r="GS184" s="97"/>
      <c r="GT184" s="97"/>
      <c r="GU184" s="97"/>
      <c r="GV184" s="97"/>
      <c r="GW184" s="97"/>
      <c r="GX184" s="97"/>
      <c r="GY184" s="97"/>
      <c r="GZ184" s="97"/>
      <c r="HA184" s="97"/>
      <c r="HB184" s="97"/>
      <c r="HC184" s="97"/>
      <c r="HD184" s="97"/>
      <c r="HE184" s="97"/>
      <c r="HF184" s="97"/>
      <c r="HG184" s="97"/>
      <c r="HH184" s="97"/>
      <c r="HI184" s="97"/>
      <c r="HJ184" s="97"/>
      <c r="HK184" s="97"/>
      <c r="HL184" s="97"/>
      <c r="HM184" s="97"/>
      <c r="HN184" s="97"/>
      <c r="HO184" s="97"/>
      <c r="HP184" s="97"/>
      <c r="HQ184" s="97"/>
      <c r="HR184" s="97"/>
      <c r="HS184" s="97"/>
      <c r="HT184" s="97"/>
      <c r="HU184" s="97"/>
      <c r="HV184" s="97"/>
      <c r="HW184" s="97"/>
      <c r="HX184" s="97"/>
      <c r="HY184" s="97"/>
      <c r="HZ184" s="97"/>
      <c r="IA184" s="97"/>
      <c r="IB184" s="97"/>
      <c r="IC184" s="97"/>
      <c r="ID184" s="97"/>
      <c r="IE184" s="97"/>
      <c r="IF184" s="97"/>
      <c r="IG184" s="97"/>
      <c r="IH184" s="97"/>
      <c r="II184" s="97"/>
      <c r="IJ184" s="97"/>
      <c r="IK184" s="97"/>
      <c r="IL184" s="97"/>
      <c r="IM184" s="97"/>
      <c r="IN184" s="97"/>
      <c r="IO184" s="97"/>
      <c r="IP184" s="97"/>
      <c r="IQ184" s="97"/>
      <c r="IR184" s="97"/>
      <c r="IS184" s="97"/>
    </row>
    <row r="185" spans="1:253" hidden="1">
      <c r="A185" s="28"/>
      <c r="K185" s="19" t="s">
        <v>68</v>
      </c>
      <c r="L185" s="93" t="s">
        <v>88</v>
      </c>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7"/>
      <c r="BR185" s="97"/>
      <c r="BS185" s="97"/>
      <c r="BT185" s="97"/>
      <c r="BU185" s="97"/>
      <c r="BV185" s="97"/>
      <c r="BW185" s="97"/>
      <c r="BX185" s="97"/>
      <c r="BY185" s="97"/>
      <c r="BZ185" s="97"/>
      <c r="CA185" s="97"/>
      <c r="CB185" s="97"/>
      <c r="CC185" s="97"/>
      <c r="CD185" s="97"/>
      <c r="CE185" s="97"/>
      <c r="CF185" s="97"/>
      <c r="CG185" s="97"/>
      <c r="CH185" s="97"/>
      <c r="CI185" s="97"/>
      <c r="CJ185" s="97"/>
      <c r="CK185" s="97"/>
      <c r="CL185" s="97"/>
      <c r="CM185" s="97"/>
      <c r="CN185" s="97"/>
      <c r="CO185" s="97"/>
      <c r="CP185" s="97"/>
      <c r="CQ185" s="97"/>
      <c r="CR185" s="97"/>
      <c r="CS185" s="97"/>
      <c r="CT185" s="97"/>
      <c r="CU185" s="97"/>
      <c r="CV185" s="97"/>
      <c r="CW185" s="97"/>
      <c r="CX185" s="97"/>
      <c r="CY185" s="97"/>
      <c r="CZ185" s="97"/>
      <c r="DA185" s="97"/>
      <c r="DB185" s="97"/>
      <c r="DC185" s="97"/>
      <c r="DD185" s="97"/>
      <c r="DE185" s="97"/>
      <c r="DF185" s="97"/>
      <c r="DG185" s="97"/>
      <c r="DH185" s="97"/>
      <c r="DI185" s="97"/>
      <c r="DJ185" s="97"/>
      <c r="DK185" s="97"/>
      <c r="DL185" s="97"/>
      <c r="DM185" s="97"/>
      <c r="DN185" s="97"/>
      <c r="DO185" s="97"/>
      <c r="DP185" s="97"/>
      <c r="DQ185" s="97"/>
      <c r="DR185" s="97"/>
      <c r="DS185" s="97"/>
      <c r="DT185" s="97"/>
      <c r="DU185" s="97"/>
      <c r="DV185" s="97"/>
      <c r="DW185" s="97"/>
      <c r="DX185" s="97"/>
      <c r="DY185" s="97"/>
      <c r="DZ185" s="97"/>
      <c r="EA185" s="97"/>
      <c r="EB185" s="97"/>
      <c r="EC185" s="97"/>
      <c r="ED185" s="97"/>
      <c r="EE185" s="97"/>
      <c r="EF185" s="97"/>
      <c r="EG185" s="97"/>
      <c r="EH185" s="97"/>
      <c r="EI185" s="97"/>
      <c r="EJ185" s="97"/>
      <c r="EK185" s="97"/>
      <c r="EL185" s="97"/>
      <c r="EM185" s="97"/>
      <c r="EN185" s="97"/>
      <c r="EO185" s="97"/>
      <c r="EP185" s="97"/>
      <c r="EQ185" s="97"/>
      <c r="ER185" s="97"/>
      <c r="ES185" s="97"/>
      <c r="ET185" s="97"/>
      <c r="EU185" s="97"/>
      <c r="EV185" s="97"/>
      <c r="EW185" s="97"/>
      <c r="EX185" s="97"/>
      <c r="EY185" s="97"/>
      <c r="EZ185" s="97"/>
      <c r="FA185" s="97"/>
      <c r="FB185" s="97"/>
      <c r="FC185" s="97"/>
      <c r="FD185" s="97"/>
      <c r="FE185" s="97"/>
      <c r="FF185" s="97"/>
      <c r="FG185" s="97"/>
      <c r="FH185" s="97"/>
      <c r="FI185" s="97"/>
      <c r="FJ185" s="97"/>
      <c r="FK185" s="97"/>
      <c r="FL185" s="97"/>
      <c r="FM185" s="97"/>
      <c r="FN185" s="97"/>
      <c r="FO185" s="97"/>
      <c r="FP185" s="97"/>
      <c r="FQ185" s="97"/>
      <c r="FR185" s="97"/>
      <c r="FS185" s="97"/>
      <c r="FT185" s="97"/>
      <c r="FU185" s="97"/>
      <c r="FV185" s="97"/>
      <c r="FW185" s="97"/>
      <c r="FX185" s="97"/>
      <c r="FY185" s="97"/>
      <c r="FZ185" s="97"/>
      <c r="GA185" s="97"/>
      <c r="GB185" s="97"/>
      <c r="GC185" s="97"/>
      <c r="GD185" s="97"/>
      <c r="GE185" s="97"/>
      <c r="GF185" s="97"/>
      <c r="GG185" s="97"/>
      <c r="GH185" s="97"/>
      <c r="GI185" s="97"/>
      <c r="GJ185" s="97"/>
      <c r="GK185" s="97"/>
      <c r="GL185" s="97"/>
      <c r="GM185" s="97"/>
      <c r="GN185" s="97"/>
      <c r="GO185" s="97"/>
      <c r="GP185" s="97"/>
      <c r="GQ185" s="97"/>
      <c r="GR185" s="97"/>
      <c r="GS185" s="97"/>
      <c r="GT185" s="97"/>
      <c r="GU185" s="97"/>
      <c r="GV185" s="97"/>
      <c r="GW185" s="97"/>
      <c r="GX185" s="97"/>
      <c r="GY185" s="97"/>
      <c r="GZ185" s="97"/>
      <c r="HA185" s="97"/>
      <c r="HB185" s="97"/>
      <c r="HC185" s="97"/>
      <c r="HD185" s="97"/>
      <c r="HE185" s="97"/>
      <c r="HF185" s="97"/>
      <c r="HG185" s="97"/>
      <c r="HH185" s="97"/>
      <c r="HI185" s="97"/>
      <c r="HJ185" s="97"/>
      <c r="HK185" s="97"/>
      <c r="HL185" s="97"/>
      <c r="HM185" s="97"/>
      <c r="HN185" s="97"/>
      <c r="HO185" s="97"/>
      <c r="HP185" s="97"/>
      <c r="HQ185" s="97"/>
      <c r="HR185" s="97"/>
      <c r="HS185" s="97"/>
      <c r="HT185" s="97"/>
      <c r="HU185" s="97"/>
      <c r="HV185" s="97"/>
      <c r="HW185" s="97"/>
      <c r="HX185" s="97"/>
      <c r="HY185" s="97"/>
      <c r="HZ185" s="97"/>
      <c r="IA185" s="97"/>
      <c r="IB185" s="97"/>
      <c r="IC185" s="97"/>
      <c r="ID185" s="97"/>
      <c r="IE185" s="97"/>
      <c r="IF185" s="97"/>
      <c r="IG185" s="97"/>
      <c r="IH185" s="97"/>
      <c r="II185" s="97"/>
      <c r="IJ185" s="97"/>
      <c r="IK185" s="97"/>
      <c r="IL185" s="97"/>
      <c r="IM185" s="97"/>
      <c r="IN185" s="97"/>
      <c r="IO185" s="97"/>
      <c r="IP185" s="97"/>
      <c r="IQ185" s="97"/>
      <c r="IR185" s="97"/>
      <c r="IS185" s="97"/>
    </row>
    <row r="186" spans="1:253" hidden="1">
      <c r="A186" s="28"/>
      <c r="K186" s="19" t="s">
        <v>69</v>
      </c>
      <c r="L186" s="93" t="s">
        <v>89</v>
      </c>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7"/>
      <c r="BR186" s="97"/>
      <c r="BS186" s="97"/>
      <c r="BT186" s="97"/>
      <c r="BU186" s="97"/>
      <c r="BV186" s="97"/>
      <c r="BW186" s="97"/>
      <c r="BX186" s="97"/>
      <c r="BY186" s="97"/>
      <c r="BZ186" s="97"/>
      <c r="CA186" s="97"/>
      <c r="CB186" s="97"/>
      <c r="CC186" s="97"/>
      <c r="CD186" s="97"/>
      <c r="CE186" s="97"/>
      <c r="CF186" s="97"/>
      <c r="CG186" s="97"/>
      <c r="CH186" s="97"/>
      <c r="CI186" s="97"/>
      <c r="CJ186" s="97"/>
      <c r="CK186" s="97"/>
      <c r="CL186" s="97"/>
      <c r="CM186" s="97"/>
      <c r="CN186" s="97"/>
      <c r="CO186" s="97"/>
      <c r="CP186" s="97"/>
      <c r="CQ186" s="97"/>
      <c r="CR186" s="97"/>
      <c r="CS186" s="97"/>
      <c r="CT186" s="97"/>
      <c r="CU186" s="97"/>
      <c r="CV186" s="97"/>
      <c r="CW186" s="97"/>
      <c r="CX186" s="97"/>
      <c r="CY186" s="97"/>
      <c r="CZ186" s="97"/>
      <c r="DA186" s="97"/>
      <c r="DB186" s="97"/>
      <c r="DC186" s="97"/>
      <c r="DD186" s="97"/>
      <c r="DE186" s="97"/>
      <c r="DF186" s="97"/>
      <c r="DG186" s="97"/>
      <c r="DH186" s="97"/>
      <c r="DI186" s="97"/>
      <c r="DJ186" s="97"/>
      <c r="DK186" s="97"/>
      <c r="DL186" s="97"/>
      <c r="DM186" s="97"/>
      <c r="DN186" s="97"/>
      <c r="DO186" s="97"/>
      <c r="DP186" s="97"/>
      <c r="DQ186" s="97"/>
      <c r="DR186" s="97"/>
      <c r="DS186" s="97"/>
      <c r="DT186" s="97"/>
      <c r="DU186" s="97"/>
      <c r="DV186" s="97"/>
      <c r="DW186" s="97"/>
      <c r="DX186" s="97"/>
      <c r="DY186" s="97"/>
      <c r="DZ186" s="97"/>
      <c r="EA186" s="97"/>
      <c r="EB186" s="97"/>
      <c r="EC186" s="97"/>
      <c r="ED186" s="97"/>
      <c r="EE186" s="97"/>
      <c r="EF186" s="97"/>
      <c r="EG186" s="97"/>
      <c r="EH186" s="97"/>
      <c r="EI186" s="97"/>
      <c r="EJ186" s="97"/>
      <c r="EK186" s="97"/>
      <c r="EL186" s="97"/>
      <c r="EM186" s="97"/>
      <c r="EN186" s="97"/>
      <c r="EO186" s="97"/>
      <c r="EP186" s="97"/>
      <c r="EQ186" s="97"/>
      <c r="ER186" s="97"/>
      <c r="ES186" s="97"/>
      <c r="ET186" s="97"/>
      <c r="EU186" s="97"/>
      <c r="EV186" s="97"/>
      <c r="EW186" s="97"/>
      <c r="EX186" s="97"/>
      <c r="EY186" s="97"/>
      <c r="EZ186" s="97"/>
      <c r="FA186" s="97"/>
      <c r="FB186" s="97"/>
      <c r="FC186" s="97"/>
      <c r="FD186" s="97"/>
      <c r="FE186" s="97"/>
      <c r="FF186" s="97"/>
      <c r="FG186" s="97"/>
      <c r="FH186" s="97"/>
      <c r="FI186" s="97"/>
      <c r="FJ186" s="97"/>
      <c r="FK186" s="97"/>
      <c r="FL186" s="97"/>
      <c r="FM186" s="97"/>
      <c r="FN186" s="97"/>
      <c r="FO186" s="97"/>
      <c r="FP186" s="97"/>
      <c r="FQ186" s="97"/>
      <c r="FR186" s="97"/>
      <c r="FS186" s="97"/>
      <c r="FT186" s="97"/>
      <c r="FU186" s="97"/>
      <c r="FV186" s="97"/>
      <c r="FW186" s="97"/>
      <c r="FX186" s="97"/>
      <c r="FY186" s="97"/>
      <c r="FZ186" s="97"/>
      <c r="GA186" s="97"/>
      <c r="GB186" s="97"/>
      <c r="GC186" s="97"/>
      <c r="GD186" s="97"/>
      <c r="GE186" s="97"/>
      <c r="GF186" s="97"/>
      <c r="GG186" s="97"/>
      <c r="GH186" s="97"/>
      <c r="GI186" s="97"/>
      <c r="GJ186" s="97"/>
      <c r="GK186" s="97"/>
      <c r="GL186" s="97"/>
      <c r="GM186" s="97"/>
      <c r="GN186" s="97"/>
      <c r="GO186" s="97"/>
      <c r="GP186" s="97"/>
      <c r="GQ186" s="97"/>
      <c r="GR186" s="97"/>
      <c r="GS186" s="97"/>
      <c r="GT186" s="97"/>
      <c r="GU186" s="97"/>
      <c r="GV186" s="97"/>
      <c r="GW186" s="97"/>
      <c r="GX186" s="97"/>
      <c r="GY186" s="97"/>
      <c r="GZ186" s="97"/>
      <c r="HA186" s="97"/>
      <c r="HB186" s="97"/>
      <c r="HC186" s="97"/>
      <c r="HD186" s="97"/>
      <c r="HE186" s="97"/>
      <c r="HF186" s="97"/>
      <c r="HG186" s="97"/>
      <c r="HH186" s="97"/>
      <c r="HI186" s="97"/>
      <c r="HJ186" s="97"/>
      <c r="HK186" s="97"/>
      <c r="HL186" s="97"/>
      <c r="HM186" s="97"/>
      <c r="HN186" s="97"/>
      <c r="HO186" s="97"/>
      <c r="HP186" s="97"/>
      <c r="HQ186" s="97"/>
      <c r="HR186" s="97"/>
      <c r="HS186" s="97"/>
      <c r="HT186" s="97"/>
      <c r="HU186" s="97"/>
      <c r="HV186" s="97"/>
      <c r="HW186" s="97"/>
      <c r="HX186" s="97"/>
      <c r="HY186" s="97"/>
      <c r="HZ186" s="97"/>
      <c r="IA186" s="97"/>
      <c r="IB186" s="97"/>
      <c r="IC186" s="97"/>
      <c r="ID186" s="97"/>
      <c r="IE186" s="97"/>
      <c r="IF186" s="97"/>
      <c r="IG186" s="97"/>
      <c r="IH186" s="97"/>
      <c r="II186" s="97"/>
      <c r="IJ186" s="97"/>
      <c r="IK186" s="97"/>
      <c r="IL186" s="97"/>
      <c r="IM186" s="97"/>
      <c r="IN186" s="97"/>
      <c r="IO186" s="97"/>
      <c r="IP186" s="97"/>
      <c r="IQ186" s="97"/>
      <c r="IR186" s="97"/>
      <c r="IS186" s="97"/>
    </row>
    <row r="187" spans="1:253" hidden="1">
      <c r="A187" s="28"/>
      <c r="K187" s="19" t="s">
        <v>90</v>
      </c>
      <c r="L187" s="93" t="s">
        <v>91</v>
      </c>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c r="AX187" s="97"/>
      <c r="AY187" s="97"/>
      <c r="AZ187" s="97"/>
      <c r="BA187" s="97"/>
      <c r="BB187" s="97"/>
      <c r="BC187" s="97"/>
      <c r="BD187" s="97"/>
      <c r="BE187" s="97"/>
      <c r="BF187" s="97"/>
      <c r="BG187" s="97"/>
      <c r="BH187" s="97"/>
      <c r="BI187" s="97"/>
      <c r="BJ187" s="97"/>
      <c r="BK187" s="97"/>
      <c r="BL187" s="97"/>
      <c r="BM187" s="97"/>
      <c r="BN187" s="97"/>
      <c r="BO187" s="97"/>
      <c r="BP187" s="97"/>
      <c r="BQ187" s="97"/>
      <c r="BR187" s="97"/>
      <c r="BS187" s="97"/>
      <c r="BT187" s="97"/>
      <c r="BU187" s="97"/>
      <c r="BV187" s="97"/>
      <c r="BW187" s="97"/>
      <c r="BX187" s="97"/>
      <c r="BY187" s="97"/>
      <c r="BZ187" s="97"/>
      <c r="CA187" s="97"/>
      <c r="CB187" s="97"/>
      <c r="CC187" s="97"/>
      <c r="CD187" s="97"/>
      <c r="CE187" s="97"/>
      <c r="CF187" s="97"/>
      <c r="CG187" s="97"/>
      <c r="CH187" s="97"/>
      <c r="CI187" s="97"/>
      <c r="CJ187" s="97"/>
      <c r="CK187" s="97"/>
      <c r="CL187" s="97"/>
      <c r="CM187" s="97"/>
      <c r="CN187" s="97"/>
      <c r="CO187" s="97"/>
      <c r="CP187" s="97"/>
      <c r="CQ187" s="97"/>
      <c r="CR187" s="97"/>
      <c r="CS187" s="97"/>
      <c r="CT187" s="97"/>
      <c r="CU187" s="97"/>
      <c r="CV187" s="97"/>
      <c r="CW187" s="97"/>
      <c r="CX187" s="97"/>
      <c r="CY187" s="97"/>
      <c r="CZ187" s="97"/>
      <c r="DA187" s="97"/>
      <c r="DB187" s="97"/>
      <c r="DC187" s="97"/>
      <c r="DD187" s="97"/>
      <c r="DE187" s="97"/>
      <c r="DF187" s="97"/>
      <c r="DG187" s="97"/>
      <c r="DH187" s="97"/>
      <c r="DI187" s="97"/>
      <c r="DJ187" s="97"/>
      <c r="DK187" s="97"/>
      <c r="DL187" s="97"/>
      <c r="DM187" s="97"/>
      <c r="DN187" s="97"/>
      <c r="DO187" s="97"/>
      <c r="DP187" s="97"/>
      <c r="DQ187" s="97"/>
      <c r="DR187" s="97"/>
      <c r="DS187" s="97"/>
      <c r="DT187" s="97"/>
      <c r="DU187" s="97"/>
      <c r="DV187" s="97"/>
      <c r="DW187" s="97"/>
      <c r="DX187" s="97"/>
      <c r="DY187" s="97"/>
      <c r="DZ187" s="97"/>
      <c r="EA187" s="97"/>
      <c r="EB187" s="97"/>
      <c r="EC187" s="97"/>
      <c r="ED187" s="97"/>
      <c r="EE187" s="97"/>
      <c r="EF187" s="97"/>
      <c r="EG187" s="97"/>
      <c r="EH187" s="97"/>
      <c r="EI187" s="97"/>
      <c r="EJ187" s="97"/>
      <c r="EK187" s="97"/>
      <c r="EL187" s="97"/>
      <c r="EM187" s="97"/>
      <c r="EN187" s="97"/>
      <c r="EO187" s="97"/>
      <c r="EP187" s="97"/>
      <c r="EQ187" s="97"/>
      <c r="ER187" s="97"/>
      <c r="ES187" s="97"/>
      <c r="ET187" s="97"/>
      <c r="EU187" s="97"/>
      <c r="EV187" s="97"/>
      <c r="EW187" s="97"/>
      <c r="EX187" s="97"/>
      <c r="EY187" s="97"/>
      <c r="EZ187" s="97"/>
      <c r="FA187" s="97"/>
      <c r="FB187" s="97"/>
      <c r="FC187" s="97"/>
      <c r="FD187" s="97"/>
      <c r="FE187" s="97"/>
      <c r="FF187" s="97"/>
      <c r="FG187" s="97"/>
      <c r="FH187" s="97"/>
      <c r="FI187" s="97"/>
      <c r="FJ187" s="97"/>
      <c r="FK187" s="97"/>
      <c r="FL187" s="97"/>
      <c r="FM187" s="97"/>
      <c r="FN187" s="97"/>
      <c r="FO187" s="97"/>
      <c r="FP187" s="97"/>
      <c r="FQ187" s="97"/>
      <c r="FR187" s="97"/>
      <c r="FS187" s="97"/>
      <c r="FT187" s="97"/>
      <c r="FU187" s="97"/>
      <c r="FV187" s="97"/>
      <c r="FW187" s="97"/>
      <c r="FX187" s="97"/>
      <c r="FY187" s="97"/>
      <c r="FZ187" s="97"/>
      <c r="GA187" s="97"/>
      <c r="GB187" s="97"/>
      <c r="GC187" s="97"/>
      <c r="GD187" s="97"/>
      <c r="GE187" s="97"/>
      <c r="GF187" s="97"/>
      <c r="GG187" s="97"/>
      <c r="GH187" s="97"/>
      <c r="GI187" s="97"/>
      <c r="GJ187" s="97"/>
      <c r="GK187" s="97"/>
      <c r="GL187" s="97"/>
      <c r="GM187" s="97"/>
      <c r="GN187" s="97"/>
      <c r="GO187" s="97"/>
      <c r="GP187" s="97"/>
      <c r="GQ187" s="97"/>
      <c r="GR187" s="97"/>
      <c r="GS187" s="97"/>
      <c r="GT187" s="97"/>
      <c r="GU187" s="97"/>
      <c r="GV187" s="97"/>
      <c r="GW187" s="97"/>
      <c r="GX187" s="97"/>
      <c r="GY187" s="97"/>
      <c r="GZ187" s="97"/>
      <c r="HA187" s="97"/>
      <c r="HB187" s="97"/>
      <c r="HC187" s="97"/>
      <c r="HD187" s="97"/>
      <c r="HE187" s="97"/>
      <c r="HF187" s="97"/>
      <c r="HG187" s="97"/>
      <c r="HH187" s="97"/>
      <c r="HI187" s="97"/>
      <c r="HJ187" s="97"/>
      <c r="HK187" s="97"/>
      <c r="HL187" s="97"/>
      <c r="HM187" s="97"/>
      <c r="HN187" s="97"/>
      <c r="HO187" s="97"/>
      <c r="HP187" s="97"/>
      <c r="HQ187" s="97"/>
      <c r="HR187" s="97"/>
      <c r="HS187" s="97"/>
      <c r="HT187" s="97"/>
      <c r="HU187" s="97"/>
      <c r="HV187" s="97"/>
      <c r="HW187" s="97"/>
      <c r="HX187" s="97"/>
      <c r="HY187" s="97"/>
      <c r="HZ187" s="97"/>
      <c r="IA187" s="97"/>
      <c r="IB187" s="97"/>
      <c r="IC187" s="97"/>
      <c r="ID187" s="97"/>
      <c r="IE187" s="97"/>
      <c r="IF187" s="97"/>
      <c r="IG187" s="97"/>
      <c r="IH187" s="97"/>
      <c r="II187" s="97"/>
      <c r="IJ187" s="97"/>
      <c r="IK187" s="97"/>
      <c r="IL187" s="97"/>
      <c r="IM187" s="97"/>
      <c r="IN187" s="97"/>
      <c r="IO187" s="97"/>
      <c r="IP187" s="97"/>
      <c r="IQ187" s="97"/>
      <c r="IR187" s="97"/>
      <c r="IS187" s="97"/>
    </row>
    <row r="188" spans="1:253" hidden="1">
      <c r="A188" s="28"/>
      <c r="K188" s="19" t="s">
        <v>92</v>
      </c>
      <c r="L188" s="93" t="s">
        <v>93</v>
      </c>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7"/>
      <c r="AY188" s="97"/>
      <c r="AZ188" s="97"/>
      <c r="BA188" s="97"/>
      <c r="BB188" s="97"/>
      <c r="BC188" s="97"/>
      <c r="BD188" s="97"/>
      <c r="BE188" s="97"/>
      <c r="BF188" s="97"/>
      <c r="BG188" s="97"/>
      <c r="BH188" s="97"/>
      <c r="BI188" s="97"/>
      <c r="BJ188" s="97"/>
      <c r="BK188" s="97"/>
      <c r="BL188" s="97"/>
      <c r="BM188" s="97"/>
      <c r="BN188" s="97"/>
      <c r="BO188" s="97"/>
      <c r="BP188" s="97"/>
      <c r="BQ188" s="97"/>
      <c r="BR188" s="97"/>
      <c r="BS188" s="97"/>
      <c r="BT188" s="97"/>
      <c r="BU188" s="97"/>
      <c r="BV188" s="97"/>
      <c r="BW188" s="97"/>
      <c r="BX188" s="97"/>
      <c r="BY188" s="97"/>
      <c r="BZ188" s="97"/>
      <c r="CA188" s="97"/>
      <c r="CB188" s="97"/>
      <c r="CC188" s="97"/>
      <c r="CD188" s="97"/>
      <c r="CE188" s="97"/>
      <c r="CF188" s="97"/>
      <c r="CG188" s="97"/>
      <c r="CH188" s="97"/>
      <c r="CI188" s="97"/>
      <c r="CJ188" s="97"/>
      <c r="CK188" s="97"/>
      <c r="CL188" s="97"/>
      <c r="CM188" s="97"/>
      <c r="CN188" s="97"/>
      <c r="CO188" s="97"/>
      <c r="CP188" s="97"/>
      <c r="CQ188" s="97"/>
      <c r="CR188" s="97"/>
      <c r="CS188" s="97"/>
      <c r="CT188" s="97"/>
      <c r="CU188" s="97"/>
      <c r="CV188" s="97"/>
      <c r="CW188" s="97"/>
      <c r="CX188" s="97"/>
      <c r="CY188" s="97"/>
      <c r="CZ188" s="97"/>
      <c r="DA188" s="97"/>
      <c r="DB188" s="97"/>
      <c r="DC188" s="97"/>
      <c r="DD188" s="97"/>
      <c r="DE188" s="97"/>
      <c r="DF188" s="97"/>
      <c r="DG188" s="97"/>
      <c r="DH188" s="97"/>
      <c r="DI188" s="97"/>
      <c r="DJ188" s="97"/>
      <c r="DK188" s="97"/>
      <c r="DL188" s="97"/>
      <c r="DM188" s="97"/>
      <c r="DN188" s="97"/>
      <c r="DO188" s="97"/>
      <c r="DP188" s="97"/>
      <c r="DQ188" s="97"/>
      <c r="DR188" s="97"/>
      <c r="DS188" s="97"/>
      <c r="DT188" s="97"/>
      <c r="DU188" s="97"/>
      <c r="DV188" s="97"/>
      <c r="DW188" s="97"/>
      <c r="DX188" s="97"/>
      <c r="DY188" s="97"/>
      <c r="DZ188" s="97"/>
      <c r="EA188" s="97"/>
      <c r="EB188" s="97"/>
      <c r="EC188" s="97"/>
      <c r="ED188" s="97"/>
      <c r="EE188" s="97"/>
      <c r="EF188" s="97"/>
      <c r="EG188" s="97"/>
      <c r="EH188" s="97"/>
      <c r="EI188" s="97"/>
      <c r="EJ188" s="97"/>
      <c r="EK188" s="97"/>
      <c r="EL188" s="97"/>
      <c r="EM188" s="97"/>
      <c r="EN188" s="97"/>
      <c r="EO188" s="97"/>
      <c r="EP188" s="97"/>
      <c r="EQ188" s="97"/>
      <c r="ER188" s="97"/>
      <c r="ES188" s="97"/>
      <c r="ET188" s="97"/>
      <c r="EU188" s="97"/>
      <c r="EV188" s="97"/>
      <c r="EW188" s="97"/>
      <c r="EX188" s="97"/>
      <c r="EY188" s="97"/>
      <c r="EZ188" s="97"/>
      <c r="FA188" s="97"/>
      <c r="FB188" s="97"/>
      <c r="FC188" s="97"/>
      <c r="FD188" s="97"/>
      <c r="FE188" s="97"/>
      <c r="FF188" s="97"/>
      <c r="FG188" s="97"/>
      <c r="FH188" s="97"/>
      <c r="FI188" s="97"/>
      <c r="FJ188" s="97"/>
      <c r="FK188" s="97"/>
      <c r="FL188" s="97"/>
      <c r="FM188" s="97"/>
      <c r="FN188" s="97"/>
      <c r="FO188" s="97"/>
      <c r="FP188" s="97"/>
      <c r="FQ188" s="97"/>
      <c r="FR188" s="97"/>
      <c r="FS188" s="97"/>
      <c r="FT188" s="97"/>
      <c r="FU188" s="97"/>
      <c r="FV188" s="97"/>
      <c r="FW188" s="97"/>
      <c r="FX188" s="97"/>
      <c r="FY188" s="97"/>
      <c r="FZ188" s="97"/>
      <c r="GA188" s="97"/>
      <c r="GB188" s="97"/>
      <c r="GC188" s="97"/>
      <c r="GD188" s="97"/>
      <c r="GE188" s="97"/>
      <c r="GF188" s="97"/>
      <c r="GG188" s="97"/>
      <c r="GH188" s="97"/>
      <c r="GI188" s="97"/>
      <c r="GJ188" s="97"/>
      <c r="GK188" s="97"/>
      <c r="GL188" s="97"/>
      <c r="GM188" s="97"/>
      <c r="GN188" s="97"/>
      <c r="GO188" s="97"/>
      <c r="GP188" s="97"/>
      <c r="GQ188" s="97"/>
      <c r="GR188" s="97"/>
      <c r="GS188" s="97"/>
      <c r="GT188" s="97"/>
      <c r="GU188" s="97"/>
      <c r="GV188" s="97"/>
      <c r="GW188" s="97"/>
      <c r="GX188" s="97"/>
      <c r="GY188" s="97"/>
      <c r="GZ188" s="97"/>
      <c r="HA188" s="97"/>
      <c r="HB188" s="97"/>
      <c r="HC188" s="97"/>
      <c r="HD188" s="97"/>
      <c r="HE188" s="97"/>
      <c r="HF188" s="97"/>
      <c r="HG188" s="97"/>
      <c r="HH188" s="97"/>
      <c r="HI188" s="97"/>
      <c r="HJ188" s="97"/>
      <c r="HK188" s="97"/>
      <c r="HL188" s="97"/>
      <c r="HM188" s="97"/>
      <c r="HN188" s="97"/>
      <c r="HO188" s="97"/>
      <c r="HP188" s="97"/>
      <c r="HQ188" s="97"/>
      <c r="HR188" s="97"/>
      <c r="HS188" s="97"/>
      <c r="HT188" s="97"/>
      <c r="HU188" s="97"/>
      <c r="HV188" s="97"/>
      <c r="HW188" s="97"/>
      <c r="HX188" s="97"/>
      <c r="HY188" s="97"/>
      <c r="HZ188" s="97"/>
      <c r="IA188" s="97"/>
      <c r="IB188" s="97"/>
      <c r="IC188" s="97"/>
      <c r="ID188" s="97"/>
      <c r="IE188" s="97"/>
      <c r="IF188" s="97"/>
      <c r="IG188" s="97"/>
      <c r="IH188" s="97"/>
      <c r="II188" s="97"/>
      <c r="IJ188" s="97"/>
      <c r="IK188" s="97"/>
      <c r="IL188" s="97"/>
      <c r="IM188" s="97"/>
      <c r="IN188" s="97"/>
      <c r="IO188" s="97"/>
      <c r="IP188" s="97"/>
      <c r="IQ188" s="97"/>
      <c r="IR188" s="97"/>
      <c r="IS188" s="97"/>
    </row>
    <row r="189" spans="1:253" hidden="1">
      <c r="A189" s="28"/>
      <c r="K189" s="19" t="s">
        <v>94</v>
      </c>
      <c r="L189" s="93" t="s">
        <v>95</v>
      </c>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7"/>
      <c r="AY189" s="97"/>
      <c r="AZ189" s="97"/>
      <c r="BA189" s="97"/>
      <c r="BB189" s="97"/>
      <c r="BC189" s="97"/>
      <c r="BD189" s="97"/>
      <c r="BE189" s="97"/>
      <c r="BF189" s="97"/>
      <c r="BG189" s="97"/>
      <c r="BH189" s="97"/>
      <c r="BI189" s="97"/>
      <c r="BJ189" s="97"/>
      <c r="BK189" s="97"/>
      <c r="BL189" s="97"/>
      <c r="BM189" s="97"/>
      <c r="BN189" s="97"/>
      <c r="BO189" s="97"/>
      <c r="BP189" s="97"/>
      <c r="BQ189" s="97"/>
      <c r="BR189" s="97"/>
      <c r="BS189" s="97"/>
      <c r="BT189" s="97"/>
      <c r="BU189" s="97"/>
      <c r="BV189" s="97"/>
      <c r="BW189" s="97"/>
      <c r="BX189" s="97"/>
      <c r="BY189" s="97"/>
      <c r="BZ189" s="97"/>
      <c r="CA189" s="97"/>
      <c r="CB189" s="97"/>
      <c r="CC189" s="97"/>
      <c r="CD189" s="97"/>
      <c r="CE189" s="97"/>
      <c r="CF189" s="97"/>
      <c r="CG189" s="97"/>
      <c r="CH189" s="97"/>
      <c r="CI189" s="97"/>
      <c r="CJ189" s="97"/>
      <c r="CK189" s="97"/>
      <c r="CL189" s="97"/>
      <c r="CM189" s="97"/>
      <c r="CN189" s="97"/>
      <c r="CO189" s="97"/>
      <c r="CP189" s="97"/>
      <c r="CQ189" s="97"/>
      <c r="CR189" s="97"/>
      <c r="CS189" s="97"/>
      <c r="CT189" s="97"/>
      <c r="CU189" s="97"/>
      <c r="CV189" s="97"/>
      <c r="CW189" s="97"/>
      <c r="CX189" s="97"/>
      <c r="CY189" s="97"/>
      <c r="CZ189" s="97"/>
      <c r="DA189" s="97"/>
      <c r="DB189" s="97"/>
      <c r="DC189" s="97"/>
      <c r="DD189" s="97"/>
      <c r="DE189" s="97"/>
      <c r="DF189" s="97"/>
      <c r="DG189" s="97"/>
      <c r="DH189" s="97"/>
      <c r="DI189" s="97"/>
      <c r="DJ189" s="97"/>
      <c r="DK189" s="97"/>
      <c r="DL189" s="97"/>
      <c r="DM189" s="97"/>
      <c r="DN189" s="97"/>
      <c r="DO189" s="97"/>
      <c r="DP189" s="97"/>
      <c r="DQ189" s="97"/>
      <c r="DR189" s="97"/>
      <c r="DS189" s="97"/>
      <c r="DT189" s="97"/>
      <c r="DU189" s="97"/>
      <c r="DV189" s="97"/>
      <c r="DW189" s="97"/>
      <c r="DX189" s="97"/>
      <c r="DY189" s="97"/>
      <c r="DZ189" s="97"/>
      <c r="EA189" s="97"/>
      <c r="EB189" s="97"/>
      <c r="EC189" s="97"/>
      <c r="ED189" s="97"/>
      <c r="EE189" s="97"/>
      <c r="EF189" s="97"/>
      <c r="EG189" s="97"/>
      <c r="EH189" s="97"/>
      <c r="EI189" s="97"/>
      <c r="EJ189" s="97"/>
      <c r="EK189" s="97"/>
      <c r="EL189" s="97"/>
      <c r="EM189" s="97"/>
      <c r="EN189" s="97"/>
      <c r="EO189" s="97"/>
      <c r="EP189" s="97"/>
      <c r="EQ189" s="97"/>
      <c r="ER189" s="97"/>
      <c r="ES189" s="97"/>
      <c r="ET189" s="97"/>
      <c r="EU189" s="97"/>
      <c r="EV189" s="97"/>
      <c r="EW189" s="97"/>
      <c r="EX189" s="97"/>
      <c r="EY189" s="97"/>
      <c r="EZ189" s="97"/>
      <c r="FA189" s="97"/>
      <c r="FB189" s="97"/>
      <c r="FC189" s="97"/>
      <c r="FD189" s="97"/>
      <c r="FE189" s="97"/>
      <c r="FF189" s="97"/>
      <c r="FG189" s="97"/>
      <c r="FH189" s="97"/>
      <c r="FI189" s="97"/>
      <c r="FJ189" s="97"/>
      <c r="FK189" s="97"/>
      <c r="FL189" s="97"/>
      <c r="FM189" s="97"/>
      <c r="FN189" s="97"/>
      <c r="FO189" s="97"/>
      <c r="FP189" s="97"/>
      <c r="FQ189" s="97"/>
      <c r="FR189" s="97"/>
      <c r="FS189" s="97"/>
      <c r="FT189" s="97"/>
      <c r="FU189" s="97"/>
      <c r="FV189" s="97"/>
      <c r="FW189" s="97"/>
      <c r="FX189" s="97"/>
      <c r="FY189" s="97"/>
      <c r="FZ189" s="97"/>
      <c r="GA189" s="97"/>
      <c r="GB189" s="97"/>
      <c r="GC189" s="97"/>
      <c r="GD189" s="97"/>
      <c r="GE189" s="97"/>
      <c r="GF189" s="97"/>
      <c r="GG189" s="97"/>
      <c r="GH189" s="97"/>
      <c r="GI189" s="97"/>
      <c r="GJ189" s="97"/>
      <c r="GK189" s="97"/>
      <c r="GL189" s="97"/>
      <c r="GM189" s="97"/>
      <c r="GN189" s="97"/>
      <c r="GO189" s="97"/>
      <c r="GP189" s="97"/>
      <c r="GQ189" s="97"/>
      <c r="GR189" s="97"/>
      <c r="GS189" s="97"/>
      <c r="GT189" s="97"/>
      <c r="GU189" s="97"/>
      <c r="GV189" s="97"/>
      <c r="GW189" s="97"/>
      <c r="GX189" s="97"/>
      <c r="GY189" s="97"/>
      <c r="GZ189" s="97"/>
      <c r="HA189" s="97"/>
      <c r="HB189" s="97"/>
      <c r="HC189" s="97"/>
      <c r="HD189" s="97"/>
      <c r="HE189" s="97"/>
      <c r="HF189" s="97"/>
      <c r="HG189" s="97"/>
      <c r="HH189" s="97"/>
      <c r="HI189" s="97"/>
      <c r="HJ189" s="97"/>
      <c r="HK189" s="97"/>
      <c r="HL189" s="97"/>
      <c r="HM189" s="97"/>
      <c r="HN189" s="97"/>
      <c r="HO189" s="97"/>
      <c r="HP189" s="97"/>
      <c r="HQ189" s="97"/>
      <c r="HR189" s="97"/>
      <c r="HS189" s="97"/>
      <c r="HT189" s="97"/>
      <c r="HU189" s="97"/>
      <c r="HV189" s="97"/>
      <c r="HW189" s="97"/>
      <c r="HX189" s="97"/>
      <c r="HY189" s="97"/>
      <c r="HZ189" s="97"/>
      <c r="IA189" s="97"/>
      <c r="IB189" s="97"/>
      <c r="IC189" s="97"/>
      <c r="ID189" s="97"/>
      <c r="IE189" s="97"/>
      <c r="IF189" s="97"/>
      <c r="IG189" s="97"/>
      <c r="IH189" s="97"/>
      <c r="II189" s="97"/>
      <c r="IJ189" s="97"/>
      <c r="IK189" s="97"/>
      <c r="IL189" s="97"/>
      <c r="IM189" s="97"/>
      <c r="IN189" s="97"/>
      <c r="IO189" s="97"/>
      <c r="IP189" s="97"/>
      <c r="IQ189" s="97"/>
      <c r="IR189" s="97"/>
      <c r="IS189" s="97"/>
    </row>
    <row r="190" spans="1:253" hidden="1">
      <c r="A190" s="28"/>
      <c r="K190" s="19" t="s">
        <v>96</v>
      </c>
      <c r="L190" s="93" t="s">
        <v>97</v>
      </c>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7"/>
      <c r="AY190" s="97"/>
      <c r="AZ190" s="97"/>
      <c r="BA190" s="97"/>
      <c r="BB190" s="97"/>
      <c r="BC190" s="97"/>
      <c r="BD190" s="97"/>
      <c r="BE190" s="97"/>
      <c r="BF190" s="97"/>
      <c r="BG190" s="97"/>
      <c r="BH190" s="97"/>
      <c r="BI190" s="97"/>
      <c r="BJ190" s="97"/>
      <c r="BK190" s="97"/>
      <c r="BL190" s="97"/>
      <c r="BM190" s="97"/>
      <c r="BN190" s="97"/>
      <c r="BO190" s="97"/>
      <c r="BP190" s="97"/>
      <c r="BQ190" s="97"/>
      <c r="BR190" s="97"/>
      <c r="BS190" s="97"/>
      <c r="BT190" s="97"/>
      <c r="BU190" s="97"/>
      <c r="BV190" s="97"/>
      <c r="BW190" s="97"/>
      <c r="BX190" s="97"/>
      <c r="BY190" s="97"/>
      <c r="BZ190" s="97"/>
      <c r="CA190" s="97"/>
      <c r="CB190" s="97"/>
      <c r="CC190" s="97"/>
      <c r="CD190" s="97"/>
      <c r="CE190" s="97"/>
      <c r="CF190" s="97"/>
      <c r="CG190" s="97"/>
      <c r="CH190" s="97"/>
      <c r="CI190" s="97"/>
      <c r="CJ190" s="97"/>
      <c r="CK190" s="97"/>
      <c r="CL190" s="97"/>
      <c r="CM190" s="97"/>
      <c r="CN190" s="97"/>
      <c r="CO190" s="97"/>
      <c r="CP190" s="97"/>
      <c r="CQ190" s="97"/>
      <c r="CR190" s="97"/>
      <c r="CS190" s="97"/>
      <c r="CT190" s="97"/>
      <c r="CU190" s="97"/>
      <c r="CV190" s="97"/>
      <c r="CW190" s="97"/>
      <c r="CX190" s="97"/>
      <c r="CY190" s="97"/>
      <c r="CZ190" s="97"/>
      <c r="DA190" s="97"/>
      <c r="DB190" s="97"/>
      <c r="DC190" s="97"/>
      <c r="DD190" s="97"/>
      <c r="DE190" s="97"/>
      <c r="DF190" s="97"/>
      <c r="DG190" s="97"/>
      <c r="DH190" s="97"/>
      <c r="DI190" s="97"/>
      <c r="DJ190" s="97"/>
      <c r="DK190" s="97"/>
      <c r="DL190" s="97"/>
      <c r="DM190" s="97"/>
      <c r="DN190" s="97"/>
      <c r="DO190" s="97"/>
      <c r="DP190" s="97"/>
      <c r="DQ190" s="97"/>
      <c r="DR190" s="97"/>
      <c r="DS190" s="97"/>
      <c r="DT190" s="97"/>
      <c r="DU190" s="97"/>
      <c r="DV190" s="97"/>
      <c r="DW190" s="97"/>
      <c r="DX190" s="97"/>
      <c r="DY190" s="97"/>
      <c r="DZ190" s="97"/>
      <c r="EA190" s="97"/>
      <c r="EB190" s="97"/>
      <c r="EC190" s="97"/>
      <c r="ED190" s="97"/>
      <c r="EE190" s="97"/>
      <c r="EF190" s="97"/>
      <c r="EG190" s="97"/>
      <c r="EH190" s="97"/>
      <c r="EI190" s="97"/>
      <c r="EJ190" s="97"/>
      <c r="EK190" s="97"/>
      <c r="EL190" s="97"/>
      <c r="EM190" s="97"/>
      <c r="EN190" s="97"/>
      <c r="EO190" s="97"/>
      <c r="EP190" s="97"/>
      <c r="EQ190" s="97"/>
      <c r="ER190" s="97"/>
      <c r="ES190" s="97"/>
      <c r="ET190" s="97"/>
      <c r="EU190" s="97"/>
      <c r="EV190" s="97"/>
      <c r="EW190" s="97"/>
      <c r="EX190" s="97"/>
      <c r="EY190" s="97"/>
      <c r="EZ190" s="97"/>
      <c r="FA190" s="97"/>
      <c r="FB190" s="97"/>
      <c r="FC190" s="97"/>
      <c r="FD190" s="97"/>
      <c r="FE190" s="97"/>
      <c r="FF190" s="97"/>
      <c r="FG190" s="97"/>
      <c r="FH190" s="97"/>
      <c r="FI190" s="97"/>
      <c r="FJ190" s="97"/>
      <c r="FK190" s="97"/>
      <c r="FL190" s="97"/>
      <c r="FM190" s="97"/>
      <c r="FN190" s="97"/>
      <c r="FO190" s="97"/>
      <c r="FP190" s="97"/>
      <c r="FQ190" s="97"/>
      <c r="FR190" s="97"/>
      <c r="FS190" s="97"/>
      <c r="FT190" s="97"/>
      <c r="FU190" s="97"/>
      <c r="FV190" s="97"/>
      <c r="FW190" s="97"/>
      <c r="FX190" s="97"/>
      <c r="FY190" s="97"/>
      <c r="FZ190" s="97"/>
      <c r="GA190" s="97"/>
      <c r="GB190" s="97"/>
      <c r="GC190" s="97"/>
      <c r="GD190" s="97"/>
      <c r="GE190" s="97"/>
      <c r="GF190" s="97"/>
      <c r="GG190" s="97"/>
      <c r="GH190" s="97"/>
      <c r="GI190" s="97"/>
      <c r="GJ190" s="97"/>
      <c r="GK190" s="97"/>
      <c r="GL190" s="97"/>
      <c r="GM190" s="97"/>
      <c r="GN190" s="97"/>
      <c r="GO190" s="97"/>
      <c r="GP190" s="97"/>
      <c r="GQ190" s="97"/>
      <c r="GR190" s="97"/>
      <c r="GS190" s="97"/>
      <c r="GT190" s="97"/>
      <c r="GU190" s="97"/>
      <c r="GV190" s="97"/>
      <c r="GW190" s="97"/>
      <c r="GX190" s="97"/>
      <c r="GY190" s="97"/>
      <c r="GZ190" s="97"/>
      <c r="HA190" s="97"/>
      <c r="HB190" s="97"/>
      <c r="HC190" s="97"/>
      <c r="HD190" s="97"/>
      <c r="HE190" s="97"/>
      <c r="HF190" s="97"/>
      <c r="HG190" s="97"/>
      <c r="HH190" s="97"/>
      <c r="HI190" s="97"/>
      <c r="HJ190" s="97"/>
      <c r="HK190" s="97"/>
      <c r="HL190" s="97"/>
      <c r="HM190" s="97"/>
      <c r="HN190" s="97"/>
      <c r="HO190" s="97"/>
      <c r="HP190" s="97"/>
      <c r="HQ190" s="97"/>
      <c r="HR190" s="97"/>
      <c r="HS190" s="97"/>
      <c r="HT190" s="97"/>
      <c r="HU190" s="97"/>
      <c r="HV190" s="97"/>
      <c r="HW190" s="97"/>
      <c r="HX190" s="97"/>
      <c r="HY190" s="97"/>
      <c r="HZ190" s="97"/>
      <c r="IA190" s="97"/>
      <c r="IB190" s="97"/>
      <c r="IC190" s="97"/>
      <c r="ID190" s="97"/>
      <c r="IE190" s="97"/>
      <c r="IF190" s="97"/>
      <c r="IG190" s="97"/>
      <c r="IH190" s="97"/>
      <c r="II190" s="97"/>
      <c r="IJ190" s="97"/>
      <c r="IK190" s="97"/>
      <c r="IL190" s="97"/>
      <c r="IM190" s="97"/>
      <c r="IN190" s="97"/>
      <c r="IO190" s="97"/>
      <c r="IP190" s="97"/>
      <c r="IQ190" s="97"/>
      <c r="IR190" s="97"/>
      <c r="IS190" s="97"/>
    </row>
    <row r="191" spans="1:253" hidden="1">
      <c r="A191" s="28"/>
      <c r="K191" s="19" t="s">
        <v>98</v>
      </c>
      <c r="L191" s="93" t="s">
        <v>99</v>
      </c>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97"/>
      <c r="BF191" s="97"/>
      <c r="BG191" s="97"/>
      <c r="BH191" s="97"/>
      <c r="BI191" s="97"/>
      <c r="BJ191" s="97"/>
      <c r="BK191" s="97"/>
      <c r="BL191" s="97"/>
      <c r="BM191" s="97"/>
      <c r="BN191" s="97"/>
      <c r="BO191" s="97"/>
      <c r="BP191" s="97"/>
      <c r="BQ191" s="97"/>
      <c r="BR191" s="97"/>
      <c r="BS191" s="97"/>
      <c r="BT191" s="97"/>
      <c r="BU191" s="97"/>
      <c r="BV191" s="97"/>
      <c r="BW191" s="97"/>
      <c r="BX191" s="97"/>
      <c r="BY191" s="97"/>
      <c r="BZ191" s="97"/>
      <c r="CA191" s="97"/>
      <c r="CB191" s="97"/>
      <c r="CC191" s="97"/>
      <c r="CD191" s="97"/>
      <c r="CE191" s="97"/>
      <c r="CF191" s="97"/>
      <c r="CG191" s="97"/>
      <c r="CH191" s="97"/>
      <c r="CI191" s="97"/>
      <c r="CJ191" s="97"/>
      <c r="CK191" s="97"/>
      <c r="CL191" s="97"/>
      <c r="CM191" s="97"/>
      <c r="CN191" s="97"/>
      <c r="CO191" s="97"/>
      <c r="CP191" s="97"/>
      <c r="CQ191" s="97"/>
      <c r="CR191" s="97"/>
      <c r="CS191" s="97"/>
      <c r="CT191" s="97"/>
      <c r="CU191" s="97"/>
      <c r="CV191" s="97"/>
      <c r="CW191" s="97"/>
      <c r="CX191" s="97"/>
      <c r="CY191" s="97"/>
      <c r="CZ191" s="97"/>
      <c r="DA191" s="97"/>
      <c r="DB191" s="97"/>
      <c r="DC191" s="97"/>
      <c r="DD191" s="97"/>
      <c r="DE191" s="97"/>
      <c r="DF191" s="97"/>
      <c r="DG191" s="97"/>
      <c r="DH191" s="97"/>
      <c r="DI191" s="97"/>
      <c r="DJ191" s="97"/>
      <c r="DK191" s="97"/>
      <c r="DL191" s="97"/>
      <c r="DM191" s="97"/>
      <c r="DN191" s="97"/>
      <c r="DO191" s="97"/>
      <c r="DP191" s="97"/>
      <c r="DQ191" s="97"/>
      <c r="DR191" s="97"/>
      <c r="DS191" s="97"/>
      <c r="DT191" s="97"/>
      <c r="DU191" s="97"/>
      <c r="DV191" s="97"/>
      <c r="DW191" s="97"/>
      <c r="DX191" s="97"/>
      <c r="DY191" s="97"/>
      <c r="DZ191" s="97"/>
      <c r="EA191" s="97"/>
      <c r="EB191" s="97"/>
      <c r="EC191" s="97"/>
      <c r="ED191" s="97"/>
      <c r="EE191" s="97"/>
      <c r="EF191" s="97"/>
      <c r="EG191" s="97"/>
      <c r="EH191" s="97"/>
      <c r="EI191" s="97"/>
      <c r="EJ191" s="97"/>
      <c r="EK191" s="97"/>
      <c r="EL191" s="97"/>
      <c r="EM191" s="97"/>
      <c r="EN191" s="97"/>
      <c r="EO191" s="97"/>
      <c r="EP191" s="97"/>
      <c r="EQ191" s="97"/>
      <c r="ER191" s="97"/>
      <c r="ES191" s="97"/>
      <c r="ET191" s="97"/>
      <c r="EU191" s="97"/>
      <c r="EV191" s="97"/>
      <c r="EW191" s="97"/>
      <c r="EX191" s="97"/>
      <c r="EY191" s="97"/>
      <c r="EZ191" s="97"/>
      <c r="FA191" s="97"/>
      <c r="FB191" s="97"/>
      <c r="FC191" s="97"/>
      <c r="FD191" s="97"/>
      <c r="FE191" s="97"/>
      <c r="FF191" s="97"/>
      <c r="FG191" s="97"/>
      <c r="FH191" s="97"/>
      <c r="FI191" s="97"/>
      <c r="FJ191" s="97"/>
      <c r="FK191" s="97"/>
      <c r="FL191" s="97"/>
      <c r="FM191" s="97"/>
      <c r="FN191" s="97"/>
      <c r="FO191" s="97"/>
      <c r="FP191" s="97"/>
      <c r="FQ191" s="97"/>
      <c r="FR191" s="97"/>
      <c r="FS191" s="97"/>
      <c r="FT191" s="97"/>
      <c r="FU191" s="97"/>
      <c r="FV191" s="97"/>
      <c r="FW191" s="97"/>
      <c r="FX191" s="97"/>
      <c r="FY191" s="97"/>
      <c r="FZ191" s="97"/>
      <c r="GA191" s="97"/>
      <c r="GB191" s="97"/>
      <c r="GC191" s="97"/>
      <c r="GD191" s="97"/>
      <c r="GE191" s="97"/>
      <c r="GF191" s="97"/>
      <c r="GG191" s="97"/>
      <c r="GH191" s="97"/>
      <c r="GI191" s="97"/>
      <c r="GJ191" s="97"/>
      <c r="GK191" s="97"/>
      <c r="GL191" s="97"/>
      <c r="GM191" s="97"/>
      <c r="GN191" s="97"/>
      <c r="GO191" s="97"/>
      <c r="GP191" s="97"/>
      <c r="GQ191" s="97"/>
      <c r="GR191" s="97"/>
      <c r="GS191" s="97"/>
      <c r="GT191" s="97"/>
      <c r="GU191" s="97"/>
      <c r="GV191" s="97"/>
      <c r="GW191" s="97"/>
      <c r="GX191" s="97"/>
      <c r="GY191" s="97"/>
      <c r="GZ191" s="97"/>
      <c r="HA191" s="97"/>
      <c r="HB191" s="97"/>
      <c r="HC191" s="97"/>
      <c r="HD191" s="97"/>
      <c r="HE191" s="97"/>
      <c r="HF191" s="97"/>
      <c r="HG191" s="97"/>
      <c r="HH191" s="97"/>
      <c r="HI191" s="97"/>
      <c r="HJ191" s="97"/>
      <c r="HK191" s="97"/>
      <c r="HL191" s="97"/>
      <c r="HM191" s="97"/>
      <c r="HN191" s="97"/>
      <c r="HO191" s="97"/>
      <c r="HP191" s="97"/>
      <c r="HQ191" s="97"/>
      <c r="HR191" s="97"/>
      <c r="HS191" s="97"/>
      <c r="HT191" s="97"/>
      <c r="HU191" s="97"/>
      <c r="HV191" s="97"/>
      <c r="HW191" s="97"/>
      <c r="HX191" s="97"/>
      <c r="HY191" s="97"/>
      <c r="HZ191" s="97"/>
      <c r="IA191" s="97"/>
      <c r="IB191" s="97"/>
      <c r="IC191" s="97"/>
      <c r="ID191" s="97"/>
      <c r="IE191" s="97"/>
      <c r="IF191" s="97"/>
      <c r="IG191" s="97"/>
      <c r="IH191" s="97"/>
      <c r="II191" s="97"/>
      <c r="IJ191" s="97"/>
      <c r="IK191" s="97"/>
      <c r="IL191" s="97"/>
      <c r="IM191" s="97"/>
      <c r="IN191" s="97"/>
      <c r="IO191" s="97"/>
      <c r="IP191" s="97"/>
      <c r="IQ191" s="97"/>
      <c r="IR191" s="97"/>
      <c r="IS191" s="97"/>
    </row>
    <row r="192" spans="1:253" hidden="1">
      <c r="A192" s="28"/>
      <c r="K192" s="19" t="s">
        <v>100</v>
      </c>
      <c r="L192" s="93" t="s">
        <v>101</v>
      </c>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97"/>
      <c r="BU192" s="97"/>
      <c r="BV192" s="97"/>
      <c r="BW192" s="97"/>
      <c r="BX192" s="97"/>
      <c r="BY192" s="97"/>
      <c r="BZ192" s="97"/>
      <c r="CA192" s="97"/>
      <c r="CB192" s="97"/>
      <c r="CC192" s="97"/>
      <c r="CD192" s="97"/>
      <c r="CE192" s="97"/>
      <c r="CF192" s="97"/>
      <c r="CG192" s="97"/>
      <c r="CH192" s="97"/>
      <c r="CI192" s="97"/>
      <c r="CJ192" s="97"/>
      <c r="CK192" s="97"/>
      <c r="CL192" s="97"/>
      <c r="CM192" s="97"/>
      <c r="CN192" s="97"/>
      <c r="CO192" s="97"/>
      <c r="CP192" s="97"/>
      <c r="CQ192" s="97"/>
      <c r="CR192" s="97"/>
      <c r="CS192" s="97"/>
      <c r="CT192" s="97"/>
      <c r="CU192" s="97"/>
      <c r="CV192" s="97"/>
      <c r="CW192" s="97"/>
      <c r="CX192" s="97"/>
      <c r="CY192" s="97"/>
      <c r="CZ192" s="97"/>
      <c r="DA192" s="97"/>
      <c r="DB192" s="97"/>
      <c r="DC192" s="97"/>
      <c r="DD192" s="97"/>
      <c r="DE192" s="97"/>
      <c r="DF192" s="97"/>
      <c r="DG192" s="97"/>
      <c r="DH192" s="97"/>
      <c r="DI192" s="97"/>
      <c r="DJ192" s="97"/>
      <c r="DK192" s="97"/>
      <c r="DL192" s="97"/>
      <c r="DM192" s="97"/>
      <c r="DN192" s="97"/>
      <c r="DO192" s="97"/>
      <c r="DP192" s="97"/>
      <c r="DQ192" s="97"/>
      <c r="DR192" s="97"/>
      <c r="DS192" s="97"/>
      <c r="DT192" s="97"/>
      <c r="DU192" s="97"/>
      <c r="DV192" s="97"/>
      <c r="DW192" s="97"/>
      <c r="DX192" s="97"/>
      <c r="DY192" s="97"/>
      <c r="DZ192" s="97"/>
      <c r="EA192" s="97"/>
      <c r="EB192" s="97"/>
      <c r="EC192" s="97"/>
      <c r="ED192" s="97"/>
      <c r="EE192" s="97"/>
      <c r="EF192" s="97"/>
      <c r="EG192" s="97"/>
      <c r="EH192" s="97"/>
      <c r="EI192" s="97"/>
      <c r="EJ192" s="97"/>
      <c r="EK192" s="97"/>
      <c r="EL192" s="97"/>
      <c r="EM192" s="97"/>
      <c r="EN192" s="97"/>
      <c r="EO192" s="97"/>
      <c r="EP192" s="97"/>
      <c r="EQ192" s="97"/>
      <c r="ER192" s="97"/>
      <c r="ES192" s="97"/>
      <c r="ET192" s="97"/>
      <c r="EU192" s="97"/>
      <c r="EV192" s="97"/>
      <c r="EW192" s="97"/>
      <c r="EX192" s="97"/>
      <c r="EY192" s="97"/>
      <c r="EZ192" s="97"/>
      <c r="FA192" s="97"/>
      <c r="FB192" s="97"/>
      <c r="FC192" s="97"/>
      <c r="FD192" s="97"/>
      <c r="FE192" s="97"/>
      <c r="FF192" s="97"/>
      <c r="FG192" s="97"/>
      <c r="FH192" s="97"/>
      <c r="FI192" s="97"/>
      <c r="FJ192" s="97"/>
      <c r="FK192" s="97"/>
      <c r="FL192" s="97"/>
      <c r="FM192" s="97"/>
      <c r="FN192" s="97"/>
      <c r="FO192" s="97"/>
      <c r="FP192" s="97"/>
      <c r="FQ192" s="97"/>
      <c r="FR192" s="97"/>
      <c r="FS192" s="97"/>
      <c r="FT192" s="97"/>
      <c r="FU192" s="97"/>
      <c r="FV192" s="97"/>
      <c r="FW192" s="97"/>
      <c r="FX192" s="97"/>
      <c r="FY192" s="97"/>
      <c r="FZ192" s="97"/>
      <c r="GA192" s="97"/>
      <c r="GB192" s="97"/>
      <c r="GC192" s="97"/>
      <c r="GD192" s="97"/>
      <c r="GE192" s="97"/>
      <c r="GF192" s="97"/>
      <c r="GG192" s="97"/>
      <c r="GH192" s="97"/>
      <c r="GI192" s="97"/>
      <c r="GJ192" s="97"/>
      <c r="GK192" s="97"/>
      <c r="GL192" s="97"/>
      <c r="GM192" s="97"/>
      <c r="GN192" s="97"/>
      <c r="GO192" s="97"/>
      <c r="GP192" s="97"/>
      <c r="GQ192" s="97"/>
      <c r="GR192" s="97"/>
      <c r="GS192" s="97"/>
      <c r="GT192" s="97"/>
      <c r="GU192" s="97"/>
      <c r="GV192" s="97"/>
      <c r="GW192" s="97"/>
      <c r="GX192" s="97"/>
      <c r="GY192" s="97"/>
      <c r="GZ192" s="97"/>
      <c r="HA192" s="97"/>
      <c r="HB192" s="97"/>
      <c r="HC192" s="97"/>
      <c r="HD192" s="97"/>
      <c r="HE192" s="97"/>
      <c r="HF192" s="97"/>
      <c r="HG192" s="97"/>
      <c r="HH192" s="97"/>
      <c r="HI192" s="97"/>
      <c r="HJ192" s="97"/>
      <c r="HK192" s="97"/>
      <c r="HL192" s="97"/>
      <c r="HM192" s="97"/>
      <c r="HN192" s="97"/>
      <c r="HO192" s="97"/>
      <c r="HP192" s="97"/>
      <c r="HQ192" s="97"/>
      <c r="HR192" s="97"/>
      <c r="HS192" s="97"/>
      <c r="HT192" s="97"/>
      <c r="HU192" s="97"/>
      <c r="HV192" s="97"/>
      <c r="HW192" s="97"/>
      <c r="HX192" s="97"/>
      <c r="HY192" s="97"/>
      <c r="HZ192" s="97"/>
      <c r="IA192" s="97"/>
      <c r="IB192" s="97"/>
      <c r="IC192" s="97"/>
      <c r="ID192" s="97"/>
      <c r="IE192" s="97"/>
      <c r="IF192" s="97"/>
      <c r="IG192" s="97"/>
      <c r="IH192" s="97"/>
      <c r="II192" s="97"/>
      <c r="IJ192" s="97"/>
      <c r="IK192" s="97"/>
      <c r="IL192" s="97"/>
      <c r="IM192" s="97"/>
      <c r="IN192" s="97"/>
      <c r="IO192" s="97"/>
      <c r="IP192" s="97"/>
      <c r="IQ192" s="97"/>
      <c r="IR192" s="97"/>
      <c r="IS192" s="97"/>
    </row>
    <row r="193" spans="1:253" hidden="1">
      <c r="A193" s="28"/>
      <c r="K193" s="19" t="s">
        <v>102</v>
      </c>
      <c r="L193" s="93" t="s">
        <v>103</v>
      </c>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c r="BN193" s="97"/>
      <c r="BO193" s="97"/>
      <c r="BP193" s="97"/>
      <c r="BQ193" s="97"/>
      <c r="BR193" s="97"/>
      <c r="BS193" s="97"/>
      <c r="BT193" s="97"/>
      <c r="BU193" s="97"/>
      <c r="BV193" s="97"/>
      <c r="BW193" s="97"/>
      <c r="BX193" s="97"/>
      <c r="BY193" s="97"/>
      <c r="BZ193" s="97"/>
      <c r="CA193" s="97"/>
      <c r="CB193" s="97"/>
      <c r="CC193" s="97"/>
      <c r="CD193" s="97"/>
      <c r="CE193" s="97"/>
      <c r="CF193" s="97"/>
      <c r="CG193" s="97"/>
      <c r="CH193" s="97"/>
      <c r="CI193" s="97"/>
      <c r="CJ193" s="97"/>
      <c r="CK193" s="97"/>
      <c r="CL193" s="97"/>
      <c r="CM193" s="97"/>
      <c r="CN193" s="97"/>
      <c r="CO193" s="97"/>
      <c r="CP193" s="97"/>
      <c r="CQ193" s="97"/>
      <c r="CR193" s="97"/>
      <c r="CS193" s="97"/>
      <c r="CT193" s="97"/>
      <c r="CU193" s="97"/>
      <c r="CV193" s="97"/>
      <c r="CW193" s="97"/>
      <c r="CX193" s="97"/>
      <c r="CY193" s="97"/>
      <c r="CZ193" s="97"/>
      <c r="DA193" s="97"/>
      <c r="DB193" s="97"/>
      <c r="DC193" s="97"/>
      <c r="DD193" s="97"/>
      <c r="DE193" s="97"/>
      <c r="DF193" s="97"/>
      <c r="DG193" s="97"/>
      <c r="DH193" s="97"/>
      <c r="DI193" s="97"/>
      <c r="DJ193" s="97"/>
      <c r="DK193" s="97"/>
      <c r="DL193" s="97"/>
      <c r="DM193" s="97"/>
      <c r="DN193" s="97"/>
      <c r="DO193" s="97"/>
      <c r="DP193" s="97"/>
      <c r="DQ193" s="97"/>
      <c r="DR193" s="97"/>
      <c r="DS193" s="97"/>
      <c r="DT193" s="97"/>
      <c r="DU193" s="97"/>
      <c r="DV193" s="97"/>
      <c r="DW193" s="97"/>
      <c r="DX193" s="97"/>
      <c r="DY193" s="97"/>
      <c r="DZ193" s="97"/>
      <c r="EA193" s="97"/>
      <c r="EB193" s="97"/>
      <c r="EC193" s="97"/>
      <c r="ED193" s="97"/>
      <c r="EE193" s="97"/>
      <c r="EF193" s="97"/>
      <c r="EG193" s="97"/>
      <c r="EH193" s="97"/>
      <c r="EI193" s="97"/>
      <c r="EJ193" s="97"/>
      <c r="EK193" s="97"/>
      <c r="EL193" s="97"/>
      <c r="EM193" s="97"/>
      <c r="EN193" s="97"/>
      <c r="EO193" s="97"/>
      <c r="EP193" s="97"/>
      <c r="EQ193" s="97"/>
      <c r="ER193" s="97"/>
      <c r="ES193" s="97"/>
      <c r="ET193" s="97"/>
      <c r="EU193" s="97"/>
      <c r="EV193" s="97"/>
      <c r="EW193" s="97"/>
      <c r="EX193" s="97"/>
      <c r="EY193" s="97"/>
      <c r="EZ193" s="97"/>
      <c r="FA193" s="97"/>
      <c r="FB193" s="97"/>
      <c r="FC193" s="97"/>
      <c r="FD193" s="97"/>
      <c r="FE193" s="97"/>
      <c r="FF193" s="97"/>
      <c r="FG193" s="97"/>
      <c r="FH193" s="97"/>
      <c r="FI193" s="97"/>
      <c r="FJ193" s="97"/>
      <c r="FK193" s="97"/>
      <c r="FL193" s="97"/>
      <c r="FM193" s="97"/>
      <c r="FN193" s="97"/>
      <c r="FO193" s="97"/>
      <c r="FP193" s="97"/>
      <c r="FQ193" s="97"/>
      <c r="FR193" s="97"/>
      <c r="FS193" s="97"/>
      <c r="FT193" s="97"/>
      <c r="FU193" s="97"/>
      <c r="FV193" s="97"/>
      <c r="FW193" s="97"/>
      <c r="FX193" s="97"/>
      <c r="FY193" s="97"/>
      <c r="FZ193" s="97"/>
      <c r="GA193" s="97"/>
      <c r="GB193" s="97"/>
      <c r="GC193" s="97"/>
      <c r="GD193" s="97"/>
      <c r="GE193" s="97"/>
      <c r="GF193" s="97"/>
      <c r="GG193" s="97"/>
      <c r="GH193" s="97"/>
      <c r="GI193" s="97"/>
      <c r="GJ193" s="97"/>
      <c r="GK193" s="97"/>
      <c r="GL193" s="97"/>
      <c r="GM193" s="97"/>
      <c r="GN193" s="97"/>
      <c r="GO193" s="97"/>
      <c r="GP193" s="97"/>
      <c r="GQ193" s="97"/>
      <c r="GR193" s="97"/>
      <c r="GS193" s="97"/>
      <c r="GT193" s="97"/>
      <c r="GU193" s="97"/>
      <c r="GV193" s="97"/>
      <c r="GW193" s="97"/>
      <c r="GX193" s="97"/>
      <c r="GY193" s="97"/>
      <c r="GZ193" s="97"/>
      <c r="HA193" s="97"/>
      <c r="HB193" s="97"/>
      <c r="HC193" s="97"/>
      <c r="HD193" s="97"/>
      <c r="HE193" s="97"/>
      <c r="HF193" s="97"/>
      <c r="HG193" s="97"/>
      <c r="HH193" s="97"/>
      <c r="HI193" s="97"/>
      <c r="HJ193" s="97"/>
      <c r="HK193" s="97"/>
      <c r="HL193" s="97"/>
      <c r="HM193" s="97"/>
      <c r="HN193" s="97"/>
      <c r="HO193" s="97"/>
      <c r="HP193" s="97"/>
      <c r="HQ193" s="97"/>
      <c r="HR193" s="97"/>
      <c r="HS193" s="97"/>
      <c r="HT193" s="97"/>
      <c r="HU193" s="97"/>
      <c r="HV193" s="97"/>
      <c r="HW193" s="97"/>
      <c r="HX193" s="97"/>
      <c r="HY193" s="97"/>
      <c r="HZ193" s="97"/>
      <c r="IA193" s="97"/>
      <c r="IB193" s="97"/>
      <c r="IC193" s="97"/>
      <c r="ID193" s="97"/>
      <c r="IE193" s="97"/>
      <c r="IF193" s="97"/>
      <c r="IG193" s="97"/>
      <c r="IH193" s="97"/>
      <c r="II193" s="97"/>
      <c r="IJ193" s="97"/>
      <c r="IK193" s="97"/>
      <c r="IL193" s="97"/>
      <c r="IM193" s="97"/>
      <c r="IN193" s="97"/>
      <c r="IO193" s="97"/>
      <c r="IP193" s="97"/>
      <c r="IQ193" s="97"/>
      <c r="IR193" s="97"/>
      <c r="IS193" s="97"/>
    </row>
    <row r="194" spans="1:253" hidden="1">
      <c r="A194" s="28"/>
      <c r="K194" s="19" t="s">
        <v>104</v>
      </c>
      <c r="L194" s="5" t="s">
        <v>105</v>
      </c>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c r="BN194" s="97"/>
      <c r="BO194" s="97"/>
      <c r="BP194" s="97"/>
      <c r="BQ194" s="97"/>
      <c r="BR194" s="97"/>
      <c r="BS194" s="97"/>
      <c r="BT194" s="97"/>
      <c r="BU194" s="97"/>
      <c r="BV194" s="97"/>
      <c r="BW194" s="97"/>
      <c r="BX194" s="97"/>
      <c r="BY194" s="97"/>
      <c r="BZ194" s="97"/>
      <c r="CA194" s="97"/>
      <c r="CB194" s="97"/>
      <c r="CC194" s="97"/>
      <c r="CD194" s="97"/>
      <c r="CE194" s="97"/>
      <c r="CF194" s="97"/>
      <c r="CG194" s="97"/>
      <c r="CH194" s="97"/>
      <c r="CI194" s="97"/>
      <c r="CJ194" s="97"/>
      <c r="CK194" s="97"/>
      <c r="CL194" s="97"/>
      <c r="CM194" s="97"/>
      <c r="CN194" s="97"/>
      <c r="CO194" s="97"/>
      <c r="CP194" s="97"/>
      <c r="CQ194" s="97"/>
      <c r="CR194" s="97"/>
      <c r="CS194" s="97"/>
      <c r="CT194" s="97"/>
      <c r="CU194" s="97"/>
      <c r="CV194" s="97"/>
      <c r="CW194" s="97"/>
      <c r="CX194" s="97"/>
      <c r="CY194" s="97"/>
      <c r="CZ194" s="97"/>
      <c r="DA194" s="97"/>
      <c r="DB194" s="97"/>
      <c r="DC194" s="97"/>
      <c r="DD194" s="97"/>
      <c r="DE194" s="97"/>
      <c r="DF194" s="97"/>
      <c r="DG194" s="97"/>
      <c r="DH194" s="97"/>
      <c r="DI194" s="97"/>
      <c r="DJ194" s="97"/>
      <c r="DK194" s="97"/>
      <c r="DL194" s="97"/>
      <c r="DM194" s="97"/>
      <c r="DN194" s="97"/>
      <c r="DO194" s="97"/>
      <c r="DP194" s="97"/>
      <c r="DQ194" s="97"/>
      <c r="DR194" s="97"/>
      <c r="DS194" s="97"/>
      <c r="DT194" s="97"/>
      <c r="DU194" s="97"/>
      <c r="DV194" s="97"/>
      <c r="DW194" s="97"/>
      <c r="DX194" s="97"/>
      <c r="DY194" s="97"/>
      <c r="DZ194" s="97"/>
      <c r="EA194" s="97"/>
      <c r="EB194" s="97"/>
      <c r="EC194" s="97"/>
      <c r="ED194" s="97"/>
      <c r="EE194" s="97"/>
      <c r="EF194" s="97"/>
      <c r="EG194" s="97"/>
      <c r="EH194" s="97"/>
      <c r="EI194" s="97"/>
      <c r="EJ194" s="97"/>
      <c r="EK194" s="97"/>
      <c r="EL194" s="97"/>
      <c r="EM194" s="97"/>
      <c r="EN194" s="97"/>
      <c r="EO194" s="97"/>
      <c r="EP194" s="97"/>
      <c r="EQ194" s="97"/>
      <c r="ER194" s="97"/>
      <c r="ES194" s="97"/>
      <c r="ET194" s="97"/>
      <c r="EU194" s="97"/>
      <c r="EV194" s="97"/>
      <c r="EW194" s="97"/>
      <c r="EX194" s="97"/>
      <c r="EY194" s="97"/>
      <c r="EZ194" s="97"/>
      <c r="FA194" s="97"/>
      <c r="FB194" s="97"/>
      <c r="FC194" s="97"/>
      <c r="FD194" s="97"/>
      <c r="FE194" s="97"/>
      <c r="FF194" s="97"/>
      <c r="FG194" s="97"/>
      <c r="FH194" s="97"/>
      <c r="FI194" s="97"/>
      <c r="FJ194" s="97"/>
      <c r="FK194" s="97"/>
      <c r="FL194" s="97"/>
      <c r="FM194" s="97"/>
      <c r="FN194" s="97"/>
      <c r="FO194" s="97"/>
      <c r="FP194" s="97"/>
      <c r="FQ194" s="97"/>
      <c r="FR194" s="97"/>
      <c r="FS194" s="97"/>
      <c r="FT194" s="97"/>
      <c r="FU194" s="97"/>
      <c r="FV194" s="97"/>
      <c r="FW194" s="97"/>
      <c r="FX194" s="97"/>
      <c r="FY194" s="97"/>
      <c r="FZ194" s="97"/>
      <c r="GA194" s="97"/>
      <c r="GB194" s="97"/>
      <c r="GC194" s="97"/>
      <c r="GD194" s="97"/>
      <c r="GE194" s="97"/>
      <c r="GF194" s="97"/>
      <c r="GG194" s="97"/>
      <c r="GH194" s="97"/>
      <c r="GI194" s="97"/>
      <c r="GJ194" s="97"/>
      <c r="GK194" s="97"/>
      <c r="GL194" s="97"/>
      <c r="GM194" s="97"/>
      <c r="GN194" s="97"/>
      <c r="GO194" s="97"/>
      <c r="GP194" s="97"/>
      <c r="GQ194" s="97"/>
      <c r="GR194" s="97"/>
      <c r="GS194" s="97"/>
      <c r="GT194" s="97"/>
      <c r="GU194" s="97"/>
      <c r="GV194" s="97"/>
      <c r="GW194" s="97"/>
      <c r="GX194" s="97"/>
      <c r="GY194" s="97"/>
      <c r="GZ194" s="97"/>
      <c r="HA194" s="97"/>
      <c r="HB194" s="97"/>
      <c r="HC194" s="97"/>
      <c r="HD194" s="97"/>
      <c r="HE194" s="97"/>
      <c r="HF194" s="97"/>
      <c r="HG194" s="97"/>
      <c r="HH194" s="97"/>
      <c r="HI194" s="97"/>
      <c r="HJ194" s="97"/>
      <c r="HK194" s="97"/>
      <c r="HL194" s="97"/>
      <c r="HM194" s="97"/>
      <c r="HN194" s="97"/>
      <c r="HO194" s="97"/>
      <c r="HP194" s="97"/>
      <c r="HQ194" s="97"/>
      <c r="HR194" s="97"/>
      <c r="HS194" s="97"/>
      <c r="HT194" s="97"/>
      <c r="HU194" s="97"/>
      <c r="HV194" s="97"/>
      <c r="HW194" s="97"/>
      <c r="HX194" s="97"/>
      <c r="HY194" s="97"/>
      <c r="HZ194" s="97"/>
      <c r="IA194" s="97"/>
      <c r="IB194" s="97"/>
      <c r="IC194" s="97"/>
      <c r="ID194" s="97"/>
      <c r="IE194" s="97"/>
      <c r="IF194" s="97"/>
      <c r="IG194" s="97"/>
      <c r="IH194" s="97"/>
      <c r="II194" s="97"/>
      <c r="IJ194" s="97"/>
      <c r="IK194" s="97"/>
      <c r="IL194" s="97"/>
      <c r="IM194" s="97"/>
      <c r="IN194" s="97"/>
      <c r="IO194" s="97"/>
      <c r="IP194" s="97"/>
      <c r="IQ194" s="97"/>
      <c r="IR194" s="97"/>
      <c r="IS194" s="97"/>
    </row>
    <row r="195" spans="1:253" hidden="1">
      <c r="A195" s="28"/>
      <c r="K195" s="19" t="s">
        <v>106</v>
      </c>
      <c r="L195" s="5" t="s">
        <v>107</v>
      </c>
      <c r="Q195" s="97"/>
      <c r="R195" s="97"/>
      <c r="S195" s="97"/>
      <c r="T195" s="97"/>
      <c r="U195" s="97"/>
      <c r="V195" s="97"/>
      <c r="W195" s="97"/>
      <c r="X195" s="97"/>
      <c r="Y195" s="97"/>
      <c r="Z195" s="97"/>
      <c r="AA195" s="97"/>
      <c r="AB195" s="97"/>
      <c r="AC195" s="97"/>
      <c r="AD195" s="97"/>
      <c r="AE195" s="97"/>
      <c r="AF195" s="97"/>
      <c r="AG195" s="97"/>
      <c r="AH195" s="97"/>
      <c r="AI195" s="97"/>
      <c r="AJ195" s="97"/>
      <c r="AK195" s="97"/>
      <c r="AL195" s="97"/>
      <c r="AM195" s="97"/>
      <c r="AN195" s="97"/>
      <c r="AO195" s="97"/>
      <c r="AP195" s="97"/>
      <c r="AQ195" s="97"/>
      <c r="AR195" s="97"/>
      <c r="AS195" s="97"/>
      <c r="AT195" s="97"/>
      <c r="AU195" s="97"/>
      <c r="AV195" s="97"/>
      <c r="AW195" s="97"/>
      <c r="AX195" s="97"/>
      <c r="AY195" s="97"/>
      <c r="AZ195" s="97"/>
      <c r="BA195" s="97"/>
      <c r="BB195" s="97"/>
      <c r="BC195" s="97"/>
      <c r="BD195" s="97"/>
      <c r="BE195" s="97"/>
      <c r="BF195" s="97"/>
      <c r="BG195" s="97"/>
      <c r="BH195" s="97"/>
      <c r="BI195" s="97"/>
      <c r="BJ195" s="97"/>
      <c r="BK195" s="97"/>
      <c r="BL195" s="97"/>
      <c r="BM195" s="97"/>
      <c r="BN195" s="97"/>
      <c r="BO195" s="97"/>
      <c r="BP195" s="97"/>
      <c r="BQ195" s="97"/>
      <c r="BR195" s="97"/>
      <c r="BS195" s="97"/>
      <c r="BT195" s="97"/>
      <c r="BU195" s="97"/>
      <c r="BV195" s="97"/>
      <c r="BW195" s="97"/>
      <c r="BX195" s="97"/>
      <c r="BY195" s="97"/>
      <c r="BZ195" s="97"/>
      <c r="CA195" s="97"/>
      <c r="CB195" s="97"/>
      <c r="CC195" s="97"/>
      <c r="CD195" s="97"/>
      <c r="CE195" s="97"/>
      <c r="CF195" s="97"/>
      <c r="CG195" s="97"/>
      <c r="CH195" s="97"/>
      <c r="CI195" s="97"/>
      <c r="CJ195" s="97"/>
      <c r="CK195" s="97"/>
      <c r="CL195" s="97"/>
      <c r="CM195" s="97"/>
      <c r="CN195" s="97"/>
      <c r="CO195" s="97"/>
      <c r="CP195" s="97"/>
      <c r="CQ195" s="97"/>
      <c r="CR195" s="97"/>
      <c r="CS195" s="97"/>
      <c r="CT195" s="97"/>
      <c r="CU195" s="97"/>
      <c r="CV195" s="97"/>
      <c r="CW195" s="97"/>
      <c r="CX195" s="97"/>
      <c r="CY195" s="97"/>
      <c r="CZ195" s="97"/>
      <c r="DA195" s="97"/>
      <c r="DB195" s="97"/>
      <c r="DC195" s="97"/>
      <c r="DD195" s="97"/>
      <c r="DE195" s="97"/>
      <c r="DF195" s="97"/>
      <c r="DG195" s="97"/>
      <c r="DH195" s="97"/>
      <c r="DI195" s="97"/>
      <c r="DJ195" s="97"/>
      <c r="DK195" s="97"/>
      <c r="DL195" s="97"/>
      <c r="DM195" s="97"/>
      <c r="DN195" s="97"/>
      <c r="DO195" s="97"/>
      <c r="DP195" s="97"/>
      <c r="DQ195" s="97"/>
      <c r="DR195" s="97"/>
      <c r="DS195" s="97"/>
      <c r="DT195" s="97"/>
      <c r="DU195" s="97"/>
      <c r="DV195" s="97"/>
      <c r="DW195" s="97"/>
      <c r="DX195" s="97"/>
      <c r="DY195" s="97"/>
      <c r="DZ195" s="97"/>
      <c r="EA195" s="97"/>
      <c r="EB195" s="97"/>
      <c r="EC195" s="97"/>
      <c r="ED195" s="97"/>
      <c r="EE195" s="97"/>
      <c r="EF195" s="97"/>
      <c r="EG195" s="97"/>
      <c r="EH195" s="97"/>
      <c r="EI195" s="97"/>
      <c r="EJ195" s="97"/>
      <c r="EK195" s="97"/>
      <c r="EL195" s="97"/>
      <c r="EM195" s="97"/>
      <c r="EN195" s="97"/>
      <c r="EO195" s="97"/>
      <c r="EP195" s="97"/>
      <c r="EQ195" s="97"/>
      <c r="ER195" s="97"/>
      <c r="ES195" s="97"/>
      <c r="ET195" s="97"/>
      <c r="EU195" s="97"/>
      <c r="EV195" s="97"/>
      <c r="EW195" s="97"/>
      <c r="EX195" s="97"/>
      <c r="EY195" s="97"/>
      <c r="EZ195" s="97"/>
      <c r="FA195" s="97"/>
      <c r="FB195" s="97"/>
      <c r="FC195" s="97"/>
      <c r="FD195" s="97"/>
      <c r="FE195" s="97"/>
      <c r="FF195" s="97"/>
      <c r="FG195" s="97"/>
      <c r="FH195" s="97"/>
      <c r="FI195" s="97"/>
      <c r="FJ195" s="97"/>
      <c r="FK195" s="97"/>
      <c r="FL195" s="97"/>
      <c r="FM195" s="97"/>
      <c r="FN195" s="97"/>
      <c r="FO195" s="97"/>
      <c r="FP195" s="97"/>
      <c r="FQ195" s="97"/>
      <c r="FR195" s="97"/>
      <c r="FS195" s="97"/>
      <c r="FT195" s="97"/>
      <c r="FU195" s="97"/>
      <c r="FV195" s="97"/>
      <c r="FW195" s="97"/>
      <c r="FX195" s="97"/>
      <c r="FY195" s="97"/>
      <c r="FZ195" s="97"/>
      <c r="GA195" s="97"/>
      <c r="GB195" s="97"/>
      <c r="GC195" s="97"/>
      <c r="GD195" s="97"/>
      <c r="GE195" s="97"/>
      <c r="GF195" s="97"/>
      <c r="GG195" s="97"/>
      <c r="GH195" s="97"/>
      <c r="GI195" s="97"/>
      <c r="GJ195" s="97"/>
      <c r="GK195" s="97"/>
      <c r="GL195" s="97"/>
      <c r="GM195" s="97"/>
      <c r="GN195" s="97"/>
      <c r="GO195" s="97"/>
      <c r="GP195" s="97"/>
      <c r="GQ195" s="97"/>
      <c r="GR195" s="97"/>
      <c r="GS195" s="97"/>
      <c r="GT195" s="97"/>
      <c r="GU195" s="97"/>
      <c r="GV195" s="97"/>
      <c r="GW195" s="97"/>
      <c r="GX195" s="97"/>
      <c r="GY195" s="97"/>
      <c r="GZ195" s="97"/>
      <c r="HA195" s="97"/>
      <c r="HB195" s="97"/>
      <c r="HC195" s="97"/>
      <c r="HD195" s="97"/>
      <c r="HE195" s="97"/>
      <c r="HF195" s="97"/>
      <c r="HG195" s="97"/>
      <c r="HH195" s="97"/>
      <c r="HI195" s="97"/>
      <c r="HJ195" s="97"/>
      <c r="HK195" s="97"/>
      <c r="HL195" s="97"/>
      <c r="HM195" s="97"/>
      <c r="HN195" s="97"/>
      <c r="HO195" s="97"/>
      <c r="HP195" s="97"/>
      <c r="HQ195" s="97"/>
      <c r="HR195" s="97"/>
      <c r="HS195" s="97"/>
      <c r="HT195" s="97"/>
      <c r="HU195" s="97"/>
      <c r="HV195" s="97"/>
      <c r="HW195" s="97"/>
      <c r="HX195" s="97"/>
      <c r="HY195" s="97"/>
      <c r="HZ195" s="97"/>
      <c r="IA195" s="97"/>
      <c r="IB195" s="97"/>
      <c r="IC195" s="97"/>
      <c r="ID195" s="97"/>
      <c r="IE195" s="97"/>
      <c r="IF195" s="97"/>
      <c r="IG195" s="97"/>
      <c r="IH195" s="97"/>
      <c r="II195" s="97"/>
      <c r="IJ195" s="97"/>
      <c r="IK195" s="97"/>
      <c r="IL195" s="97"/>
      <c r="IM195" s="97"/>
      <c r="IN195" s="97"/>
      <c r="IO195" s="97"/>
      <c r="IP195" s="97"/>
      <c r="IQ195" s="97"/>
      <c r="IR195" s="97"/>
      <c r="IS195" s="97"/>
    </row>
    <row r="196" spans="1:253" hidden="1">
      <c r="A196" s="28"/>
      <c r="K196" s="19" t="s">
        <v>108</v>
      </c>
      <c r="L196" s="5" t="s">
        <v>109</v>
      </c>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97"/>
      <c r="AO196" s="97"/>
      <c r="AP196" s="97"/>
      <c r="AQ196" s="97"/>
      <c r="AR196" s="97"/>
      <c r="AS196" s="97"/>
      <c r="AT196" s="97"/>
      <c r="AU196" s="97"/>
      <c r="AV196" s="97"/>
      <c r="AW196" s="97"/>
      <c r="AX196" s="97"/>
      <c r="AY196" s="97"/>
      <c r="AZ196" s="97"/>
      <c r="BA196" s="97"/>
      <c r="BB196" s="97"/>
      <c r="BC196" s="97"/>
      <c r="BD196" s="97"/>
      <c r="BE196" s="97"/>
      <c r="BF196" s="97"/>
      <c r="BG196" s="97"/>
      <c r="BH196" s="97"/>
      <c r="BI196" s="97"/>
      <c r="BJ196" s="97"/>
      <c r="BK196" s="97"/>
      <c r="BL196" s="97"/>
      <c r="BM196" s="97"/>
      <c r="BN196" s="97"/>
      <c r="BO196" s="97"/>
      <c r="BP196" s="97"/>
      <c r="BQ196" s="97"/>
      <c r="BR196" s="97"/>
      <c r="BS196" s="97"/>
      <c r="BT196" s="97"/>
      <c r="BU196" s="97"/>
      <c r="BV196" s="97"/>
      <c r="BW196" s="97"/>
      <c r="BX196" s="97"/>
      <c r="BY196" s="97"/>
      <c r="BZ196" s="97"/>
      <c r="CA196" s="97"/>
      <c r="CB196" s="97"/>
      <c r="CC196" s="97"/>
      <c r="CD196" s="97"/>
      <c r="CE196" s="97"/>
      <c r="CF196" s="97"/>
      <c r="CG196" s="97"/>
      <c r="CH196" s="97"/>
      <c r="CI196" s="97"/>
      <c r="CJ196" s="97"/>
      <c r="CK196" s="97"/>
      <c r="CL196" s="97"/>
      <c r="CM196" s="97"/>
      <c r="CN196" s="97"/>
      <c r="CO196" s="97"/>
      <c r="CP196" s="97"/>
      <c r="CQ196" s="97"/>
      <c r="CR196" s="97"/>
      <c r="CS196" s="97"/>
      <c r="CT196" s="97"/>
      <c r="CU196" s="97"/>
      <c r="CV196" s="97"/>
      <c r="CW196" s="97"/>
      <c r="CX196" s="97"/>
      <c r="CY196" s="97"/>
      <c r="CZ196" s="97"/>
      <c r="DA196" s="97"/>
      <c r="DB196" s="97"/>
      <c r="DC196" s="97"/>
      <c r="DD196" s="97"/>
      <c r="DE196" s="97"/>
      <c r="DF196" s="97"/>
      <c r="DG196" s="97"/>
      <c r="DH196" s="97"/>
      <c r="DI196" s="97"/>
      <c r="DJ196" s="97"/>
      <c r="DK196" s="97"/>
      <c r="DL196" s="97"/>
      <c r="DM196" s="97"/>
      <c r="DN196" s="97"/>
      <c r="DO196" s="97"/>
      <c r="DP196" s="97"/>
      <c r="DQ196" s="97"/>
      <c r="DR196" s="97"/>
      <c r="DS196" s="97"/>
      <c r="DT196" s="97"/>
      <c r="DU196" s="97"/>
      <c r="DV196" s="97"/>
      <c r="DW196" s="97"/>
      <c r="DX196" s="97"/>
      <c r="DY196" s="97"/>
      <c r="DZ196" s="97"/>
      <c r="EA196" s="97"/>
      <c r="EB196" s="97"/>
      <c r="EC196" s="97"/>
      <c r="ED196" s="97"/>
      <c r="EE196" s="97"/>
      <c r="EF196" s="97"/>
      <c r="EG196" s="97"/>
      <c r="EH196" s="97"/>
      <c r="EI196" s="97"/>
      <c r="EJ196" s="97"/>
      <c r="EK196" s="97"/>
      <c r="EL196" s="97"/>
      <c r="EM196" s="97"/>
      <c r="EN196" s="97"/>
      <c r="EO196" s="97"/>
      <c r="EP196" s="97"/>
      <c r="EQ196" s="97"/>
      <c r="ER196" s="97"/>
      <c r="ES196" s="97"/>
      <c r="ET196" s="97"/>
      <c r="EU196" s="97"/>
      <c r="EV196" s="97"/>
      <c r="EW196" s="97"/>
      <c r="EX196" s="97"/>
      <c r="EY196" s="97"/>
      <c r="EZ196" s="97"/>
      <c r="FA196" s="97"/>
      <c r="FB196" s="97"/>
      <c r="FC196" s="97"/>
      <c r="FD196" s="97"/>
      <c r="FE196" s="97"/>
      <c r="FF196" s="97"/>
      <c r="FG196" s="97"/>
      <c r="FH196" s="97"/>
      <c r="FI196" s="97"/>
      <c r="FJ196" s="97"/>
      <c r="FK196" s="97"/>
      <c r="FL196" s="97"/>
      <c r="FM196" s="97"/>
      <c r="FN196" s="97"/>
      <c r="FO196" s="97"/>
      <c r="FP196" s="97"/>
      <c r="FQ196" s="97"/>
      <c r="FR196" s="97"/>
      <c r="FS196" s="97"/>
      <c r="FT196" s="97"/>
      <c r="FU196" s="97"/>
      <c r="FV196" s="97"/>
      <c r="FW196" s="97"/>
      <c r="FX196" s="97"/>
      <c r="FY196" s="97"/>
      <c r="FZ196" s="97"/>
      <c r="GA196" s="97"/>
      <c r="GB196" s="97"/>
      <c r="GC196" s="97"/>
      <c r="GD196" s="97"/>
      <c r="GE196" s="97"/>
      <c r="GF196" s="97"/>
      <c r="GG196" s="97"/>
      <c r="GH196" s="97"/>
      <c r="GI196" s="97"/>
      <c r="GJ196" s="97"/>
      <c r="GK196" s="97"/>
      <c r="GL196" s="97"/>
      <c r="GM196" s="97"/>
      <c r="GN196" s="97"/>
      <c r="GO196" s="97"/>
      <c r="GP196" s="97"/>
      <c r="GQ196" s="97"/>
      <c r="GR196" s="97"/>
      <c r="GS196" s="97"/>
      <c r="GT196" s="97"/>
      <c r="GU196" s="97"/>
      <c r="GV196" s="97"/>
      <c r="GW196" s="97"/>
      <c r="GX196" s="97"/>
      <c r="GY196" s="97"/>
      <c r="GZ196" s="97"/>
      <c r="HA196" s="97"/>
      <c r="HB196" s="97"/>
      <c r="HC196" s="97"/>
      <c r="HD196" s="97"/>
      <c r="HE196" s="97"/>
      <c r="HF196" s="97"/>
      <c r="HG196" s="97"/>
      <c r="HH196" s="97"/>
      <c r="HI196" s="97"/>
      <c r="HJ196" s="97"/>
      <c r="HK196" s="97"/>
      <c r="HL196" s="97"/>
      <c r="HM196" s="97"/>
      <c r="HN196" s="97"/>
      <c r="HO196" s="97"/>
      <c r="HP196" s="97"/>
      <c r="HQ196" s="97"/>
      <c r="HR196" s="97"/>
      <c r="HS196" s="97"/>
      <c r="HT196" s="97"/>
      <c r="HU196" s="97"/>
      <c r="HV196" s="97"/>
      <c r="HW196" s="97"/>
      <c r="HX196" s="97"/>
      <c r="HY196" s="97"/>
      <c r="HZ196" s="97"/>
      <c r="IA196" s="97"/>
      <c r="IB196" s="97"/>
      <c r="IC196" s="97"/>
      <c r="ID196" s="97"/>
      <c r="IE196" s="97"/>
      <c r="IF196" s="97"/>
      <c r="IG196" s="97"/>
      <c r="IH196" s="97"/>
      <c r="II196" s="97"/>
      <c r="IJ196" s="97"/>
      <c r="IK196" s="97"/>
      <c r="IL196" s="97"/>
      <c r="IM196" s="97"/>
      <c r="IN196" s="97"/>
      <c r="IO196" s="97"/>
      <c r="IP196" s="97"/>
      <c r="IQ196" s="97"/>
      <c r="IR196" s="97"/>
      <c r="IS196" s="97"/>
    </row>
    <row r="197" spans="1:253" hidden="1">
      <c r="A197" s="28"/>
      <c r="K197" s="19" t="s">
        <v>110</v>
      </c>
      <c r="L197" s="5" t="s">
        <v>111</v>
      </c>
      <c r="Q197" s="97"/>
      <c r="R197" s="97"/>
      <c r="S197" s="97"/>
      <c r="T197" s="97"/>
      <c r="U197" s="97"/>
      <c r="V197" s="97"/>
      <c r="W197" s="97"/>
      <c r="X197" s="97"/>
      <c r="Y197" s="97"/>
      <c r="Z197" s="97"/>
      <c r="AA197" s="97"/>
      <c r="AB197" s="97"/>
      <c r="AC197" s="97"/>
      <c r="AD197" s="97"/>
      <c r="AE197" s="97"/>
      <c r="AF197" s="97"/>
      <c r="AG197" s="97"/>
      <c r="AH197" s="97"/>
      <c r="AI197" s="97"/>
      <c r="AJ197" s="97"/>
      <c r="AK197" s="97"/>
      <c r="AL197" s="97"/>
      <c r="AM197" s="97"/>
      <c r="AN197" s="97"/>
      <c r="AO197" s="97"/>
      <c r="AP197" s="97"/>
      <c r="AQ197" s="97"/>
      <c r="AR197" s="97"/>
      <c r="AS197" s="97"/>
      <c r="AT197" s="97"/>
      <c r="AU197" s="97"/>
      <c r="AV197" s="97"/>
      <c r="AW197" s="97"/>
      <c r="AX197" s="97"/>
      <c r="AY197" s="97"/>
      <c r="AZ197" s="97"/>
      <c r="BA197" s="97"/>
      <c r="BB197" s="97"/>
      <c r="BC197" s="97"/>
      <c r="BD197" s="97"/>
      <c r="BE197" s="97"/>
      <c r="BF197" s="97"/>
      <c r="BG197" s="97"/>
      <c r="BH197" s="97"/>
      <c r="BI197" s="97"/>
      <c r="BJ197" s="97"/>
      <c r="BK197" s="97"/>
      <c r="BL197" s="97"/>
      <c r="BM197" s="97"/>
      <c r="BN197" s="97"/>
      <c r="BO197" s="97"/>
      <c r="BP197" s="97"/>
      <c r="BQ197" s="97"/>
      <c r="BR197" s="97"/>
      <c r="BS197" s="97"/>
      <c r="BT197" s="97"/>
      <c r="BU197" s="97"/>
      <c r="BV197" s="97"/>
      <c r="BW197" s="97"/>
      <c r="BX197" s="97"/>
      <c r="BY197" s="97"/>
      <c r="BZ197" s="97"/>
      <c r="CA197" s="97"/>
      <c r="CB197" s="97"/>
      <c r="CC197" s="97"/>
      <c r="CD197" s="97"/>
      <c r="CE197" s="97"/>
      <c r="CF197" s="97"/>
      <c r="CG197" s="97"/>
      <c r="CH197" s="97"/>
      <c r="CI197" s="97"/>
      <c r="CJ197" s="97"/>
      <c r="CK197" s="97"/>
      <c r="CL197" s="97"/>
      <c r="CM197" s="97"/>
      <c r="CN197" s="97"/>
      <c r="CO197" s="97"/>
      <c r="CP197" s="97"/>
      <c r="CQ197" s="97"/>
      <c r="CR197" s="97"/>
      <c r="CS197" s="97"/>
      <c r="CT197" s="97"/>
      <c r="CU197" s="97"/>
      <c r="CV197" s="97"/>
      <c r="CW197" s="97"/>
      <c r="CX197" s="97"/>
      <c r="CY197" s="97"/>
      <c r="CZ197" s="97"/>
      <c r="DA197" s="97"/>
      <c r="DB197" s="97"/>
      <c r="DC197" s="97"/>
      <c r="DD197" s="97"/>
      <c r="DE197" s="97"/>
      <c r="DF197" s="97"/>
      <c r="DG197" s="97"/>
      <c r="DH197" s="97"/>
      <c r="DI197" s="97"/>
      <c r="DJ197" s="97"/>
      <c r="DK197" s="97"/>
      <c r="DL197" s="97"/>
      <c r="DM197" s="97"/>
      <c r="DN197" s="97"/>
      <c r="DO197" s="97"/>
      <c r="DP197" s="97"/>
      <c r="DQ197" s="97"/>
      <c r="DR197" s="97"/>
      <c r="DS197" s="97"/>
      <c r="DT197" s="97"/>
      <c r="DU197" s="97"/>
      <c r="DV197" s="97"/>
      <c r="DW197" s="97"/>
      <c r="DX197" s="97"/>
      <c r="DY197" s="97"/>
      <c r="DZ197" s="97"/>
      <c r="EA197" s="97"/>
      <c r="EB197" s="97"/>
      <c r="EC197" s="97"/>
      <c r="ED197" s="97"/>
      <c r="EE197" s="97"/>
      <c r="EF197" s="97"/>
      <c r="EG197" s="97"/>
      <c r="EH197" s="97"/>
      <c r="EI197" s="97"/>
      <c r="EJ197" s="97"/>
      <c r="EK197" s="97"/>
      <c r="EL197" s="97"/>
      <c r="EM197" s="97"/>
      <c r="EN197" s="97"/>
      <c r="EO197" s="97"/>
      <c r="EP197" s="97"/>
      <c r="EQ197" s="97"/>
      <c r="ER197" s="97"/>
      <c r="ES197" s="97"/>
      <c r="ET197" s="97"/>
      <c r="EU197" s="97"/>
      <c r="EV197" s="97"/>
      <c r="EW197" s="97"/>
      <c r="EX197" s="97"/>
      <c r="EY197" s="97"/>
      <c r="EZ197" s="97"/>
      <c r="FA197" s="97"/>
      <c r="FB197" s="97"/>
      <c r="FC197" s="97"/>
      <c r="FD197" s="97"/>
      <c r="FE197" s="97"/>
      <c r="FF197" s="97"/>
      <c r="FG197" s="97"/>
      <c r="FH197" s="97"/>
      <c r="FI197" s="97"/>
      <c r="FJ197" s="97"/>
      <c r="FK197" s="97"/>
      <c r="FL197" s="97"/>
      <c r="FM197" s="97"/>
      <c r="FN197" s="97"/>
      <c r="FO197" s="97"/>
      <c r="FP197" s="97"/>
      <c r="FQ197" s="97"/>
      <c r="FR197" s="97"/>
      <c r="FS197" s="97"/>
      <c r="FT197" s="97"/>
      <c r="FU197" s="97"/>
      <c r="FV197" s="97"/>
      <c r="FW197" s="97"/>
      <c r="FX197" s="97"/>
      <c r="FY197" s="97"/>
      <c r="FZ197" s="97"/>
      <c r="GA197" s="97"/>
      <c r="GB197" s="97"/>
      <c r="GC197" s="97"/>
      <c r="GD197" s="97"/>
      <c r="GE197" s="97"/>
      <c r="GF197" s="97"/>
      <c r="GG197" s="97"/>
      <c r="GH197" s="97"/>
      <c r="GI197" s="97"/>
      <c r="GJ197" s="97"/>
      <c r="GK197" s="97"/>
      <c r="GL197" s="97"/>
      <c r="GM197" s="97"/>
      <c r="GN197" s="97"/>
      <c r="GO197" s="97"/>
      <c r="GP197" s="97"/>
      <c r="GQ197" s="97"/>
      <c r="GR197" s="97"/>
      <c r="GS197" s="97"/>
      <c r="GT197" s="97"/>
      <c r="GU197" s="97"/>
      <c r="GV197" s="97"/>
      <c r="GW197" s="97"/>
      <c r="GX197" s="97"/>
      <c r="GY197" s="97"/>
      <c r="GZ197" s="97"/>
      <c r="HA197" s="97"/>
      <c r="HB197" s="97"/>
      <c r="HC197" s="97"/>
      <c r="HD197" s="97"/>
      <c r="HE197" s="97"/>
      <c r="HF197" s="97"/>
      <c r="HG197" s="97"/>
      <c r="HH197" s="97"/>
      <c r="HI197" s="97"/>
      <c r="HJ197" s="97"/>
      <c r="HK197" s="97"/>
      <c r="HL197" s="97"/>
      <c r="HM197" s="97"/>
      <c r="HN197" s="97"/>
      <c r="HO197" s="97"/>
      <c r="HP197" s="97"/>
      <c r="HQ197" s="97"/>
      <c r="HR197" s="97"/>
      <c r="HS197" s="97"/>
      <c r="HT197" s="97"/>
      <c r="HU197" s="97"/>
      <c r="HV197" s="97"/>
      <c r="HW197" s="97"/>
      <c r="HX197" s="97"/>
      <c r="HY197" s="97"/>
      <c r="HZ197" s="97"/>
      <c r="IA197" s="97"/>
      <c r="IB197" s="97"/>
      <c r="IC197" s="97"/>
      <c r="ID197" s="97"/>
      <c r="IE197" s="97"/>
      <c r="IF197" s="97"/>
      <c r="IG197" s="97"/>
      <c r="IH197" s="97"/>
      <c r="II197" s="97"/>
      <c r="IJ197" s="97"/>
      <c r="IK197" s="97"/>
      <c r="IL197" s="97"/>
      <c r="IM197" s="97"/>
      <c r="IN197" s="97"/>
      <c r="IO197" s="97"/>
      <c r="IP197" s="97"/>
      <c r="IQ197" s="97"/>
      <c r="IR197" s="97"/>
      <c r="IS197" s="97"/>
    </row>
    <row r="198" spans="1:253" hidden="1">
      <c r="A198" s="28"/>
      <c r="K198" s="19" t="s">
        <v>112</v>
      </c>
      <c r="L198" s="5" t="s">
        <v>113</v>
      </c>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97"/>
      <c r="AO198" s="97"/>
      <c r="AP198" s="97"/>
      <c r="AQ198" s="97"/>
      <c r="AR198" s="97"/>
      <c r="AS198" s="97"/>
      <c r="AT198" s="97"/>
      <c r="AU198" s="97"/>
      <c r="AV198" s="97"/>
      <c r="AW198" s="97"/>
      <c r="AX198" s="97"/>
      <c r="AY198" s="97"/>
      <c r="AZ198" s="97"/>
      <c r="BA198" s="97"/>
      <c r="BB198" s="97"/>
      <c r="BC198" s="97"/>
      <c r="BD198" s="97"/>
      <c r="BE198" s="97"/>
      <c r="BF198" s="97"/>
      <c r="BG198" s="97"/>
      <c r="BH198" s="97"/>
      <c r="BI198" s="97"/>
      <c r="BJ198" s="97"/>
      <c r="BK198" s="97"/>
      <c r="BL198" s="97"/>
      <c r="BM198" s="97"/>
      <c r="BN198" s="97"/>
      <c r="BO198" s="97"/>
      <c r="BP198" s="97"/>
      <c r="BQ198" s="97"/>
      <c r="BR198" s="97"/>
      <c r="BS198" s="97"/>
      <c r="BT198" s="97"/>
      <c r="BU198" s="97"/>
      <c r="BV198" s="97"/>
      <c r="BW198" s="97"/>
      <c r="BX198" s="97"/>
      <c r="BY198" s="97"/>
      <c r="BZ198" s="97"/>
      <c r="CA198" s="97"/>
      <c r="CB198" s="97"/>
      <c r="CC198" s="97"/>
      <c r="CD198" s="97"/>
      <c r="CE198" s="97"/>
      <c r="CF198" s="97"/>
      <c r="CG198" s="97"/>
      <c r="CH198" s="97"/>
      <c r="CI198" s="97"/>
      <c r="CJ198" s="97"/>
      <c r="CK198" s="97"/>
      <c r="CL198" s="97"/>
      <c r="CM198" s="97"/>
      <c r="CN198" s="97"/>
      <c r="CO198" s="97"/>
      <c r="CP198" s="97"/>
      <c r="CQ198" s="97"/>
      <c r="CR198" s="97"/>
      <c r="CS198" s="97"/>
      <c r="CT198" s="97"/>
      <c r="CU198" s="97"/>
      <c r="CV198" s="97"/>
      <c r="CW198" s="97"/>
      <c r="CX198" s="97"/>
      <c r="CY198" s="97"/>
      <c r="CZ198" s="97"/>
      <c r="DA198" s="97"/>
      <c r="DB198" s="97"/>
      <c r="DC198" s="97"/>
      <c r="DD198" s="97"/>
      <c r="DE198" s="97"/>
      <c r="DF198" s="97"/>
      <c r="DG198" s="97"/>
      <c r="DH198" s="97"/>
      <c r="DI198" s="97"/>
      <c r="DJ198" s="97"/>
      <c r="DK198" s="97"/>
      <c r="DL198" s="97"/>
      <c r="DM198" s="97"/>
      <c r="DN198" s="97"/>
      <c r="DO198" s="97"/>
      <c r="DP198" s="97"/>
      <c r="DQ198" s="97"/>
      <c r="DR198" s="97"/>
      <c r="DS198" s="97"/>
      <c r="DT198" s="97"/>
      <c r="DU198" s="97"/>
      <c r="DV198" s="97"/>
      <c r="DW198" s="97"/>
      <c r="DX198" s="97"/>
      <c r="DY198" s="97"/>
      <c r="DZ198" s="97"/>
      <c r="EA198" s="97"/>
      <c r="EB198" s="97"/>
      <c r="EC198" s="97"/>
      <c r="ED198" s="97"/>
      <c r="EE198" s="97"/>
      <c r="EF198" s="97"/>
      <c r="EG198" s="97"/>
      <c r="EH198" s="97"/>
      <c r="EI198" s="97"/>
      <c r="EJ198" s="97"/>
      <c r="EK198" s="97"/>
      <c r="EL198" s="97"/>
      <c r="EM198" s="97"/>
      <c r="EN198" s="97"/>
      <c r="EO198" s="97"/>
      <c r="EP198" s="97"/>
      <c r="EQ198" s="97"/>
      <c r="ER198" s="97"/>
      <c r="ES198" s="97"/>
      <c r="ET198" s="97"/>
      <c r="EU198" s="97"/>
      <c r="EV198" s="97"/>
      <c r="EW198" s="97"/>
      <c r="EX198" s="97"/>
      <c r="EY198" s="97"/>
      <c r="EZ198" s="97"/>
      <c r="FA198" s="97"/>
      <c r="FB198" s="97"/>
      <c r="FC198" s="97"/>
      <c r="FD198" s="97"/>
      <c r="FE198" s="97"/>
      <c r="FF198" s="97"/>
      <c r="FG198" s="97"/>
      <c r="FH198" s="97"/>
      <c r="FI198" s="97"/>
      <c r="FJ198" s="97"/>
      <c r="FK198" s="97"/>
      <c r="FL198" s="97"/>
      <c r="FM198" s="97"/>
      <c r="FN198" s="97"/>
      <c r="FO198" s="97"/>
      <c r="FP198" s="97"/>
      <c r="FQ198" s="97"/>
      <c r="FR198" s="97"/>
      <c r="FS198" s="97"/>
      <c r="FT198" s="97"/>
      <c r="FU198" s="97"/>
      <c r="FV198" s="97"/>
      <c r="FW198" s="97"/>
      <c r="FX198" s="97"/>
      <c r="FY198" s="97"/>
      <c r="FZ198" s="97"/>
      <c r="GA198" s="97"/>
      <c r="GB198" s="97"/>
      <c r="GC198" s="97"/>
      <c r="GD198" s="97"/>
      <c r="GE198" s="97"/>
      <c r="GF198" s="97"/>
      <c r="GG198" s="97"/>
      <c r="GH198" s="97"/>
      <c r="GI198" s="97"/>
      <c r="GJ198" s="97"/>
      <c r="GK198" s="97"/>
      <c r="GL198" s="97"/>
      <c r="GM198" s="97"/>
      <c r="GN198" s="97"/>
      <c r="GO198" s="97"/>
      <c r="GP198" s="97"/>
      <c r="GQ198" s="97"/>
      <c r="GR198" s="97"/>
      <c r="GS198" s="97"/>
      <c r="GT198" s="97"/>
      <c r="GU198" s="97"/>
      <c r="GV198" s="97"/>
      <c r="GW198" s="97"/>
      <c r="GX198" s="97"/>
      <c r="GY198" s="97"/>
      <c r="GZ198" s="97"/>
      <c r="HA198" s="97"/>
      <c r="HB198" s="97"/>
      <c r="HC198" s="97"/>
      <c r="HD198" s="97"/>
      <c r="HE198" s="97"/>
      <c r="HF198" s="97"/>
      <c r="HG198" s="97"/>
      <c r="HH198" s="97"/>
      <c r="HI198" s="97"/>
      <c r="HJ198" s="97"/>
      <c r="HK198" s="97"/>
      <c r="HL198" s="97"/>
      <c r="HM198" s="97"/>
      <c r="HN198" s="97"/>
      <c r="HO198" s="97"/>
      <c r="HP198" s="97"/>
      <c r="HQ198" s="97"/>
      <c r="HR198" s="97"/>
      <c r="HS198" s="97"/>
      <c r="HT198" s="97"/>
      <c r="HU198" s="97"/>
      <c r="HV198" s="97"/>
      <c r="HW198" s="97"/>
      <c r="HX198" s="97"/>
      <c r="HY198" s="97"/>
      <c r="HZ198" s="97"/>
      <c r="IA198" s="97"/>
      <c r="IB198" s="97"/>
      <c r="IC198" s="97"/>
      <c r="ID198" s="97"/>
      <c r="IE198" s="97"/>
      <c r="IF198" s="97"/>
      <c r="IG198" s="97"/>
      <c r="IH198" s="97"/>
      <c r="II198" s="97"/>
      <c r="IJ198" s="97"/>
      <c r="IK198" s="97"/>
      <c r="IL198" s="97"/>
      <c r="IM198" s="97"/>
      <c r="IN198" s="97"/>
      <c r="IO198" s="97"/>
      <c r="IP198" s="97"/>
      <c r="IQ198" s="97"/>
      <c r="IR198" s="97"/>
      <c r="IS198" s="97"/>
    </row>
    <row r="199" spans="1:253" hidden="1">
      <c r="A199" s="28"/>
      <c r="K199" s="19" t="s">
        <v>63</v>
      </c>
      <c r="L199" s="5" t="s">
        <v>114</v>
      </c>
      <c r="Q199" s="97"/>
      <c r="R199" s="97"/>
      <c r="S199" s="97"/>
      <c r="T199" s="97"/>
      <c r="U199" s="97"/>
      <c r="V199" s="97"/>
      <c r="W199" s="97"/>
      <c r="X199" s="97"/>
      <c r="Y199" s="97"/>
      <c r="Z199" s="97"/>
      <c r="AA199" s="97"/>
      <c r="AB199" s="97"/>
      <c r="AC199" s="97"/>
      <c r="AD199" s="97"/>
      <c r="AE199" s="97"/>
      <c r="AF199" s="97"/>
      <c r="AG199" s="97"/>
      <c r="AH199" s="97"/>
      <c r="AI199" s="97"/>
      <c r="AJ199" s="97"/>
      <c r="AK199" s="97"/>
      <c r="AL199" s="97"/>
      <c r="AM199" s="97"/>
      <c r="AN199" s="97"/>
      <c r="AO199" s="97"/>
      <c r="AP199" s="97"/>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97"/>
      <c r="BU199" s="97"/>
      <c r="BV199" s="97"/>
      <c r="BW199" s="97"/>
      <c r="BX199" s="97"/>
      <c r="BY199" s="97"/>
      <c r="BZ199" s="97"/>
      <c r="CA199" s="97"/>
      <c r="CB199" s="97"/>
      <c r="CC199" s="97"/>
      <c r="CD199" s="97"/>
      <c r="CE199" s="97"/>
      <c r="CF199" s="97"/>
      <c r="CG199" s="97"/>
      <c r="CH199" s="97"/>
      <c r="CI199" s="97"/>
      <c r="CJ199" s="97"/>
      <c r="CK199" s="97"/>
      <c r="CL199" s="97"/>
      <c r="CM199" s="97"/>
      <c r="CN199" s="97"/>
      <c r="CO199" s="97"/>
      <c r="CP199" s="97"/>
      <c r="CQ199" s="97"/>
      <c r="CR199" s="97"/>
      <c r="CS199" s="97"/>
      <c r="CT199" s="97"/>
      <c r="CU199" s="97"/>
      <c r="CV199" s="97"/>
      <c r="CW199" s="97"/>
      <c r="CX199" s="97"/>
      <c r="CY199" s="97"/>
      <c r="CZ199" s="97"/>
      <c r="DA199" s="97"/>
      <c r="DB199" s="97"/>
      <c r="DC199" s="97"/>
      <c r="DD199" s="97"/>
      <c r="DE199" s="97"/>
      <c r="DF199" s="97"/>
      <c r="DG199" s="97"/>
      <c r="DH199" s="97"/>
      <c r="DI199" s="97"/>
      <c r="DJ199" s="97"/>
      <c r="DK199" s="97"/>
      <c r="DL199" s="97"/>
      <c r="DM199" s="97"/>
      <c r="DN199" s="97"/>
      <c r="DO199" s="97"/>
      <c r="DP199" s="97"/>
      <c r="DQ199" s="97"/>
      <c r="DR199" s="97"/>
      <c r="DS199" s="97"/>
      <c r="DT199" s="97"/>
      <c r="DU199" s="97"/>
      <c r="DV199" s="97"/>
      <c r="DW199" s="97"/>
      <c r="DX199" s="97"/>
      <c r="DY199" s="97"/>
      <c r="DZ199" s="97"/>
      <c r="EA199" s="97"/>
      <c r="EB199" s="97"/>
      <c r="EC199" s="97"/>
      <c r="ED199" s="97"/>
      <c r="EE199" s="97"/>
      <c r="EF199" s="97"/>
      <c r="EG199" s="97"/>
      <c r="EH199" s="97"/>
      <c r="EI199" s="97"/>
      <c r="EJ199" s="97"/>
      <c r="EK199" s="97"/>
      <c r="EL199" s="97"/>
      <c r="EM199" s="97"/>
      <c r="EN199" s="97"/>
      <c r="EO199" s="97"/>
      <c r="EP199" s="97"/>
      <c r="EQ199" s="97"/>
      <c r="ER199" s="97"/>
      <c r="ES199" s="97"/>
      <c r="ET199" s="97"/>
      <c r="EU199" s="97"/>
      <c r="EV199" s="97"/>
      <c r="EW199" s="97"/>
      <c r="EX199" s="97"/>
      <c r="EY199" s="97"/>
      <c r="EZ199" s="97"/>
      <c r="FA199" s="97"/>
      <c r="FB199" s="97"/>
      <c r="FC199" s="97"/>
      <c r="FD199" s="97"/>
      <c r="FE199" s="97"/>
      <c r="FF199" s="97"/>
      <c r="FG199" s="97"/>
      <c r="FH199" s="97"/>
      <c r="FI199" s="97"/>
      <c r="FJ199" s="97"/>
      <c r="FK199" s="97"/>
      <c r="FL199" s="97"/>
      <c r="FM199" s="97"/>
      <c r="FN199" s="97"/>
      <c r="FO199" s="97"/>
      <c r="FP199" s="97"/>
      <c r="FQ199" s="97"/>
      <c r="FR199" s="97"/>
      <c r="FS199" s="97"/>
      <c r="FT199" s="97"/>
      <c r="FU199" s="97"/>
      <c r="FV199" s="97"/>
      <c r="FW199" s="97"/>
      <c r="FX199" s="97"/>
      <c r="FY199" s="97"/>
      <c r="FZ199" s="97"/>
      <c r="GA199" s="97"/>
      <c r="GB199" s="97"/>
      <c r="GC199" s="97"/>
      <c r="GD199" s="97"/>
      <c r="GE199" s="97"/>
      <c r="GF199" s="97"/>
      <c r="GG199" s="97"/>
      <c r="GH199" s="97"/>
      <c r="GI199" s="97"/>
      <c r="GJ199" s="97"/>
      <c r="GK199" s="97"/>
      <c r="GL199" s="97"/>
      <c r="GM199" s="97"/>
      <c r="GN199" s="97"/>
      <c r="GO199" s="97"/>
      <c r="GP199" s="97"/>
      <c r="GQ199" s="97"/>
      <c r="GR199" s="97"/>
      <c r="GS199" s="97"/>
      <c r="GT199" s="97"/>
      <c r="GU199" s="97"/>
      <c r="GV199" s="97"/>
      <c r="GW199" s="97"/>
      <c r="GX199" s="97"/>
      <c r="GY199" s="97"/>
      <c r="GZ199" s="97"/>
      <c r="HA199" s="97"/>
      <c r="HB199" s="97"/>
      <c r="HC199" s="97"/>
      <c r="HD199" s="97"/>
      <c r="HE199" s="97"/>
      <c r="HF199" s="97"/>
      <c r="HG199" s="97"/>
      <c r="HH199" s="97"/>
      <c r="HI199" s="97"/>
      <c r="HJ199" s="97"/>
      <c r="HK199" s="97"/>
      <c r="HL199" s="97"/>
      <c r="HM199" s="97"/>
      <c r="HN199" s="97"/>
      <c r="HO199" s="97"/>
      <c r="HP199" s="97"/>
      <c r="HQ199" s="97"/>
      <c r="HR199" s="97"/>
      <c r="HS199" s="97"/>
      <c r="HT199" s="97"/>
      <c r="HU199" s="97"/>
      <c r="HV199" s="97"/>
      <c r="HW199" s="97"/>
      <c r="HX199" s="97"/>
      <c r="HY199" s="97"/>
      <c r="HZ199" s="97"/>
      <c r="IA199" s="97"/>
      <c r="IB199" s="97"/>
      <c r="IC199" s="97"/>
      <c r="ID199" s="97"/>
      <c r="IE199" s="97"/>
      <c r="IF199" s="97"/>
      <c r="IG199" s="97"/>
      <c r="IH199" s="97"/>
      <c r="II199" s="97"/>
      <c r="IJ199" s="97"/>
      <c r="IK199" s="97"/>
      <c r="IL199" s="97"/>
      <c r="IM199" s="97"/>
      <c r="IN199" s="97"/>
      <c r="IO199" s="97"/>
      <c r="IP199" s="97"/>
      <c r="IQ199" s="97"/>
      <c r="IR199" s="97"/>
      <c r="IS199" s="97"/>
    </row>
    <row r="200" spans="1:253" hidden="1">
      <c r="A200" s="28"/>
      <c r="K200" s="19" t="s">
        <v>64</v>
      </c>
      <c r="L200" s="5" t="s">
        <v>115</v>
      </c>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c r="BN200" s="97"/>
      <c r="BO200" s="97"/>
      <c r="BP200" s="97"/>
      <c r="BQ200" s="97"/>
      <c r="BR200" s="97"/>
      <c r="BS200" s="97"/>
      <c r="BT200" s="97"/>
      <c r="BU200" s="97"/>
      <c r="BV200" s="97"/>
      <c r="BW200" s="97"/>
      <c r="BX200" s="97"/>
      <c r="BY200" s="97"/>
      <c r="BZ200" s="97"/>
      <c r="CA200" s="97"/>
      <c r="CB200" s="97"/>
      <c r="CC200" s="97"/>
      <c r="CD200" s="97"/>
      <c r="CE200" s="97"/>
      <c r="CF200" s="97"/>
      <c r="CG200" s="97"/>
      <c r="CH200" s="97"/>
      <c r="CI200" s="97"/>
      <c r="CJ200" s="97"/>
      <c r="CK200" s="97"/>
      <c r="CL200" s="97"/>
      <c r="CM200" s="97"/>
      <c r="CN200" s="97"/>
      <c r="CO200" s="97"/>
      <c r="CP200" s="97"/>
      <c r="CQ200" s="97"/>
      <c r="CR200" s="97"/>
      <c r="CS200" s="97"/>
      <c r="CT200" s="97"/>
      <c r="CU200" s="97"/>
      <c r="CV200" s="97"/>
      <c r="CW200" s="97"/>
      <c r="CX200" s="97"/>
      <c r="CY200" s="97"/>
      <c r="CZ200" s="97"/>
      <c r="DA200" s="97"/>
      <c r="DB200" s="97"/>
      <c r="DC200" s="97"/>
      <c r="DD200" s="97"/>
      <c r="DE200" s="97"/>
      <c r="DF200" s="97"/>
      <c r="DG200" s="97"/>
      <c r="DH200" s="97"/>
      <c r="DI200" s="97"/>
      <c r="DJ200" s="97"/>
      <c r="DK200" s="97"/>
      <c r="DL200" s="97"/>
      <c r="DM200" s="97"/>
      <c r="DN200" s="97"/>
      <c r="DO200" s="97"/>
      <c r="DP200" s="97"/>
      <c r="DQ200" s="97"/>
      <c r="DR200" s="97"/>
      <c r="DS200" s="97"/>
      <c r="DT200" s="97"/>
      <c r="DU200" s="97"/>
      <c r="DV200" s="97"/>
      <c r="DW200" s="97"/>
      <c r="DX200" s="97"/>
      <c r="DY200" s="97"/>
      <c r="DZ200" s="97"/>
      <c r="EA200" s="97"/>
      <c r="EB200" s="97"/>
      <c r="EC200" s="97"/>
      <c r="ED200" s="97"/>
      <c r="EE200" s="97"/>
      <c r="EF200" s="97"/>
      <c r="EG200" s="97"/>
      <c r="EH200" s="97"/>
      <c r="EI200" s="97"/>
      <c r="EJ200" s="97"/>
      <c r="EK200" s="97"/>
      <c r="EL200" s="97"/>
      <c r="EM200" s="97"/>
      <c r="EN200" s="97"/>
      <c r="EO200" s="97"/>
      <c r="EP200" s="97"/>
      <c r="EQ200" s="97"/>
      <c r="ER200" s="97"/>
      <c r="ES200" s="97"/>
      <c r="ET200" s="97"/>
      <c r="EU200" s="97"/>
      <c r="EV200" s="97"/>
      <c r="EW200" s="97"/>
      <c r="EX200" s="97"/>
      <c r="EY200" s="97"/>
      <c r="EZ200" s="97"/>
      <c r="FA200" s="97"/>
      <c r="FB200" s="97"/>
      <c r="FC200" s="97"/>
      <c r="FD200" s="97"/>
      <c r="FE200" s="97"/>
      <c r="FF200" s="97"/>
      <c r="FG200" s="97"/>
      <c r="FH200" s="97"/>
      <c r="FI200" s="97"/>
      <c r="FJ200" s="97"/>
      <c r="FK200" s="97"/>
      <c r="FL200" s="97"/>
      <c r="FM200" s="97"/>
      <c r="FN200" s="97"/>
      <c r="FO200" s="97"/>
      <c r="FP200" s="97"/>
      <c r="FQ200" s="97"/>
      <c r="FR200" s="97"/>
      <c r="FS200" s="97"/>
      <c r="FT200" s="97"/>
      <c r="FU200" s="97"/>
      <c r="FV200" s="97"/>
      <c r="FW200" s="97"/>
      <c r="FX200" s="97"/>
      <c r="FY200" s="97"/>
      <c r="FZ200" s="97"/>
      <c r="GA200" s="97"/>
      <c r="GB200" s="97"/>
      <c r="GC200" s="97"/>
      <c r="GD200" s="97"/>
      <c r="GE200" s="97"/>
      <c r="GF200" s="97"/>
      <c r="GG200" s="97"/>
      <c r="GH200" s="97"/>
      <c r="GI200" s="97"/>
      <c r="GJ200" s="97"/>
      <c r="GK200" s="97"/>
      <c r="GL200" s="97"/>
      <c r="GM200" s="97"/>
      <c r="GN200" s="97"/>
      <c r="GO200" s="97"/>
      <c r="GP200" s="97"/>
      <c r="GQ200" s="97"/>
      <c r="GR200" s="97"/>
      <c r="GS200" s="97"/>
      <c r="GT200" s="97"/>
      <c r="GU200" s="97"/>
      <c r="GV200" s="97"/>
      <c r="GW200" s="97"/>
      <c r="GX200" s="97"/>
      <c r="GY200" s="97"/>
      <c r="GZ200" s="97"/>
      <c r="HA200" s="97"/>
      <c r="HB200" s="97"/>
      <c r="HC200" s="97"/>
      <c r="HD200" s="97"/>
      <c r="HE200" s="97"/>
      <c r="HF200" s="97"/>
      <c r="HG200" s="97"/>
      <c r="HH200" s="97"/>
      <c r="HI200" s="97"/>
      <c r="HJ200" s="97"/>
      <c r="HK200" s="97"/>
      <c r="HL200" s="97"/>
      <c r="HM200" s="97"/>
      <c r="HN200" s="97"/>
      <c r="HO200" s="97"/>
      <c r="HP200" s="97"/>
      <c r="HQ200" s="97"/>
      <c r="HR200" s="97"/>
      <c r="HS200" s="97"/>
      <c r="HT200" s="97"/>
      <c r="HU200" s="97"/>
      <c r="HV200" s="97"/>
      <c r="HW200" s="97"/>
      <c r="HX200" s="97"/>
      <c r="HY200" s="97"/>
      <c r="HZ200" s="97"/>
      <c r="IA200" s="97"/>
      <c r="IB200" s="97"/>
      <c r="IC200" s="97"/>
      <c r="ID200" s="97"/>
      <c r="IE200" s="97"/>
      <c r="IF200" s="97"/>
      <c r="IG200" s="97"/>
      <c r="IH200" s="97"/>
      <c r="II200" s="97"/>
      <c r="IJ200" s="97"/>
      <c r="IK200" s="97"/>
      <c r="IL200" s="97"/>
      <c r="IM200" s="97"/>
      <c r="IN200" s="97"/>
      <c r="IO200" s="97"/>
      <c r="IP200" s="97"/>
      <c r="IQ200" s="97"/>
      <c r="IR200" s="97"/>
      <c r="IS200" s="97"/>
    </row>
    <row r="201" spans="1:253" s="97" customFormat="1">
      <c r="B201"/>
      <c r="C201"/>
      <c r="D201"/>
      <c r="E201"/>
      <c r="F201"/>
      <c r="K201" s="147"/>
    </row>
    <row r="202" spans="1:253" s="97" customFormat="1">
      <c r="K202" s="147"/>
    </row>
    <row r="203" spans="1:253" s="97" customFormat="1">
      <c r="K203" s="147"/>
    </row>
    <row r="204" spans="1:253" s="97" customFormat="1">
      <c r="K204" s="147"/>
    </row>
    <row r="205" spans="1:253" s="97" customFormat="1">
      <c r="K205" s="147"/>
    </row>
    <row r="206" spans="1:253" s="97" customFormat="1">
      <c r="K206" s="147"/>
    </row>
    <row r="207" spans="1:253" s="97" customFormat="1">
      <c r="K207" s="147"/>
    </row>
    <row r="208" spans="1:253" s="97" customFormat="1">
      <c r="K208" s="147"/>
    </row>
    <row r="209" spans="11:11" s="97" customFormat="1">
      <c r="K209" s="147"/>
    </row>
    <row r="210" spans="11:11" s="97" customFormat="1">
      <c r="K210" s="147"/>
    </row>
    <row r="211" spans="11:11" s="97" customFormat="1">
      <c r="K211" s="147"/>
    </row>
    <row r="212" spans="11:11" s="97" customFormat="1">
      <c r="K212" s="147"/>
    </row>
    <row r="213" spans="11:11" s="97" customFormat="1">
      <c r="K213" s="147"/>
    </row>
    <row r="214" spans="11:11" s="97" customFormat="1">
      <c r="K214" s="147"/>
    </row>
    <row r="215" spans="11:11" s="97" customFormat="1">
      <c r="K215" s="147"/>
    </row>
    <row r="216" spans="11:11" s="97" customFormat="1">
      <c r="K216" s="147"/>
    </row>
    <row r="217" spans="11:11" s="97" customFormat="1">
      <c r="K217" s="147"/>
    </row>
    <row r="218" spans="11:11" s="97" customFormat="1">
      <c r="K218" s="147"/>
    </row>
    <row r="219" spans="11:11" s="97" customFormat="1">
      <c r="K219" s="147"/>
    </row>
    <row r="220" spans="11:11" s="97" customFormat="1">
      <c r="K220" s="147"/>
    </row>
    <row r="221" spans="11:11" s="97" customFormat="1">
      <c r="K221" s="147"/>
    </row>
    <row r="222" spans="11:11" s="97" customFormat="1">
      <c r="K222" s="147"/>
    </row>
    <row r="223" spans="11:11" s="97" customFormat="1">
      <c r="K223" s="147"/>
    </row>
    <row r="224" spans="11:11" s="97" customFormat="1">
      <c r="K224" s="147"/>
    </row>
    <row r="225" spans="11:11" s="97" customFormat="1">
      <c r="K225" s="147"/>
    </row>
    <row r="226" spans="11:11" s="97" customFormat="1">
      <c r="K226" s="147"/>
    </row>
    <row r="227" spans="11:11" s="97" customFormat="1">
      <c r="K227" s="147"/>
    </row>
    <row r="228" spans="11:11" s="97" customFormat="1">
      <c r="K228" s="147"/>
    </row>
    <row r="229" spans="11:11" s="97" customFormat="1">
      <c r="K229" s="147"/>
    </row>
    <row r="230" spans="11:11" s="97" customFormat="1">
      <c r="K230" s="147"/>
    </row>
    <row r="231" spans="11:11" s="97" customFormat="1">
      <c r="K231" s="147"/>
    </row>
    <row r="232" spans="11:11" s="97" customFormat="1">
      <c r="K232" s="147"/>
    </row>
    <row r="233" spans="11:11" s="97" customFormat="1">
      <c r="K233" s="147"/>
    </row>
    <row r="234" spans="11:11" s="97" customFormat="1">
      <c r="K234" s="147"/>
    </row>
    <row r="235" spans="11:11" s="97" customFormat="1">
      <c r="K235" s="147"/>
    </row>
    <row r="236" spans="11:11" s="97" customFormat="1">
      <c r="K236" s="147"/>
    </row>
    <row r="237" spans="11:11" s="97" customFormat="1">
      <c r="K237" s="147"/>
    </row>
    <row r="238" spans="11:11" s="97" customFormat="1">
      <c r="K238" s="147"/>
    </row>
    <row r="239" spans="11:11" s="97" customFormat="1">
      <c r="K239" s="147"/>
    </row>
    <row r="240" spans="11:11" s="97" customFormat="1">
      <c r="K240" s="147"/>
    </row>
    <row r="241" spans="11:11" s="97" customFormat="1">
      <c r="K241" s="147"/>
    </row>
    <row r="242" spans="11:11" s="97" customFormat="1">
      <c r="K242" s="147"/>
    </row>
    <row r="243" spans="11:11" s="97" customFormat="1">
      <c r="K243" s="147"/>
    </row>
    <row r="244" spans="11:11" s="97" customFormat="1">
      <c r="K244" s="147"/>
    </row>
    <row r="245" spans="11:11" s="97" customFormat="1">
      <c r="K245" s="147"/>
    </row>
    <row r="246" spans="11:11" s="97" customFormat="1">
      <c r="K246" s="147"/>
    </row>
    <row r="247" spans="11:11" s="97" customFormat="1">
      <c r="K247" s="147"/>
    </row>
    <row r="248" spans="11:11" s="97" customFormat="1">
      <c r="K248" s="147"/>
    </row>
    <row r="249" spans="11:11" s="97" customFormat="1">
      <c r="K249" s="147"/>
    </row>
    <row r="250" spans="11:11" s="97" customFormat="1">
      <c r="K250" s="147"/>
    </row>
    <row r="251" spans="11:11" s="97" customFormat="1">
      <c r="K251" s="147"/>
    </row>
    <row r="252" spans="11:11" s="97" customFormat="1">
      <c r="K252" s="147"/>
    </row>
    <row r="253" spans="11:11" s="97" customFormat="1">
      <c r="K253" s="147"/>
    </row>
    <row r="254" spans="11:11" s="97" customFormat="1">
      <c r="K254" s="147"/>
    </row>
    <row r="255" spans="11:11" s="97" customFormat="1">
      <c r="K255" s="147"/>
    </row>
    <row r="256" spans="11:11" s="97" customFormat="1">
      <c r="K256" s="147"/>
    </row>
    <row r="257" spans="11:11" s="97" customFormat="1">
      <c r="K257" s="147"/>
    </row>
    <row r="258" spans="11:11" s="97" customFormat="1">
      <c r="K258" s="147"/>
    </row>
    <row r="259" spans="11:11" s="97" customFormat="1">
      <c r="K259" s="147"/>
    </row>
    <row r="260" spans="11:11" s="97" customFormat="1">
      <c r="K260" s="147"/>
    </row>
    <row r="261" spans="11:11" s="97" customFormat="1">
      <c r="K261" s="147"/>
    </row>
    <row r="262" spans="11:11" s="97" customFormat="1">
      <c r="K262" s="147"/>
    </row>
    <row r="263" spans="11:11" s="97" customFormat="1">
      <c r="K263" s="147"/>
    </row>
    <row r="264" spans="11:11" s="97" customFormat="1">
      <c r="K264" s="147"/>
    </row>
    <row r="265" spans="11:11" s="97" customFormat="1">
      <c r="K265" s="147"/>
    </row>
    <row r="266" spans="11:11" s="97" customFormat="1">
      <c r="K266" s="147"/>
    </row>
    <row r="267" spans="11:11" s="97" customFormat="1">
      <c r="K267" s="147"/>
    </row>
    <row r="268" spans="11:11" s="97" customFormat="1">
      <c r="K268" s="147"/>
    </row>
    <row r="269" spans="11:11" s="97" customFormat="1">
      <c r="K269" s="147"/>
    </row>
    <row r="270" spans="11:11" s="97" customFormat="1">
      <c r="K270" s="147"/>
    </row>
    <row r="271" spans="11:11" s="97" customFormat="1">
      <c r="K271" s="147"/>
    </row>
    <row r="272" spans="11:11" s="97" customFormat="1">
      <c r="K272" s="147"/>
    </row>
    <row r="273" spans="11:11" s="97" customFormat="1">
      <c r="K273" s="147"/>
    </row>
    <row r="274" spans="11:11" s="97" customFormat="1">
      <c r="K274" s="147"/>
    </row>
    <row r="275" spans="11:11" s="97" customFormat="1">
      <c r="K275" s="147"/>
    </row>
    <row r="276" spans="11:11" s="97" customFormat="1">
      <c r="K276" s="147"/>
    </row>
    <row r="277" spans="11:11" s="97" customFormat="1">
      <c r="K277" s="147"/>
    </row>
    <row r="278" spans="11:11" s="97" customFormat="1">
      <c r="K278" s="147"/>
    </row>
    <row r="279" spans="11:11" s="97" customFormat="1">
      <c r="K279" s="147"/>
    </row>
    <row r="280" spans="11:11" s="97" customFormat="1">
      <c r="K280" s="147"/>
    </row>
    <row r="281" spans="11:11" s="97" customFormat="1">
      <c r="K281" s="147"/>
    </row>
    <row r="282" spans="11:11" s="97" customFormat="1">
      <c r="K282" s="147"/>
    </row>
    <row r="283" spans="11:11" s="97" customFormat="1">
      <c r="K283" s="147"/>
    </row>
    <row r="284" spans="11:11" s="97" customFormat="1">
      <c r="K284" s="147"/>
    </row>
    <row r="285" spans="11:11" s="97" customFormat="1">
      <c r="K285" s="147"/>
    </row>
    <row r="286" spans="11:11" s="97" customFormat="1">
      <c r="K286" s="147"/>
    </row>
    <row r="287" spans="11:11" s="97" customFormat="1">
      <c r="K287" s="147"/>
    </row>
    <row r="288" spans="11:11" s="97" customFormat="1">
      <c r="K288" s="147"/>
    </row>
    <row r="289" spans="11:11" s="97" customFormat="1">
      <c r="K289" s="147"/>
    </row>
    <row r="290" spans="11:11" s="97" customFormat="1">
      <c r="K290" s="147"/>
    </row>
    <row r="291" spans="11:11" s="97" customFormat="1">
      <c r="K291" s="147"/>
    </row>
    <row r="292" spans="11:11" s="97" customFormat="1">
      <c r="K292" s="147"/>
    </row>
    <row r="293" spans="11:11" s="97" customFormat="1">
      <c r="K293" s="147"/>
    </row>
    <row r="294" spans="11:11" s="97" customFormat="1">
      <c r="K294" s="147"/>
    </row>
    <row r="295" spans="11:11" s="97" customFormat="1">
      <c r="K295" s="147"/>
    </row>
    <row r="296" spans="11:11" s="97" customFormat="1">
      <c r="K296" s="147"/>
    </row>
    <row r="297" spans="11:11" s="97" customFormat="1">
      <c r="K297" s="147"/>
    </row>
    <row r="298" spans="11:11" s="97" customFormat="1">
      <c r="K298" s="147"/>
    </row>
    <row r="299" spans="11:11" s="97" customFormat="1">
      <c r="K299" s="147"/>
    </row>
    <row r="300" spans="11:11" s="97" customFormat="1">
      <c r="K300" s="147"/>
    </row>
    <row r="301" spans="11:11" s="97" customFormat="1">
      <c r="K301" s="147"/>
    </row>
    <row r="302" spans="11:11" s="97" customFormat="1">
      <c r="K302" s="147"/>
    </row>
    <row r="303" spans="11:11" s="97" customFormat="1">
      <c r="K303" s="147"/>
    </row>
    <row r="304" spans="11:11" s="97" customFormat="1">
      <c r="K304" s="147"/>
    </row>
    <row r="305" spans="11:11" s="97" customFormat="1">
      <c r="K305" s="147"/>
    </row>
    <row r="306" spans="11:11" s="97" customFormat="1">
      <c r="K306" s="147"/>
    </row>
    <row r="307" spans="11:11" s="97" customFormat="1">
      <c r="K307" s="147"/>
    </row>
    <row r="308" spans="11:11" s="97" customFormat="1">
      <c r="K308" s="147"/>
    </row>
    <row r="309" spans="11:11" s="97" customFormat="1">
      <c r="K309" s="147"/>
    </row>
    <row r="310" spans="11:11" s="97" customFormat="1">
      <c r="K310" s="147"/>
    </row>
    <row r="311" spans="11:11" s="97" customFormat="1">
      <c r="K311" s="147"/>
    </row>
    <row r="312" spans="11:11" s="97" customFormat="1">
      <c r="K312" s="147"/>
    </row>
    <row r="313" spans="11:11" s="97" customFormat="1">
      <c r="K313" s="147"/>
    </row>
    <row r="314" spans="11:11" s="97" customFormat="1">
      <c r="K314" s="147"/>
    </row>
    <row r="315" spans="11:11" s="97" customFormat="1">
      <c r="K315" s="147"/>
    </row>
    <row r="316" spans="11:11" s="97" customFormat="1">
      <c r="K316" s="147"/>
    </row>
    <row r="317" spans="11:11" s="97" customFormat="1">
      <c r="K317" s="147"/>
    </row>
    <row r="318" spans="11:11" s="97" customFormat="1">
      <c r="K318" s="147"/>
    </row>
    <row r="319" spans="11:11" s="97" customFormat="1">
      <c r="K319" s="147"/>
    </row>
    <row r="320" spans="11:11" s="97" customFormat="1">
      <c r="K320" s="147"/>
    </row>
    <row r="321" spans="11:11" s="97" customFormat="1">
      <c r="K321" s="147"/>
    </row>
    <row r="322" spans="11:11" s="97" customFormat="1">
      <c r="K322" s="147"/>
    </row>
    <row r="323" spans="11:11" s="97" customFormat="1">
      <c r="K323" s="147"/>
    </row>
    <row r="324" spans="11:11" s="97" customFormat="1">
      <c r="K324" s="147"/>
    </row>
    <row r="325" spans="11:11" s="97" customFormat="1">
      <c r="K325" s="147"/>
    </row>
    <row r="326" spans="11:11" s="97" customFormat="1">
      <c r="K326" s="147"/>
    </row>
    <row r="327" spans="11:11" s="97" customFormat="1">
      <c r="K327" s="147"/>
    </row>
    <row r="328" spans="11:11" s="97" customFormat="1">
      <c r="K328" s="147"/>
    </row>
    <row r="329" spans="11:11" s="97" customFormat="1">
      <c r="K329" s="147"/>
    </row>
    <row r="330" spans="11:11" s="97" customFormat="1">
      <c r="K330" s="147"/>
    </row>
    <row r="331" spans="11:11" s="97" customFormat="1">
      <c r="K331" s="147"/>
    </row>
    <row r="332" spans="11:11" s="97" customFormat="1">
      <c r="K332" s="147"/>
    </row>
    <row r="333" spans="11:11" s="97" customFormat="1">
      <c r="K333" s="147"/>
    </row>
    <row r="334" spans="11:11" s="97" customFormat="1">
      <c r="K334" s="147"/>
    </row>
    <row r="335" spans="11:11" s="97" customFormat="1">
      <c r="K335" s="147"/>
    </row>
    <row r="336" spans="11:11" s="97" customFormat="1">
      <c r="K336" s="147"/>
    </row>
    <row r="337" spans="11:11" s="97" customFormat="1">
      <c r="K337" s="147"/>
    </row>
    <row r="338" spans="11:11" s="97" customFormat="1">
      <c r="K338" s="147"/>
    </row>
    <row r="339" spans="11:11" s="97" customFormat="1">
      <c r="K339" s="147"/>
    </row>
    <row r="340" spans="11:11" s="97" customFormat="1">
      <c r="K340" s="147"/>
    </row>
    <row r="341" spans="11:11" s="97" customFormat="1">
      <c r="K341" s="147"/>
    </row>
    <row r="342" spans="11:11" s="97" customFormat="1">
      <c r="K342" s="147"/>
    </row>
    <row r="343" spans="11:11" s="97" customFormat="1">
      <c r="K343" s="147"/>
    </row>
    <row r="344" spans="11:11" s="97" customFormat="1">
      <c r="K344" s="147"/>
    </row>
    <row r="345" spans="11:11" s="97" customFormat="1">
      <c r="K345" s="147"/>
    </row>
    <row r="346" spans="11:11" s="97" customFormat="1">
      <c r="K346" s="147"/>
    </row>
    <row r="347" spans="11:11" s="97" customFormat="1">
      <c r="K347" s="147"/>
    </row>
    <row r="348" spans="11:11" s="97" customFormat="1">
      <c r="K348" s="147"/>
    </row>
    <row r="349" spans="11:11" s="97" customFormat="1">
      <c r="K349" s="147"/>
    </row>
    <row r="350" spans="11:11" s="97" customFormat="1">
      <c r="K350" s="147"/>
    </row>
    <row r="351" spans="11:11" s="97" customFormat="1">
      <c r="K351" s="147"/>
    </row>
    <row r="352" spans="11:11" s="97" customFormat="1">
      <c r="K352" s="147"/>
    </row>
    <row r="353" spans="11:11" s="97" customFormat="1">
      <c r="K353" s="147"/>
    </row>
    <row r="354" spans="11:11" s="97" customFormat="1">
      <c r="K354" s="147"/>
    </row>
    <row r="355" spans="11:11" s="97" customFormat="1">
      <c r="K355" s="147"/>
    </row>
    <row r="356" spans="11:11" s="97" customFormat="1">
      <c r="K356" s="147"/>
    </row>
    <row r="357" spans="11:11" s="97" customFormat="1">
      <c r="K357" s="147"/>
    </row>
    <row r="358" spans="11:11" s="97" customFormat="1">
      <c r="K358" s="147"/>
    </row>
    <row r="359" spans="11:11" s="97" customFormat="1">
      <c r="K359" s="147"/>
    </row>
    <row r="360" spans="11:11" s="97" customFormat="1">
      <c r="K360" s="147"/>
    </row>
    <row r="361" spans="11:11" s="97" customFormat="1">
      <c r="K361" s="147"/>
    </row>
    <row r="362" spans="11:11" s="97" customFormat="1">
      <c r="K362" s="147"/>
    </row>
    <row r="363" spans="11:11" s="97" customFormat="1">
      <c r="K363" s="147"/>
    </row>
    <row r="364" spans="11:11" s="97" customFormat="1">
      <c r="K364" s="147"/>
    </row>
    <row r="365" spans="11:11" s="97" customFormat="1">
      <c r="K365" s="147"/>
    </row>
    <row r="366" spans="11:11" s="97" customFormat="1">
      <c r="K366" s="147"/>
    </row>
    <row r="367" spans="11:11" s="97" customFormat="1">
      <c r="K367" s="147"/>
    </row>
    <row r="368" spans="11:11" s="97" customFormat="1">
      <c r="K368" s="147"/>
    </row>
    <row r="369" spans="11:11" s="97" customFormat="1">
      <c r="K369" s="147"/>
    </row>
    <row r="370" spans="11:11" s="97" customFormat="1">
      <c r="K370" s="147"/>
    </row>
    <row r="371" spans="11:11" s="97" customFormat="1">
      <c r="K371" s="147"/>
    </row>
    <row r="372" spans="11:11" s="97" customFormat="1">
      <c r="K372" s="147"/>
    </row>
    <row r="373" spans="11:11" s="97" customFormat="1">
      <c r="K373" s="147"/>
    </row>
    <row r="374" spans="11:11" s="97" customFormat="1">
      <c r="K374" s="147"/>
    </row>
    <row r="375" spans="11:11" s="97" customFormat="1">
      <c r="K375" s="147"/>
    </row>
    <row r="376" spans="11:11" s="97" customFormat="1">
      <c r="K376" s="147"/>
    </row>
    <row r="377" spans="11:11" s="97" customFormat="1">
      <c r="K377" s="147"/>
    </row>
    <row r="378" spans="11:11" s="97" customFormat="1">
      <c r="K378" s="147"/>
    </row>
    <row r="379" spans="11:11" s="97" customFormat="1">
      <c r="K379" s="147"/>
    </row>
    <row r="380" spans="11:11" s="97" customFormat="1">
      <c r="K380" s="147"/>
    </row>
    <row r="381" spans="11:11" s="97" customFormat="1">
      <c r="K381" s="147"/>
    </row>
    <row r="382" spans="11:11" s="97" customFormat="1">
      <c r="K382" s="147"/>
    </row>
    <row r="383" spans="11:11" s="97" customFormat="1">
      <c r="K383" s="147"/>
    </row>
    <row r="384" spans="11:11" s="97" customFormat="1">
      <c r="K384" s="147"/>
    </row>
    <row r="385" spans="11:11" s="97" customFormat="1">
      <c r="K385" s="147"/>
    </row>
    <row r="386" spans="11:11" s="97" customFormat="1">
      <c r="K386" s="147"/>
    </row>
    <row r="387" spans="11:11" s="97" customFormat="1">
      <c r="K387" s="147"/>
    </row>
    <row r="388" spans="11:11" s="97" customFormat="1">
      <c r="K388" s="147"/>
    </row>
    <row r="389" spans="11:11" s="97" customFormat="1">
      <c r="K389" s="147"/>
    </row>
    <row r="390" spans="11:11" s="97" customFormat="1">
      <c r="K390" s="147"/>
    </row>
    <row r="391" spans="11:11" s="97" customFormat="1">
      <c r="K391" s="147"/>
    </row>
    <row r="392" spans="11:11" s="97" customFormat="1">
      <c r="K392" s="147"/>
    </row>
    <row r="393" spans="11:11" s="97" customFormat="1">
      <c r="K393" s="147"/>
    </row>
    <row r="394" spans="11:11" s="97" customFormat="1">
      <c r="K394" s="147"/>
    </row>
    <row r="395" spans="11:11" s="97" customFormat="1">
      <c r="K395" s="147"/>
    </row>
    <row r="396" spans="11:11" s="97" customFormat="1">
      <c r="K396" s="147"/>
    </row>
    <row r="397" spans="11:11" s="97" customFormat="1">
      <c r="K397" s="147"/>
    </row>
    <row r="398" spans="11:11" s="97" customFormat="1">
      <c r="K398" s="147"/>
    </row>
    <row r="399" spans="11:11" s="97" customFormat="1">
      <c r="K399" s="147"/>
    </row>
    <row r="400" spans="11:11" s="97" customFormat="1">
      <c r="K400" s="147"/>
    </row>
    <row r="401" spans="11:11" s="97" customFormat="1">
      <c r="K401" s="147"/>
    </row>
    <row r="402" spans="11:11" s="97" customFormat="1">
      <c r="K402" s="147"/>
    </row>
    <row r="403" spans="11:11" s="97" customFormat="1">
      <c r="K403" s="147"/>
    </row>
    <row r="404" spans="11:11" s="97" customFormat="1">
      <c r="K404" s="147"/>
    </row>
    <row r="405" spans="11:11" s="97" customFormat="1">
      <c r="K405" s="147"/>
    </row>
    <row r="406" spans="11:11" s="97" customFormat="1">
      <c r="K406" s="147"/>
    </row>
    <row r="407" spans="11:11" s="97" customFormat="1">
      <c r="K407" s="147"/>
    </row>
    <row r="408" spans="11:11" s="97" customFormat="1">
      <c r="K408" s="147"/>
    </row>
    <row r="409" spans="11:11" s="97" customFormat="1">
      <c r="K409" s="147"/>
    </row>
    <row r="410" spans="11:11" s="97" customFormat="1">
      <c r="K410" s="147"/>
    </row>
    <row r="411" spans="11:11" s="97" customFormat="1">
      <c r="K411" s="147"/>
    </row>
    <row r="412" spans="11:11" s="97" customFormat="1">
      <c r="K412" s="147"/>
    </row>
    <row r="413" spans="11:11" s="97" customFormat="1">
      <c r="K413" s="147"/>
    </row>
    <row r="414" spans="11:11" s="97" customFormat="1">
      <c r="K414" s="147"/>
    </row>
    <row r="415" spans="11:11" s="97" customFormat="1">
      <c r="K415" s="147"/>
    </row>
    <row r="416" spans="11:11" s="97" customFormat="1">
      <c r="K416" s="147"/>
    </row>
    <row r="417" spans="11:11" s="97" customFormat="1">
      <c r="K417" s="147"/>
    </row>
    <row r="418" spans="11:11" s="97" customFormat="1">
      <c r="K418" s="147"/>
    </row>
    <row r="419" spans="11:11" s="97" customFormat="1">
      <c r="K419" s="147"/>
    </row>
    <row r="420" spans="11:11" s="97" customFormat="1">
      <c r="K420" s="147"/>
    </row>
    <row r="421" spans="11:11" s="97" customFormat="1">
      <c r="K421" s="147"/>
    </row>
    <row r="422" spans="11:11" s="97" customFormat="1">
      <c r="K422" s="147"/>
    </row>
    <row r="423" spans="11:11" s="97" customFormat="1">
      <c r="K423" s="147"/>
    </row>
    <row r="424" spans="11:11" s="97" customFormat="1">
      <c r="K424" s="147"/>
    </row>
    <row r="425" spans="11:11" s="97" customFormat="1">
      <c r="K425" s="147"/>
    </row>
    <row r="426" spans="11:11" s="97" customFormat="1">
      <c r="K426" s="147"/>
    </row>
    <row r="427" spans="11:11" s="97" customFormat="1">
      <c r="K427" s="147"/>
    </row>
    <row r="428" spans="11:11" s="97" customFormat="1">
      <c r="K428" s="147"/>
    </row>
    <row r="429" spans="11:11" s="97" customFormat="1">
      <c r="K429" s="147"/>
    </row>
    <row r="430" spans="11:11" s="97" customFormat="1">
      <c r="K430" s="147"/>
    </row>
    <row r="431" spans="11:11" s="97" customFormat="1">
      <c r="K431" s="147"/>
    </row>
    <row r="432" spans="11:11" s="97" customFormat="1">
      <c r="K432" s="147"/>
    </row>
    <row r="433" spans="11:11" s="97" customFormat="1">
      <c r="K433" s="147"/>
    </row>
    <row r="434" spans="11:11" s="97" customFormat="1">
      <c r="K434" s="147"/>
    </row>
    <row r="435" spans="11:11" s="97" customFormat="1">
      <c r="K435" s="147"/>
    </row>
    <row r="436" spans="11:11" s="97" customFormat="1">
      <c r="K436" s="147"/>
    </row>
    <row r="437" spans="11:11" s="97" customFormat="1">
      <c r="K437" s="147"/>
    </row>
    <row r="438" spans="11:11" s="97" customFormat="1">
      <c r="K438" s="147"/>
    </row>
    <row r="439" spans="11:11" s="97" customFormat="1">
      <c r="K439" s="147"/>
    </row>
    <row r="440" spans="11:11" s="97" customFormat="1">
      <c r="K440" s="147"/>
    </row>
    <row r="441" spans="11:11" s="97" customFormat="1">
      <c r="K441" s="147"/>
    </row>
    <row r="442" spans="11:11" s="97" customFormat="1">
      <c r="K442" s="147"/>
    </row>
    <row r="443" spans="11:11" s="97" customFormat="1">
      <c r="K443" s="147"/>
    </row>
    <row r="444" spans="11:11" s="97" customFormat="1">
      <c r="K444" s="147"/>
    </row>
    <row r="445" spans="11:11" s="97" customFormat="1">
      <c r="K445" s="147"/>
    </row>
    <row r="446" spans="11:11" s="97" customFormat="1">
      <c r="K446" s="147"/>
    </row>
    <row r="447" spans="11:11" s="97" customFormat="1">
      <c r="K447" s="147"/>
    </row>
    <row r="448" spans="11:11" s="97" customFormat="1">
      <c r="K448" s="147"/>
    </row>
    <row r="449" spans="11:11" s="97" customFormat="1">
      <c r="K449" s="147"/>
    </row>
    <row r="450" spans="11:11" s="97" customFormat="1">
      <c r="K450" s="147"/>
    </row>
    <row r="451" spans="11:11" s="97" customFormat="1">
      <c r="K451" s="147"/>
    </row>
    <row r="452" spans="11:11" s="97" customFormat="1">
      <c r="K452" s="147"/>
    </row>
    <row r="453" spans="11:11" s="97" customFormat="1">
      <c r="K453" s="147"/>
    </row>
    <row r="454" spans="11:11" s="97" customFormat="1">
      <c r="K454" s="147"/>
    </row>
    <row r="455" spans="11:11" s="97" customFormat="1">
      <c r="K455" s="147"/>
    </row>
    <row r="456" spans="11:11" s="97" customFormat="1">
      <c r="K456" s="147"/>
    </row>
    <row r="457" spans="11:11" s="97" customFormat="1">
      <c r="K457" s="147"/>
    </row>
    <row r="458" spans="11:11" s="97" customFormat="1">
      <c r="K458" s="147"/>
    </row>
    <row r="459" spans="11:11" s="97" customFormat="1">
      <c r="K459" s="147"/>
    </row>
    <row r="460" spans="11:11" s="97" customFormat="1">
      <c r="K460" s="147"/>
    </row>
    <row r="461" spans="11:11" s="97" customFormat="1">
      <c r="K461" s="147"/>
    </row>
    <row r="462" spans="11:11" s="97" customFormat="1">
      <c r="K462" s="147"/>
    </row>
    <row r="463" spans="11:11" s="97" customFormat="1">
      <c r="K463" s="147"/>
    </row>
    <row r="464" spans="11:11" s="97" customFormat="1">
      <c r="K464" s="147"/>
    </row>
    <row r="465" spans="11:11" s="97" customFormat="1">
      <c r="K465" s="147"/>
    </row>
    <row r="466" spans="11:11" s="97" customFormat="1">
      <c r="K466" s="147"/>
    </row>
    <row r="467" spans="11:11" s="97" customFormat="1">
      <c r="K467" s="147"/>
    </row>
    <row r="468" spans="11:11" s="97" customFormat="1">
      <c r="K468" s="147"/>
    </row>
    <row r="469" spans="11:11" s="97" customFormat="1">
      <c r="K469" s="147"/>
    </row>
    <row r="470" spans="11:11" s="97" customFormat="1">
      <c r="K470" s="147"/>
    </row>
    <row r="471" spans="11:11" s="97" customFormat="1">
      <c r="K471" s="147"/>
    </row>
    <row r="472" spans="11:11" s="97" customFormat="1">
      <c r="K472" s="147"/>
    </row>
    <row r="473" spans="11:11" s="97" customFormat="1">
      <c r="K473" s="147"/>
    </row>
    <row r="474" spans="11:11" s="97" customFormat="1">
      <c r="K474" s="147"/>
    </row>
    <row r="475" spans="11:11" s="97" customFormat="1">
      <c r="K475" s="147"/>
    </row>
    <row r="476" spans="11:11" s="97" customFormat="1">
      <c r="K476" s="147"/>
    </row>
    <row r="477" spans="11:11" s="97" customFormat="1">
      <c r="K477" s="147"/>
    </row>
    <row r="478" spans="11:11" s="97" customFormat="1">
      <c r="K478" s="147"/>
    </row>
    <row r="479" spans="11:11" s="97" customFormat="1">
      <c r="K479" s="147"/>
    </row>
    <row r="480" spans="11:11" s="97" customFormat="1">
      <c r="K480" s="147"/>
    </row>
    <row r="481" spans="11:11" s="97" customFormat="1">
      <c r="K481" s="147"/>
    </row>
    <row r="482" spans="11:11" s="97" customFormat="1">
      <c r="K482" s="147"/>
    </row>
    <row r="483" spans="11:11" s="97" customFormat="1">
      <c r="K483" s="147"/>
    </row>
    <row r="484" spans="11:11" s="97" customFormat="1">
      <c r="K484" s="147"/>
    </row>
    <row r="485" spans="11:11" s="97" customFormat="1">
      <c r="K485" s="147"/>
    </row>
    <row r="486" spans="11:11" s="97" customFormat="1">
      <c r="K486" s="147"/>
    </row>
    <row r="487" spans="11:11" s="97" customFormat="1">
      <c r="K487" s="147"/>
    </row>
    <row r="488" spans="11:11" s="97" customFormat="1">
      <c r="K488" s="147"/>
    </row>
    <row r="489" spans="11:11" s="97" customFormat="1">
      <c r="K489" s="147"/>
    </row>
    <row r="490" spans="11:11" s="97" customFormat="1">
      <c r="K490" s="147"/>
    </row>
    <row r="491" spans="11:11" s="97" customFormat="1">
      <c r="K491" s="147"/>
    </row>
    <row r="492" spans="11:11" s="97" customFormat="1">
      <c r="K492" s="147"/>
    </row>
    <row r="493" spans="11:11" s="97" customFormat="1">
      <c r="K493" s="147"/>
    </row>
    <row r="494" spans="11:11" s="97" customFormat="1">
      <c r="K494" s="147"/>
    </row>
    <row r="495" spans="11:11" s="97" customFormat="1">
      <c r="K495" s="147"/>
    </row>
    <row r="496" spans="11:11" s="97" customFormat="1">
      <c r="K496" s="147"/>
    </row>
    <row r="497" spans="11:11" s="97" customFormat="1">
      <c r="K497" s="147"/>
    </row>
    <row r="498" spans="11:11" s="97" customFormat="1">
      <c r="K498" s="147"/>
    </row>
    <row r="499" spans="11:11" s="97" customFormat="1">
      <c r="K499" s="147"/>
    </row>
    <row r="500" spans="11:11" s="97" customFormat="1">
      <c r="K500" s="147"/>
    </row>
    <row r="501" spans="11:11" s="97" customFormat="1">
      <c r="K501" s="147"/>
    </row>
    <row r="502" spans="11:11" s="97" customFormat="1">
      <c r="K502" s="147"/>
    </row>
    <row r="503" spans="11:11" s="97" customFormat="1">
      <c r="K503" s="147"/>
    </row>
    <row r="504" spans="11:11" s="97" customFormat="1">
      <c r="K504" s="147"/>
    </row>
    <row r="505" spans="11:11" s="97" customFormat="1">
      <c r="K505" s="147"/>
    </row>
    <row r="506" spans="11:11" s="97" customFormat="1">
      <c r="K506" s="147"/>
    </row>
    <row r="507" spans="11:11" s="97" customFormat="1">
      <c r="K507" s="147"/>
    </row>
    <row r="508" spans="11:11" s="97" customFormat="1">
      <c r="K508" s="147"/>
    </row>
    <row r="509" spans="11:11" s="97" customFormat="1">
      <c r="K509" s="147"/>
    </row>
    <row r="510" spans="11:11" s="97" customFormat="1">
      <c r="K510" s="147"/>
    </row>
    <row r="511" spans="11:11" s="97" customFormat="1">
      <c r="K511" s="147"/>
    </row>
    <row r="512" spans="11:11" s="97" customFormat="1">
      <c r="K512" s="147"/>
    </row>
    <row r="513" spans="11:11" s="97" customFormat="1">
      <c r="K513" s="147"/>
    </row>
    <row r="514" spans="11:11" s="97" customFormat="1">
      <c r="K514" s="147"/>
    </row>
    <row r="515" spans="11:11" s="97" customFormat="1">
      <c r="K515" s="147"/>
    </row>
    <row r="516" spans="11:11" s="97" customFormat="1">
      <c r="K516" s="147"/>
    </row>
    <row r="517" spans="11:11" s="97" customFormat="1">
      <c r="K517" s="147"/>
    </row>
    <row r="518" spans="11:11" s="97" customFormat="1">
      <c r="K518" s="147"/>
    </row>
    <row r="519" spans="11:11" s="97" customFormat="1">
      <c r="K519" s="147"/>
    </row>
    <row r="520" spans="11:11" s="97" customFormat="1">
      <c r="K520" s="147"/>
    </row>
    <row r="521" spans="11:11" s="97" customFormat="1">
      <c r="K521" s="147"/>
    </row>
    <row r="522" spans="11:11" s="97" customFormat="1">
      <c r="K522" s="147"/>
    </row>
    <row r="523" spans="11:11" s="97" customFormat="1">
      <c r="K523" s="147"/>
    </row>
    <row r="524" spans="11:11" s="97" customFormat="1">
      <c r="K524" s="147"/>
    </row>
    <row r="525" spans="11:11" s="97" customFormat="1">
      <c r="K525" s="147"/>
    </row>
    <row r="526" spans="11:11" s="97" customFormat="1">
      <c r="K526" s="147"/>
    </row>
    <row r="527" spans="11:11" s="97" customFormat="1">
      <c r="K527" s="147"/>
    </row>
    <row r="528" spans="11:11" s="97" customFormat="1">
      <c r="K528" s="147"/>
    </row>
    <row r="529" spans="11:11" s="97" customFormat="1">
      <c r="K529" s="147"/>
    </row>
    <row r="530" spans="11:11" s="97" customFormat="1">
      <c r="K530" s="147"/>
    </row>
    <row r="531" spans="11:11" s="97" customFormat="1">
      <c r="K531" s="147"/>
    </row>
    <row r="532" spans="11:11" s="97" customFormat="1">
      <c r="K532" s="147"/>
    </row>
    <row r="533" spans="11:11" s="97" customFormat="1">
      <c r="K533" s="147"/>
    </row>
    <row r="534" spans="11:11" s="97" customFormat="1">
      <c r="K534" s="147"/>
    </row>
    <row r="535" spans="11:11" s="97" customFormat="1">
      <c r="K535" s="147"/>
    </row>
    <row r="536" spans="11:11" s="97" customFormat="1">
      <c r="K536" s="147"/>
    </row>
    <row r="537" spans="11:11" s="97" customFormat="1">
      <c r="K537" s="147"/>
    </row>
    <row r="538" spans="11:11" s="97" customFormat="1">
      <c r="K538" s="147"/>
    </row>
    <row r="539" spans="11:11" s="97" customFormat="1">
      <c r="K539" s="147"/>
    </row>
    <row r="540" spans="11:11" s="97" customFormat="1">
      <c r="K540" s="147"/>
    </row>
    <row r="541" spans="11:11" s="97" customFormat="1">
      <c r="K541" s="147"/>
    </row>
    <row r="542" spans="11:11" s="97" customFormat="1">
      <c r="K542" s="147"/>
    </row>
    <row r="543" spans="11:11" s="97" customFormat="1">
      <c r="K543" s="147"/>
    </row>
    <row r="544" spans="11:11" s="97" customFormat="1">
      <c r="K544" s="147"/>
    </row>
    <row r="545" spans="11:11" s="97" customFormat="1">
      <c r="K545" s="147"/>
    </row>
    <row r="546" spans="11:11" s="97" customFormat="1">
      <c r="K546" s="147"/>
    </row>
    <row r="547" spans="11:11" s="97" customFormat="1">
      <c r="K547" s="147"/>
    </row>
    <row r="548" spans="11:11" s="97" customFormat="1">
      <c r="K548" s="147"/>
    </row>
    <row r="549" spans="11:11" s="97" customFormat="1">
      <c r="K549" s="147"/>
    </row>
    <row r="550" spans="11:11" s="97" customFormat="1">
      <c r="K550" s="147"/>
    </row>
    <row r="551" spans="11:11" s="97" customFormat="1">
      <c r="K551" s="147"/>
    </row>
    <row r="552" spans="11:11" s="97" customFormat="1">
      <c r="K552" s="147"/>
    </row>
    <row r="553" spans="11:11" s="97" customFormat="1">
      <c r="K553" s="147"/>
    </row>
    <row r="554" spans="11:11" s="97" customFormat="1">
      <c r="K554" s="147"/>
    </row>
    <row r="555" spans="11:11" s="97" customFormat="1">
      <c r="K555" s="147"/>
    </row>
    <row r="556" spans="11:11" s="97" customFormat="1">
      <c r="K556" s="147"/>
    </row>
    <row r="557" spans="11:11" s="97" customFormat="1">
      <c r="K557" s="147"/>
    </row>
    <row r="558" spans="11:11" s="97" customFormat="1">
      <c r="K558" s="147"/>
    </row>
    <row r="559" spans="11:11" s="97" customFormat="1">
      <c r="K559" s="147"/>
    </row>
    <row r="560" spans="11:11" s="97" customFormat="1">
      <c r="K560" s="147"/>
    </row>
    <row r="561" spans="11:11" s="97" customFormat="1">
      <c r="K561" s="147"/>
    </row>
    <row r="562" spans="11:11" s="97" customFormat="1">
      <c r="K562" s="147"/>
    </row>
    <row r="563" spans="11:11" s="97" customFormat="1">
      <c r="K563" s="147"/>
    </row>
    <row r="564" spans="11:11" s="97" customFormat="1">
      <c r="K564" s="147"/>
    </row>
    <row r="565" spans="11:11" s="97" customFormat="1">
      <c r="K565" s="147"/>
    </row>
    <row r="566" spans="11:11" s="97" customFormat="1">
      <c r="K566" s="147"/>
    </row>
    <row r="567" spans="11:11" s="97" customFormat="1">
      <c r="K567" s="147"/>
    </row>
    <row r="568" spans="11:11" s="97" customFormat="1">
      <c r="K568" s="147"/>
    </row>
    <row r="569" spans="11:11" s="97" customFormat="1">
      <c r="K569" s="147"/>
    </row>
    <row r="570" spans="11:11" s="97" customFormat="1">
      <c r="K570" s="147"/>
    </row>
    <row r="571" spans="11:11" s="97" customFormat="1">
      <c r="K571" s="147"/>
    </row>
    <row r="572" spans="11:11" s="97" customFormat="1">
      <c r="K572" s="147"/>
    </row>
    <row r="573" spans="11:11" s="97" customFormat="1">
      <c r="K573" s="147"/>
    </row>
    <row r="574" spans="11:11" s="97" customFormat="1">
      <c r="K574" s="147"/>
    </row>
    <row r="575" spans="11:11" s="97" customFormat="1">
      <c r="K575" s="147"/>
    </row>
    <row r="576" spans="11:11" s="97" customFormat="1">
      <c r="K576" s="147"/>
    </row>
    <row r="577" spans="11:11" s="97" customFormat="1">
      <c r="K577" s="147"/>
    </row>
    <row r="578" spans="11:11" s="97" customFormat="1">
      <c r="K578" s="147"/>
    </row>
    <row r="579" spans="11:11" s="97" customFormat="1">
      <c r="K579" s="147"/>
    </row>
    <row r="580" spans="11:11" s="97" customFormat="1">
      <c r="K580" s="147"/>
    </row>
    <row r="581" spans="11:11" s="97" customFormat="1">
      <c r="K581" s="147"/>
    </row>
    <row r="582" spans="11:11" s="97" customFormat="1">
      <c r="K582" s="147"/>
    </row>
    <row r="583" spans="11:11" s="97" customFormat="1">
      <c r="K583" s="147"/>
    </row>
    <row r="584" spans="11:11" s="97" customFormat="1">
      <c r="K584" s="147"/>
    </row>
    <row r="585" spans="11:11" s="97" customFormat="1">
      <c r="K585" s="147"/>
    </row>
    <row r="586" spans="11:11" s="97" customFormat="1">
      <c r="K586" s="147"/>
    </row>
    <row r="587" spans="11:11" s="97" customFormat="1">
      <c r="K587" s="147"/>
    </row>
    <row r="588" spans="11:11" s="97" customFormat="1">
      <c r="K588" s="147"/>
    </row>
    <row r="589" spans="11:11" s="97" customFormat="1">
      <c r="K589" s="147"/>
    </row>
    <row r="590" spans="11:11" s="97" customFormat="1">
      <c r="K590" s="147"/>
    </row>
    <row r="591" spans="11:11" s="97" customFormat="1">
      <c r="K591" s="147"/>
    </row>
    <row r="592" spans="11:11" s="97" customFormat="1">
      <c r="K592" s="147"/>
    </row>
    <row r="593" spans="11:11" s="97" customFormat="1">
      <c r="K593" s="147"/>
    </row>
    <row r="594" spans="11:11" s="97" customFormat="1">
      <c r="K594" s="147"/>
    </row>
    <row r="595" spans="11:11" s="97" customFormat="1">
      <c r="K595" s="147"/>
    </row>
    <row r="596" spans="11:11" s="97" customFormat="1">
      <c r="K596" s="147"/>
    </row>
    <row r="597" spans="11:11" s="97" customFormat="1">
      <c r="K597" s="147"/>
    </row>
    <row r="598" spans="11:11" s="97" customFormat="1">
      <c r="K598" s="147"/>
    </row>
    <row r="599" spans="11:11" s="97" customFormat="1">
      <c r="K599" s="147"/>
    </row>
    <row r="600" spans="11:11" s="97" customFormat="1">
      <c r="K600" s="147"/>
    </row>
    <row r="601" spans="11:11" s="97" customFormat="1">
      <c r="K601" s="147"/>
    </row>
    <row r="602" spans="11:11" s="97" customFormat="1">
      <c r="K602" s="147"/>
    </row>
    <row r="603" spans="11:11" s="97" customFormat="1">
      <c r="K603" s="147"/>
    </row>
    <row r="604" spans="11:11" s="97" customFormat="1">
      <c r="K604" s="147"/>
    </row>
    <row r="605" spans="11:11" s="97" customFormat="1">
      <c r="K605" s="147"/>
    </row>
    <row r="606" spans="11:11" s="97" customFormat="1">
      <c r="K606" s="147"/>
    </row>
    <row r="607" spans="11:11" s="97" customFormat="1">
      <c r="K607" s="147"/>
    </row>
    <row r="608" spans="11:11" s="97" customFormat="1">
      <c r="K608" s="147"/>
    </row>
    <row r="609" spans="11:11" s="97" customFormat="1">
      <c r="K609" s="147"/>
    </row>
    <row r="610" spans="11:11" s="97" customFormat="1">
      <c r="K610" s="147"/>
    </row>
    <row r="611" spans="11:11" s="97" customFormat="1">
      <c r="K611" s="147"/>
    </row>
    <row r="612" spans="11:11" s="97" customFormat="1">
      <c r="K612" s="147"/>
    </row>
    <row r="613" spans="11:11" s="97" customFormat="1">
      <c r="K613" s="147"/>
    </row>
    <row r="614" spans="11:11" s="97" customFormat="1">
      <c r="K614" s="147"/>
    </row>
    <row r="615" spans="11:11" s="97" customFormat="1">
      <c r="K615" s="147"/>
    </row>
    <row r="616" spans="11:11" s="97" customFormat="1">
      <c r="K616" s="147"/>
    </row>
    <row r="617" spans="11:11" s="97" customFormat="1">
      <c r="K617" s="147"/>
    </row>
    <row r="618" spans="11:11" s="97" customFormat="1">
      <c r="K618" s="147"/>
    </row>
    <row r="619" spans="11:11" s="97" customFormat="1">
      <c r="K619" s="147"/>
    </row>
    <row r="620" spans="11:11" s="97" customFormat="1">
      <c r="K620" s="147"/>
    </row>
    <row r="621" spans="11:11" s="97" customFormat="1">
      <c r="K621" s="147"/>
    </row>
    <row r="622" spans="11:11" s="97" customFormat="1">
      <c r="K622" s="147"/>
    </row>
    <row r="623" spans="11:11" s="97" customFormat="1">
      <c r="K623" s="147"/>
    </row>
    <row r="624" spans="11:11" s="97" customFormat="1">
      <c r="K624" s="147"/>
    </row>
    <row r="625" spans="11:11" s="97" customFormat="1">
      <c r="K625" s="147"/>
    </row>
    <row r="626" spans="11:11" s="97" customFormat="1">
      <c r="K626" s="147"/>
    </row>
    <row r="627" spans="11:11" s="97" customFormat="1">
      <c r="K627" s="147"/>
    </row>
    <row r="628" spans="11:11" s="97" customFormat="1">
      <c r="K628" s="147"/>
    </row>
    <row r="629" spans="11:11" s="97" customFormat="1">
      <c r="K629" s="147"/>
    </row>
    <row r="630" spans="11:11" s="97" customFormat="1">
      <c r="K630" s="147"/>
    </row>
    <row r="631" spans="11:11" s="97" customFormat="1">
      <c r="K631" s="147"/>
    </row>
    <row r="632" spans="11:11" s="97" customFormat="1">
      <c r="K632" s="147"/>
    </row>
    <row r="633" spans="11:11" s="97" customFormat="1">
      <c r="K633" s="147"/>
    </row>
    <row r="634" spans="11:11" s="97" customFormat="1">
      <c r="K634" s="147"/>
    </row>
    <row r="635" spans="11:11" s="97" customFormat="1">
      <c r="K635" s="147"/>
    </row>
    <row r="636" spans="11:11" s="97" customFormat="1">
      <c r="K636" s="147"/>
    </row>
    <row r="637" spans="11:11" s="97" customFormat="1">
      <c r="K637" s="147"/>
    </row>
    <row r="638" spans="11:11" s="97" customFormat="1">
      <c r="K638" s="147"/>
    </row>
    <row r="639" spans="11:11" s="97" customFormat="1">
      <c r="K639" s="147"/>
    </row>
    <row r="640" spans="11:11" s="97" customFormat="1">
      <c r="K640" s="147"/>
    </row>
    <row r="641" spans="11:11" s="97" customFormat="1">
      <c r="K641" s="147"/>
    </row>
    <row r="642" spans="11:11" s="97" customFormat="1">
      <c r="K642" s="147"/>
    </row>
    <row r="643" spans="11:11" s="97" customFormat="1">
      <c r="K643" s="147"/>
    </row>
    <row r="644" spans="11:11" s="97" customFormat="1">
      <c r="K644" s="147"/>
    </row>
    <row r="645" spans="11:11" s="97" customFormat="1">
      <c r="K645" s="147"/>
    </row>
    <row r="646" spans="11:11" s="97" customFormat="1">
      <c r="K646" s="147"/>
    </row>
    <row r="647" spans="11:11" s="97" customFormat="1">
      <c r="K647" s="147"/>
    </row>
    <row r="648" spans="11:11" s="97" customFormat="1">
      <c r="K648" s="147"/>
    </row>
    <row r="649" spans="11:11" s="97" customFormat="1">
      <c r="K649" s="147"/>
    </row>
    <row r="650" spans="11:11" s="97" customFormat="1">
      <c r="K650" s="147"/>
    </row>
    <row r="651" spans="11:11" s="97" customFormat="1">
      <c r="K651" s="147"/>
    </row>
    <row r="652" spans="11:11" s="97" customFormat="1">
      <c r="K652" s="147"/>
    </row>
    <row r="653" spans="11:11" s="97" customFormat="1">
      <c r="K653" s="147"/>
    </row>
    <row r="654" spans="11:11" s="97" customFormat="1">
      <c r="K654" s="147"/>
    </row>
    <row r="655" spans="11:11" s="97" customFormat="1">
      <c r="K655" s="147"/>
    </row>
    <row r="656" spans="11:11" s="97" customFormat="1">
      <c r="K656" s="147"/>
    </row>
    <row r="657" spans="11:11" s="97" customFormat="1">
      <c r="K657" s="147"/>
    </row>
    <row r="658" spans="11:11" s="97" customFormat="1">
      <c r="K658" s="147"/>
    </row>
    <row r="659" spans="11:11" s="97" customFormat="1">
      <c r="K659" s="147"/>
    </row>
    <row r="660" spans="11:11" s="97" customFormat="1">
      <c r="K660" s="147"/>
    </row>
    <row r="661" spans="11:11" s="97" customFormat="1">
      <c r="K661" s="147"/>
    </row>
    <row r="662" spans="11:11" s="97" customFormat="1">
      <c r="K662" s="147"/>
    </row>
    <row r="663" spans="11:11" s="97" customFormat="1">
      <c r="K663" s="147"/>
    </row>
    <row r="664" spans="11:11" s="97" customFormat="1">
      <c r="K664" s="147"/>
    </row>
    <row r="665" spans="11:11" s="97" customFormat="1">
      <c r="K665" s="147"/>
    </row>
    <row r="666" spans="11:11" s="97" customFormat="1">
      <c r="K666" s="147"/>
    </row>
    <row r="667" spans="11:11" s="97" customFormat="1">
      <c r="K667" s="147"/>
    </row>
    <row r="668" spans="11:11" s="97" customFormat="1">
      <c r="K668" s="147"/>
    </row>
    <row r="669" spans="11:11" s="97" customFormat="1">
      <c r="K669" s="147"/>
    </row>
    <row r="670" spans="11:11" s="97" customFormat="1">
      <c r="K670" s="147"/>
    </row>
    <row r="671" spans="11:11" s="97" customFormat="1">
      <c r="K671" s="147"/>
    </row>
    <row r="672" spans="11:11" s="97" customFormat="1">
      <c r="K672" s="147"/>
    </row>
    <row r="673" spans="11:11" s="97" customFormat="1">
      <c r="K673" s="147"/>
    </row>
    <row r="674" spans="11:11" s="97" customFormat="1">
      <c r="K674" s="147"/>
    </row>
    <row r="675" spans="11:11" s="97" customFormat="1">
      <c r="K675" s="147"/>
    </row>
    <row r="676" spans="11:11" s="97" customFormat="1">
      <c r="K676" s="147"/>
    </row>
    <row r="677" spans="11:11" s="97" customFormat="1">
      <c r="K677" s="147"/>
    </row>
    <row r="678" spans="11:11" s="97" customFormat="1">
      <c r="K678" s="147"/>
    </row>
    <row r="679" spans="11:11" s="97" customFormat="1">
      <c r="K679" s="147"/>
    </row>
    <row r="680" spans="11:11" s="97" customFormat="1">
      <c r="K680" s="147"/>
    </row>
    <row r="681" spans="11:11" s="97" customFormat="1">
      <c r="K681" s="147"/>
    </row>
    <row r="682" spans="11:11" s="97" customFormat="1">
      <c r="K682" s="147"/>
    </row>
    <row r="683" spans="11:11" s="97" customFormat="1">
      <c r="K683" s="147"/>
    </row>
    <row r="684" spans="11:11" s="97" customFormat="1">
      <c r="K684" s="147"/>
    </row>
    <row r="685" spans="11:11" s="97" customFormat="1">
      <c r="K685" s="147"/>
    </row>
    <row r="686" spans="11:11" s="97" customFormat="1">
      <c r="K686" s="147"/>
    </row>
    <row r="687" spans="11:11" s="97" customFormat="1">
      <c r="K687" s="147"/>
    </row>
    <row r="688" spans="11:11" s="97" customFormat="1">
      <c r="K688" s="147"/>
    </row>
    <row r="689" spans="11:11" s="97" customFormat="1">
      <c r="K689" s="147"/>
    </row>
    <row r="690" spans="11:11" s="97" customFormat="1">
      <c r="K690" s="147"/>
    </row>
    <row r="691" spans="11:11" s="97" customFormat="1">
      <c r="K691" s="147"/>
    </row>
    <row r="692" spans="11:11" s="97" customFormat="1">
      <c r="K692" s="147"/>
    </row>
    <row r="693" spans="11:11" s="97" customFormat="1">
      <c r="K693" s="147"/>
    </row>
    <row r="694" spans="11:11" s="97" customFormat="1">
      <c r="K694" s="147"/>
    </row>
    <row r="695" spans="11:11" s="97" customFormat="1">
      <c r="K695" s="147"/>
    </row>
    <row r="696" spans="11:11" s="97" customFormat="1">
      <c r="K696" s="147"/>
    </row>
    <row r="697" spans="11:11" s="97" customFormat="1">
      <c r="K697" s="147"/>
    </row>
    <row r="698" spans="11:11" s="97" customFormat="1">
      <c r="K698" s="147"/>
    </row>
    <row r="699" spans="11:11" s="97" customFormat="1">
      <c r="K699" s="147"/>
    </row>
    <row r="700" spans="11:11" s="97" customFormat="1">
      <c r="K700" s="147"/>
    </row>
    <row r="701" spans="11:11" s="97" customFormat="1">
      <c r="K701" s="147"/>
    </row>
    <row r="702" spans="11:11" s="97" customFormat="1">
      <c r="K702" s="147"/>
    </row>
    <row r="703" spans="11:11" s="97" customFormat="1">
      <c r="K703" s="147"/>
    </row>
    <row r="704" spans="11:11" s="97" customFormat="1">
      <c r="K704" s="147"/>
    </row>
    <row r="705" spans="11:11" s="97" customFormat="1">
      <c r="K705" s="147"/>
    </row>
    <row r="706" spans="11:11" s="97" customFormat="1">
      <c r="K706" s="147"/>
    </row>
    <row r="707" spans="11:11" s="97" customFormat="1">
      <c r="K707" s="147"/>
    </row>
    <row r="708" spans="11:11" s="97" customFormat="1">
      <c r="K708" s="147"/>
    </row>
    <row r="709" spans="11:11" s="97" customFormat="1">
      <c r="K709" s="147"/>
    </row>
    <row r="710" spans="11:11" s="97" customFormat="1">
      <c r="K710" s="147"/>
    </row>
    <row r="711" spans="11:11" s="97" customFormat="1">
      <c r="K711" s="147"/>
    </row>
    <row r="712" spans="11:11" s="97" customFormat="1">
      <c r="K712" s="147"/>
    </row>
    <row r="713" spans="11:11" s="97" customFormat="1">
      <c r="K713" s="147"/>
    </row>
    <row r="714" spans="11:11" s="97" customFormat="1">
      <c r="K714" s="147"/>
    </row>
    <row r="715" spans="11:11" s="97" customFormat="1">
      <c r="K715" s="147"/>
    </row>
    <row r="716" spans="11:11" s="97" customFormat="1">
      <c r="K716" s="147"/>
    </row>
    <row r="717" spans="11:11" s="97" customFormat="1">
      <c r="K717" s="147"/>
    </row>
    <row r="718" spans="11:11" s="97" customFormat="1">
      <c r="K718" s="147"/>
    </row>
    <row r="719" spans="11:11" s="97" customFormat="1">
      <c r="K719" s="147"/>
    </row>
    <row r="720" spans="11:11" s="97" customFormat="1">
      <c r="K720" s="147"/>
    </row>
    <row r="721" spans="11:11" s="97" customFormat="1">
      <c r="K721" s="147"/>
    </row>
    <row r="722" spans="11:11" s="97" customFormat="1">
      <c r="K722" s="147"/>
    </row>
    <row r="723" spans="11:11" s="97" customFormat="1">
      <c r="K723" s="147"/>
    </row>
    <row r="724" spans="11:11" s="97" customFormat="1">
      <c r="K724" s="147"/>
    </row>
    <row r="725" spans="11:11" s="97" customFormat="1">
      <c r="K725" s="147"/>
    </row>
    <row r="726" spans="11:11" s="97" customFormat="1">
      <c r="K726" s="147"/>
    </row>
    <row r="727" spans="11:11" s="97" customFormat="1">
      <c r="K727" s="147"/>
    </row>
    <row r="728" spans="11:11" s="97" customFormat="1">
      <c r="K728" s="147"/>
    </row>
    <row r="729" spans="11:11" s="97" customFormat="1">
      <c r="K729" s="147"/>
    </row>
    <row r="730" spans="11:11" s="97" customFormat="1">
      <c r="K730" s="147"/>
    </row>
    <row r="731" spans="11:11" s="97" customFormat="1">
      <c r="K731" s="147"/>
    </row>
    <row r="732" spans="11:11" s="97" customFormat="1">
      <c r="K732" s="147"/>
    </row>
    <row r="733" spans="11:11" s="97" customFormat="1">
      <c r="K733" s="147"/>
    </row>
    <row r="734" spans="11:11" s="97" customFormat="1">
      <c r="K734" s="147"/>
    </row>
    <row r="735" spans="11:11" s="97" customFormat="1">
      <c r="K735" s="147"/>
    </row>
    <row r="736" spans="11:11" s="97" customFormat="1">
      <c r="K736" s="147"/>
    </row>
    <row r="737" spans="11:11" s="97" customFormat="1">
      <c r="K737" s="147"/>
    </row>
    <row r="738" spans="11:11" s="97" customFormat="1">
      <c r="K738" s="147"/>
    </row>
    <row r="739" spans="11:11" s="97" customFormat="1">
      <c r="K739" s="147"/>
    </row>
    <row r="740" spans="11:11" s="97" customFormat="1">
      <c r="K740" s="147"/>
    </row>
    <row r="741" spans="11:11" s="97" customFormat="1">
      <c r="K741" s="147"/>
    </row>
    <row r="742" spans="11:11" s="97" customFormat="1">
      <c r="K742" s="147"/>
    </row>
    <row r="743" spans="11:11" s="97" customFormat="1">
      <c r="K743" s="147"/>
    </row>
    <row r="744" spans="11:11" s="97" customFormat="1">
      <c r="K744" s="147"/>
    </row>
    <row r="745" spans="11:11" s="97" customFormat="1">
      <c r="K745" s="147"/>
    </row>
    <row r="746" spans="11:11" s="97" customFormat="1">
      <c r="K746" s="147"/>
    </row>
    <row r="747" spans="11:11" s="97" customFormat="1">
      <c r="K747" s="147"/>
    </row>
    <row r="748" spans="11:11" s="97" customFormat="1">
      <c r="K748" s="147"/>
    </row>
    <row r="749" spans="11:11" s="97" customFormat="1">
      <c r="K749" s="147"/>
    </row>
    <row r="750" spans="11:11" s="97" customFormat="1">
      <c r="K750" s="147"/>
    </row>
    <row r="751" spans="11:11" s="97" customFormat="1">
      <c r="K751" s="147"/>
    </row>
    <row r="752" spans="11:11" s="97" customFormat="1">
      <c r="K752" s="147"/>
    </row>
    <row r="753" spans="11:11" s="97" customFormat="1">
      <c r="K753" s="147"/>
    </row>
    <row r="754" spans="11:11" s="97" customFormat="1">
      <c r="K754" s="147"/>
    </row>
    <row r="755" spans="11:11" s="97" customFormat="1">
      <c r="K755" s="147"/>
    </row>
    <row r="756" spans="11:11" s="97" customFormat="1">
      <c r="K756" s="147"/>
    </row>
    <row r="757" spans="11:11" s="97" customFormat="1">
      <c r="K757" s="147"/>
    </row>
    <row r="758" spans="11:11" s="97" customFormat="1">
      <c r="K758" s="147"/>
    </row>
    <row r="759" spans="11:11" s="97" customFormat="1">
      <c r="K759" s="147"/>
    </row>
    <row r="760" spans="11:11" s="97" customFormat="1">
      <c r="K760" s="147"/>
    </row>
    <row r="761" spans="11:11" s="97" customFormat="1">
      <c r="K761" s="147"/>
    </row>
    <row r="762" spans="11:11" s="97" customFormat="1">
      <c r="K762" s="147"/>
    </row>
    <row r="763" spans="11:11" s="97" customFormat="1">
      <c r="K763" s="147"/>
    </row>
    <row r="764" spans="11:11" s="97" customFormat="1">
      <c r="K764" s="147"/>
    </row>
    <row r="765" spans="11:11" s="97" customFormat="1">
      <c r="K765" s="147"/>
    </row>
    <row r="766" spans="11:11" s="97" customFormat="1">
      <c r="K766" s="147"/>
    </row>
    <row r="767" spans="11:11" s="97" customFormat="1">
      <c r="K767" s="147"/>
    </row>
    <row r="768" spans="11:11" s="97" customFormat="1">
      <c r="K768" s="147"/>
    </row>
    <row r="769" spans="11:11" s="97" customFormat="1">
      <c r="K769" s="147"/>
    </row>
    <row r="770" spans="11:11" s="97" customFormat="1">
      <c r="K770" s="147"/>
    </row>
    <row r="771" spans="11:11" s="97" customFormat="1">
      <c r="K771" s="147"/>
    </row>
    <row r="772" spans="11:11" s="97" customFormat="1">
      <c r="K772" s="147"/>
    </row>
    <row r="773" spans="11:11" s="97" customFormat="1">
      <c r="K773" s="147"/>
    </row>
    <row r="774" spans="11:11" s="97" customFormat="1">
      <c r="K774" s="147"/>
    </row>
    <row r="775" spans="11:11" s="97" customFormat="1">
      <c r="K775" s="147"/>
    </row>
    <row r="776" spans="11:11" s="97" customFormat="1">
      <c r="K776" s="147"/>
    </row>
    <row r="777" spans="11:11" s="97" customFormat="1">
      <c r="K777" s="147"/>
    </row>
    <row r="778" spans="11:11" s="97" customFormat="1">
      <c r="K778" s="147"/>
    </row>
    <row r="779" spans="11:11" s="97" customFormat="1">
      <c r="K779" s="147"/>
    </row>
    <row r="780" spans="11:11" s="97" customFormat="1">
      <c r="K780" s="147"/>
    </row>
    <row r="781" spans="11:11" s="97" customFormat="1">
      <c r="K781" s="147"/>
    </row>
    <row r="782" spans="11:11" s="97" customFormat="1">
      <c r="K782" s="147"/>
    </row>
    <row r="783" spans="11:11" s="97" customFormat="1">
      <c r="K783" s="147"/>
    </row>
    <row r="784" spans="11:11" s="97" customFormat="1">
      <c r="K784" s="147"/>
    </row>
    <row r="785" spans="11:11" s="97" customFormat="1">
      <c r="K785" s="147"/>
    </row>
    <row r="786" spans="11:11" s="97" customFormat="1">
      <c r="K786" s="147"/>
    </row>
    <row r="787" spans="11:11" s="97" customFormat="1">
      <c r="K787" s="147"/>
    </row>
    <row r="788" spans="11:11" s="97" customFormat="1">
      <c r="K788" s="147"/>
    </row>
    <row r="789" spans="11:11" s="97" customFormat="1">
      <c r="K789" s="147"/>
    </row>
    <row r="790" spans="11:11" s="97" customFormat="1">
      <c r="K790" s="147"/>
    </row>
    <row r="791" spans="11:11" s="97" customFormat="1">
      <c r="K791" s="147"/>
    </row>
    <row r="792" spans="11:11" s="97" customFormat="1">
      <c r="K792" s="147"/>
    </row>
    <row r="793" spans="11:11" s="97" customFormat="1">
      <c r="K793" s="147"/>
    </row>
    <row r="794" spans="11:11" s="97" customFormat="1">
      <c r="K794" s="147"/>
    </row>
    <row r="795" spans="11:11" s="97" customFormat="1">
      <c r="K795" s="147"/>
    </row>
    <row r="796" spans="11:11" s="97" customFormat="1">
      <c r="K796" s="147"/>
    </row>
    <row r="797" spans="11:11" s="97" customFormat="1">
      <c r="K797" s="147"/>
    </row>
    <row r="798" spans="11:11" s="97" customFormat="1">
      <c r="K798" s="147"/>
    </row>
    <row r="799" spans="11:11" s="97" customFormat="1">
      <c r="K799" s="147"/>
    </row>
    <row r="800" spans="11:11" s="97" customFormat="1">
      <c r="K800" s="147"/>
    </row>
    <row r="801" spans="11:11" s="97" customFormat="1">
      <c r="K801" s="147"/>
    </row>
    <row r="802" spans="11:11" s="97" customFormat="1">
      <c r="K802" s="147"/>
    </row>
    <row r="803" spans="11:11" s="97" customFormat="1">
      <c r="K803" s="147"/>
    </row>
    <row r="804" spans="11:11" s="97" customFormat="1">
      <c r="K804" s="147"/>
    </row>
    <row r="805" spans="11:11" s="97" customFormat="1">
      <c r="K805" s="147"/>
    </row>
    <row r="806" spans="11:11" s="97" customFormat="1">
      <c r="K806" s="147"/>
    </row>
    <row r="807" spans="11:11" s="97" customFormat="1">
      <c r="K807" s="147"/>
    </row>
    <row r="808" spans="11:11" s="97" customFormat="1">
      <c r="K808" s="147"/>
    </row>
    <row r="809" spans="11:11" s="97" customFormat="1">
      <c r="K809" s="147"/>
    </row>
    <row r="810" spans="11:11" s="97" customFormat="1">
      <c r="K810" s="147"/>
    </row>
    <row r="811" spans="11:11" s="97" customFormat="1">
      <c r="K811" s="147"/>
    </row>
    <row r="812" spans="11:11" s="97" customFormat="1">
      <c r="K812" s="147"/>
    </row>
    <row r="813" spans="11:11" s="97" customFormat="1">
      <c r="K813" s="147"/>
    </row>
    <row r="814" spans="11:11" s="97" customFormat="1">
      <c r="K814" s="147"/>
    </row>
    <row r="815" spans="11:11" s="97" customFormat="1">
      <c r="K815" s="147"/>
    </row>
    <row r="816" spans="11:11" s="97" customFormat="1">
      <c r="K816" s="147"/>
    </row>
    <row r="817" spans="11:11" s="97" customFormat="1">
      <c r="K817" s="147"/>
    </row>
    <row r="818" spans="11:11" s="97" customFormat="1">
      <c r="K818" s="147"/>
    </row>
    <row r="819" spans="11:11" s="97" customFormat="1">
      <c r="K819" s="147"/>
    </row>
    <row r="820" spans="11:11" s="97" customFormat="1">
      <c r="K820" s="147"/>
    </row>
    <row r="821" spans="11:11" s="97" customFormat="1">
      <c r="K821" s="147"/>
    </row>
    <row r="822" spans="11:11" s="97" customFormat="1">
      <c r="K822" s="147"/>
    </row>
    <row r="823" spans="11:11" s="97" customFormat="1">
      <c r="K823" s="147"/>
    </row>
    <row r="824" spans="11:11" s="97" customFormat="1">
      <c r="K824" s="147"/>
    </row>
    <row r="825" spans="11:11" s="97" customFormat="1">
      <c r="K825" s="147"/>
    </row>
    <row r="826" spans="11:11" s="97" customFormat="1">
      <c r="K826" s="147"/>
    </row>
    <row r="827" spans="11:11" s="97" customFormat="1">
      <c r="K827" s="147"/>
    </row>
    <row r="828" spans="11:11" s="97" customFormat="1">
      <c r="K828" s="147"/>
    </row>
    <row r="829" spans="11:11" s="97" customFormat="1">
      <c r="K829" s="147"/>
    </row>
    <row r="830" spans="11:11" s="97" customFormat="1">
      <c r="K830" s="147"/>
    </row>
    <row r="831" spans="11:11" s="97" customFormat="1">
      <c r="K831" s="147"/>
    </row>
    <row r="832" spans="11:11" s="97" customFormat="1">
      <c r="K832" s="147"/>
    </row>
    <row r="833" spans="11:11" s="97" customFormat="1">
      <c r="K833" s="147"/>
    </row>
    <row r="834" spans="11:11" s="97" customFormat="1">
      <c r="K834" s="147"/>
    </row>
    <row r="835" spans="11:11" s="97" customFormat="1">
      <c r="K835" s="147"/>
    </row>
    <row r="836" spans="11:11" s="97" customFormat="1">
      <c r="K836" s="147"/>
    </row>
    <row r="837" spans="11:11" s="97" customFormat="1">
      <c r="K837" s="147"/>
    </row>
    <row r="838" spans="11:11" s="97" customFormat="1">
      <c r="K838" s="147"/>
    </row>
    <row r="839" spans="11:11" s="97" customFormat="1">
      <c r="K839" s="147"/>
    </row>
    <row r="840" spans="11:11" s="97" customFormat="1">
      <c r="K840" s="147"/>
    </row>
    <row r="841" spans="11:11" s="97" customFormat="1">
      <c r="K841" s="147"/>
    </row>
    <row r="842" spans="11:11" s="97" customFormat="1">
      <c r="K842" s="147"/>
    </row>
    <row r="843" spans="11:11" s="97" customFormat="1">
      <c r="K843" s="147"/>
    </row>
    <row r="844" spans="11:11" s="97" customFormat="1">
      <c r="K844" s="147"/>
    </row>
    <row r="845" spans="11:11" s="97" customFormat="1">
      <c r="K845" s="147"/>
    </row>
    <row r="846" spans="11:11" s="97" customFormat="1">
      <c r="K846" s="147"/>
    </row>
    <row r="847" spans="11:11" s="97" customFormat="1">
      <c r="K847" s="147"/>
    </row>
    <row r="848" spans="11:11" s="97" customFormat="1">
      <c r="K848" s="147"/>
    </row>
    <row r="849" spans="11:11" s="97" customFormat="1">
      <c r="K849" s="147"/>
    </row>
    <row r="850" spans="11:11" s="97" customFormat="1">
      <c r="K850" s="147"/>
    </row>
    <row r="851" spans="11:11" s="97" customFormat="1">
      <c r="K851" s="147"/>
    </row>
    <row r="852" spans="11:11" s="97" customFormat="1">
      <c r="K852" s="147"/>
    </row>
    <row r="853" spans="11:11" s="97" customFormat="1">
      <c r="K853" s="147"/>
    </row>
    <row r="854" spans="11:11" s="97" customFormat="1">
      <c r="K854" s="147"/>
    </row>
    <row r="855" spans="11:11" s="97" customFormat="1">
      <c r="K855" s="147"/>
    </row>
    <row r="856" spans="11:11" s="97" customFormat="1">
      <c r="K856" s="147"/>
    </row>
    <row r="857" spans="11:11" s="97" customFormat="1">
      <c r="K857" s="147"/>
    </row>
    <row r="858" spans="11:11" s="97" customFormat="1">
      <c r="K858" s="147"/>
    </row>
    <row r="859" spans="11:11" s="97" customFormat="1">
      <c r="K859" s="147"/>
    </row>
    <row r="860" spans="11:11" s="97" customFormat="1">
      <c r="K860" s="147"/>
    </row>
    <row r="861" spans="11:11" s="97" customFormat="1">
      <c r="K861" s="147"/>
    </row>
    <row r="862" spans="11:11" s="97" customFormat="1">
      <c r="K862" s="147"/>
    </row>
    <row r="863" spans="11:11" s="97" customFormat="1">
      <c r="K863" s="147"/>
    </row>
    <row r="864" spans="11:11" s="97" customFormat="1">
      <c r="K864" s="147"/>
    </row>
    <row r="865" spans="11:11" s="97" customFormat="1">
      <c r="K865" s="147"/>
    </row>
    <row r="866" spans="11:11" s="97" customFormat="1">
      <c r="K866" s="147"/>
    </row>
    <row r="867" spans="11:11" s="97" customFormat="1">
      <c r="K867" s="147"/>
    </row>
    <row r="868" spans="11:11" s="97" customFormat="1">
      <c r="K868" s="147"/>
    </row>
    <row r="869" spans="11:11" s="97" customFormat="1">
      <c r="K869" s="147"/>
    </row>
    <row r="870" spans="11:11" s="97" customFormat="1">
      <c r="K870" s="147"/>
    </row>
    <row r="871" spans="11:11" s="97" customFormat="1">
      <c r="K871" s="147"/>
    </row>
    <row r="872" spans="11:11" s="97" customFormat="1">
      <c r="K872" s="147"/>
    </row>
    <row r="873" spans="11:11" s="97" customFormat="1">
      <c r="K873" s="147"/>
    </row>
    <row r="874" spans="11:11" s="97" customFormat="1">
      <c r="K874" s="147"/>
    </row>
    <row r="875" spans="11:11" s="97" customFormat="1">
      <c r="K875" s="147"/>
    </row>
    <row r="876" spans="11:11" s="97" customFormat="1">
      <c r="K876" s="147"/>
    </row>
    <row r="877" spans="11:11" s="97" customFormat="1">
      <c r="K877" s="147"/>
    </row>
    <row r="878" spans="11:11" s="97" customFormat="1">
      <c r="K878" s="147"/>
    </row>
    <row r="879" spans="11:11" s="97" customFormat="1">
      <c r="K879" s="147"/>
    </row>
    <row r="880" spans="11:11" s="97" customFormat="1">
      <c r="K880" s="147"/>
    </row>
    <row r="881" spans="11:11" s="97" customFormat="1">
      <c r="K881" s="147"/>
    </row>
    <row r="882" spans="11:11" s="97" customFormat="1">
      <c r="K882" s="147"/>
    </row>
    <row r="883" spans="11:11" s="97" customFormat="1">
      <c r="K883" s="147"/>
    </row>
    <row r="884" spans="11:11" s="97" customFormat="1">
      <c r="K884" s="147"/>
    </row>
    <row r="885" spans="11:11" s="97" customFormat="1">
      <c r="K885" s="147"/>
    </row>
    <row r="886" spans="11:11" s="97" customFormat="1">
      <c r="K886" s="147"/>
    </row>
    <row r="887" spans="11:11" s="97" customFormat="1">
      <c r="K887" s="147"/>
    </row>
    <row r="888" spans="11:11" s="97" customFormat="1">
      <c r="K888" s="147"/>
    </row>
    <row r="889" spans="11:11" s="97" customFormat="1">
      <c r="K889" s="147"/>
    </row>
    <row r="890" spans="11:11" s="97" customFormat="1">
      <c r="K890" s="147"/>
    </row>
    <row r="891" spans="11:11" s="97" customFormat="1">
      <c r="K891" s="147"/>
    </row>
    <row r="892" spans="11:11" s="97" customFormat="1">
      <c r="K892" s="147"/>
    </row>
    <row r="893" spans="11:11" s="97" customFormat="1">
      <c r="K893" s="147"/>
    </row>
    <row r="894" spans="11:11" s="97" customFormat="1">
      <c r="K894" s="147"/>
    </row>
    <row r="895" spans="11:11" s="97" customFormat="1">
      <c r="K895" s="147"/>
    </row>
    <row r="896" spans="11:11" s="97" customFormat="1">
      <c r="K896" s="147"/>
    </row>
    <row r="897" spans="11:11" s="97" customFormat="1">
      <c r="K897" s="147"/>
    </row>
    <row r="898" spans="11:11" s="97" customFormat="1">
      <c r="K898" s="147"/>
    </row>
    <row r="899" spans="11:11" s="97" customFormat="1">
      <c r="K899" s="147"/>
    </row>
    <row r="900" spans="11:11" s="97" customFormat="1">
      <c r="K900" s="147"/>
    </row>
    <row r="901" spans="11:11" s="97" customFormat="1">
      <c r="K901" s="147"/>
    </row>
    <row r="902" spans="11:11" s="97" customFormat="1">
      <c r="K902" s="147"/>
    </row>
    <row r="903" spans="11:11" s="97" customFormat="1">
      <c r="K903" s="147"/>
    </row>
    <row r="904" spans="11:11" s="97" customFormat="1">
      <c r="K904" s="147"/>
    </row>
    <row r="905" spans="11:11" s="97" customFormat="1">
      <c r="K905" s="147"/>
    </row>
    <row r="906" spans="11:11" s="97" customFormat="1">
      <c r="K906" s="147"/>
    </row>
    <row r="907" spans="11:11" s="97" customFormat="1">
      <c r="K907" s="147"/>
    </row>
    <row r="908" spans="11:11" s="97" customFormat="1">
      <c r="K908" s="147"/>
    </row>
    <row r="909" spans="11:11" s="97" customFormat="1">
      <c r="K909" s="147"/>
    </row>
    <row r="910" spans="11:11" s="97" customFormat="1">
      <c r="K910" s="147"/>
    </row>
    <row r="911" spans="11:11" s="97" customFormat="1">
      <c r="K911" s="147"/>
    </row>
    <row r="912" spans="11:11" s="97" customFormat="1">
      <c r="K912" s="147"/>
    </row>
    <row r="913" spans="11:11" s="97" customFormat="1">
      <c r="K913" s="147"/>
    </row>
    <row r="914" spans="11:11" s="97" customFormat="1">
      <c r="K914" s="147"/>
    </row>
    <row r="915" spans="11:11" s="97" customFormat="1">
      <c r="K915" s="147"/>
    </row>
    <row r="916" spans="11:11" s="97" customFormat="1">
      <c r="K916" s="147"/>
    </row>
    <row r="917" spans="11:11" s="97" customFormat="1">
      <c r="K917" s="147"/>
    </row>
    <row r="918" spans="11:11" s="97" customFormat="1">
      <c r="K918" s="147"/>
    </row>
    <row r="919" spans="11:11" s="97" customFormat="1">
      <c r="K919" s="147"/>
    </row>
    <row r="920" spans="11:11" s="97" customFormat="1">
      <c r="K920" s="147"/>
    </row>
    <row r="921" spans="11:11" s="97" customFormat="1">
      <c r="K921" s="147"/>
    </row>
    <row r="922" spans="11:11" s="97" customFormat="1">
      <c r="K922" s="147"/>
    </row>
    <row r="923" spans="11:11" s="97" customFormat="1">
      <c r="K923" s="147"/>
    </row>
    <row r="924" spans="11:11" s="97" customFormat="1">
      <c r="K924" s="147"/>
    </row>
    <row r="925" spans="11:11" s="97" customFormat="1">
      <c r="K925" s="147"/>
    </row>
    <row r="926" spans="11:11" s="97" customFormat="1">
      <c r="K926" s="147"/>
    </row>
    <row r="927" spans="11:11" s="97" customFormat="1">
      <c r="K927" s="147"/>
    </row>
    <row r="928" spans="11:11" s="97" customFormat="1">
      <c r="K928" s="147"/>
    </row>
    <row r="929" spans="11:11" s="97" customFormat="1">
      <c r="K929" s="147"/>
    </row>
    <row r="930" spans="11:11" s="97" customFormat="1">
      <c r="K930" s="147"/>
    </row>
    <row r="931" spans="11:11" s="97" customFormat="1">
      <c r="K931" s="147"/>
    </row>
    <row r="932" spans="11:11" s="97" customFormat="1">
      <c r="K932" s="147"/>
    </row>
    <row r="933" spans="11:11" s="97" customFormat="1">
      <c r="K933" s="147"/>
    </row>
    <row r="934" spans="11:11" s="97" customFormat="1">
      <c r="K934" s="147"/>
    </row>
    <row r="935" spans="11:11" s="97" customFormat="1">
      <c r="K935" s="147"/>
    </row>
    <row r="936" spans="11:11" s="97" customFormat="1">
      <c r="K936" s="147"/>
    </row>
    <row r="937" spans="11:11" s="97" customFormat="1">
      <c r="K937" s="147"/>
    </row>
    <row r="938" spans="11:11" s="97" customFormat="1">
      <c r="K938" s="147"/>
    </row>
    <row r="939" spans="11:11" s="97" customFormat="1">
      <c r="K939" s="147"/>
    </row>
    <row r="940" spans="11:11" s="97" customFormat="1">
      <c r="K940" s="147"/>
    </row>
    <row r="941" spans="11:11" s="97" customFormat="1">
      <c r="K941" s="147"/>
    </row>
    <row r="942" spans="11:11" s="97" customFormat="1">
      <c r="K942" s="147"/>
    </row>
    <row r="943" spans="11:11" s="97" customFormat="1">
      <c r="K943" s="147"/>
    </row>
    <row r="944" spans="11:11" s="97" customFormat="1">
      <c r="K944" s="147"/>
    </row>
    <row r="945" spans="11:11" s="97" customFormat="1">
      <c r="K945" s="147"/>
    </row>
    <row r="946" spans="11:11" s="97" customFormat="1">
      <c r="K946" s="147"/>
    </row>
    <row r="947" spans="11:11" s="97" customFormat="1">
      <c r="K947" s="147"/>
    </row>
    <row r="948" spans="11:11" s="97" customFormat="1">
      <c r="K948" s="147"/>
    </row>
    <row r="949" spans="11:11" s="97" customFormat="1">
      <c r="K949" s="147"/>
    </row>
    <row r="950" spans="11:11" s="97" customFormat="1">
      <c r="K950" s="147"/>
    </row>
    <row r="951" spans="11:11" s="97" customFormat="1">
      <c r="K951" s="147"/>
    </row>
    <row r="952" spans="11:11" s="97" customFormat="1">
      <c r="K952" s="147"/>
    </row>
    <row r="953" spans="11:11" s="97" customFormat="1">
      <c r="K953" s="147"/>
    </row>
    <row r="954" spans="11:11" s="97" customFormat="1">
      <c r="K954" s="147"/>
    </row>
    <row r="955" spans="11:11" s="97" customFormat="1">
      <c r="K955" s="147"/>
    </row>
    <row r="956" spans="11:11" s="97" customFormat="1">
      <c r="K956" s="147"/>
    </row>
    <row r="957" spans="11:11" s="97" customFormat="1">
      <c r="K957" s="147"/>
    </row>
    <row r="958" spans="11:11" s="97" customFormat="1">
      <c r="K958" s="147"/>
    </row>
    <row r="959" spans="11:11" s="97" customFormat="1">
      <c r="K959" s="147"/>
    </row>
    <row r="960" spans="11:11" s="97" customFormat="1">
      <c r="K960" s="147"/>
    </row>
    <row r="961" spans="2:11" s="97" customFormat="1">
      <c r="K961" s="147"/>
    </row>
    <row r="962" spans="2:11" s="97" customFormat="1">
      <c r="K962" s="147"/>
    </row>
    <row r="963" spans="2:11" s="97" customFormat="1">
      <c r="K963" s="147"/>
    </row>
    <row r="964" spans="2:11">
      <c r="B964" s="97"/>
      <c r="C964" s="97"/>
      <c r="D964" s="97"/>
      <c r="E964" s="97"/>
      <c r="F964" s="97"/>
    </row>
  </sheetData>
  <sheetProtection algorithmName="SHA-512" hashValue="tuSFujykWtz2Ki7CJYqQWrFxvX2Yw/F5Ucky/mZ/xZ5N2SSN/9gFR2qdf1DfvpgKrJt+uSh3uDthnhBveAEsDQ==" saltValue="MwCBqw88gAMVZheieE1/LA==" spinCount="100000" sheet="1" selectLockedCells="1"/>
  <mergeCells count="12">
    <mergeCell ref="B4:F5"/>
    <mergeCell ref="B2:F2"/>
    <mergeCell ref="B35:F35"/>
    <mergeCell ref="C7:F7"/>
    <mergeCell ref="C8:F8"/>
    <mergeCell ref="C9:F9"/>
    <mergeCell ref="C10:F10"/>
    <mergeCell ref="C11:F11"/>
    <mergeCell ref="C15:D15"/>
    <mergeCell ref="C14:D14"/>
    <mergeCell ref="C16:D16"/>
    <mergeCell ref="C12:F12"/>
  </mergeCells>
  <hyperlinks>
    <hyperlink ref="B19" location="'Commercial Refrigerators'!A1" display="Commercial Reach-in Refrigerators" xr:uid="{00000000-0004-0000-0100-000000000000}"/>
    <hyperlink ref="B20" location="'Commercial Freezers'!A1" display="Commercial Reach-in Freezers" xr:uid="{00000000-0004-0000-0100-000001000000}"/>
    <hyperlink ref="B21" location="'Ice Machines'!A1" display="Ice Machines" xr:uid="{00000000-0004-0000-0100-000002000000}"/>
    <hyperlink ref="B22" location="'Night Covers'!A1" display="Refrigerated Case Night Covers" xr:uid="{00000000-0004-0000-0100-000003000000}"/>
    <hyperlink ref="B23" location="'Strip Curtains'!A1" display="Strip Curtains for Walk-in Freezers &amp; Coolers" xr:uid="{00000000-0004-0000-0100-000004000000}"/>
    <hyperlink ref="B24" location="'Anti-Sweat Heaters'!A1" display="Anti-Sweat Heater Controls" xr:uid="{00000000-0004-0000-0100-000005000000}"/>
    <hyperlink ref="B25" location="'Vending Controls'!A1" display="Vending Machine Controls" xr:uid="{00000000-0004-0000-0100-000006000000}"/>
    <hyperlink ref="B26" location="'Vending Machines'!A1" display="Vending Machines" xr:uid="{00000000-0004-0000-0100-000007000000}"/>
    <hyperlink ref="B27" location="'Combination Ovens'!A1" display="Combination Ovens" xr:uid="{00000000-0004-0000-0100-000008000000}"/>
    <hyperlink ref="B28" location="'Convection Ovens'!A1" display="Convection Ovens" xr:uid="{00000000-0004-0000-0100-000009000000}"/>
    <hyperlink ref="B29" location="'Steam Cookers'!A1" display="Steam Cookers" xr:uid="{00000000-0004-0000-0100-00000A000000}"/>
    <hyperlink ref="B30" location="Fryers!A1" display="Fryers" xr:uid="{00000000-0004-0000-0100-00000B000000}"/>
    <hyperlink ref="B31" location="Griddles!A1" display="Griddles" xr:uid="{00000000-0004-0000-0100-00000C000000}"/>
    <hyperlink ref="B33" location="'Hot Food Holding Cabinets'!A1" display="Hot Food Holding Cabinet" xr:uid="{00000000-0004-0000-0100-00000D000000}"/>
  </hyperlink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F736"/>
  <sheetViews>
    <sheetView zoomScale="90" zoomScaleNormal="90" workbookViewId="0">
      <selection activeCell="B3" sqref="B3:C3"/>
    </sheetView>
  </sheetViews>
  <sheetFormatPr defaultRowHeight="15"/>
  <cols>
    <col min="1" max="1" width="3.7109375" customWidth="1"/>
    <col min="2" max="2" width="5" customWidth="1"/>
    <col min="3" max="3" width="23.85546875" customWidth="1"/>
    <col min="4" max="4" width="18.85546875" customWidth="1"/>
    <col min="5" max="5" width="18.85546875" hidden="1" customWidth="1"/>
    <col min="6" max="6" width="20.28515625" customWidth="1"/>
    <col min="7" max="7" width="20.85546875" customWidth="1"/>
    <col min="8" max="8" width="22.85546875" customWidth="1"/>
    <col min="9" max="9" width="13" customWidth="1"/>
    <col min="10" max="10" width="19.5703125" customWidth="1"/>
    <col min="11" max="11" width="10.85546875" customWidth="1"/>
    <col min="12" max="12" width="11.28515625" hidden="1" customWidth="1"/>
    <col min="13" max="14" width="13.7109375" hidden="1" customWidth="1"/>
    <col min="15" max="15" width="9" hidden="1" customWidth="1"/>
    <col min="16" max="16" width="17" hidden="1" customWidth="1"/>
    <col min="17" max="19" width="16" customWidth="1"/>
    <col min="20" max="20" width="15.5703125" hidden="1" customWidth="1"/>
    <col min="21" max="21" width="31.85546875" hidden="1" customWidth="1"/>
    <col min="22" max="22" width="17.28515625" hidden="1" customWidth="1"/>
    <col min="23" max="32" width="9.140625" hidden="1" customWidth="1"/>
    <col min="33" max="33" width="6.5703125" style="97" customWidth="1"/>
    <col min="34" max="34" width="9.140625" style="97" customWidth="1"/>
    <col min="35" max="162" width="9.140625" style="97"/>
  </cols>
  <sheetData>
    <row r="1" spans="1:33" ht="19.5" customHeight="1">
      <c r="A1" s="41"/>
      <c r="B1" s="41"/>
      <c r="C1" s="41"/>
      <c r="D1" s="41"/>
      <c r="E1" s="41"/>
      <c r="F1" s="41"/>
      <c r="G1" s="41"/>
      <c r="H1" s="41"/>
      <c r="I1" s="41"/>
      <c r="J1" s="41"/>
      <c r="K1" s="41"/>
      <c r="L1" s="28"/>
      <c r="M1" s="28"/>
      <c r="N1" s="28"/>
      <c r="O1" s="28"/>
      <c r="P1" s="28"/>
      <c r="Q1" s="41"/>
      <c r="R1" s="41"/>
      <c r="S1" s="41"/>
      <c r="T1" s="28" t="s">
        <v>116</v>
      </c>
      <c r="U1" s="28" t="s">
        <v>117</v>
      </c>
      <c r="V1" s="28"/>
      <c r="W1" s="28"/>
      <c r="X1" s="28"/>
      <c r="Y1" s="28"/>
      <c r="Z1" s="28"/>
      <c r="AA1" s="28"/>
      <c r="AB1" s="28"/>
      <c r="AC1" s="28"/>
      <c r="AD1" s="28"/>
      <c r="AG1" s="98"/>
    </row>
    <row r="2" spans="1:33" ht="27" customHeight="1">
      <c r="A2" s="41"/>
      <c r="B2" s="398" t="s">
        <v>118</v>
      </c>
      <c r="C2" s="399"/>
      <c r="D2" s="399"/>
      <c r="E2" s="399"/>
      <c r="F2" s="399"/>
      <c r="G2" s="399"/>
      <c r="H2" s="399"/>
      <c r="I2" s="399"/>
      <c r="J2" s="399"/>
      <c r="K2" s="399"/>
      <c r="L2" s="399"/>
      <c r="M2" s="399"/>
      <c r="N2" s="399"/>
      <c r="O2" s="399"/>
      <c r="P2" s="399"/>
      <c r="Q2" s="399"/>
      <c r="R2" s="399"/>
      <c r="S2" s="400"/>
      <c r="T2" s="28"/>
      <c r="U2" s="28"/>
      <c r="V2" s="28"/>
      <c r="W2" s="28"/>
      <c r="X2" s="28"/>
      <c r="Y2" s="28"/>
      <c r="Z2" s="28"/>
      <c r="AA2" s="28"/>
      <c r="AB2" s="28"/>
      <c r="AC2" s="28"/>
      <c r="AD2" s="28"/>
      <c r="AG2" s="98"/>
    </row>
    <row r="3" spans="1:33" ht="23.25" customHeight="1">
      <c r="A3" s="41"/>
      <c r="B3" s="393" t="s">
        <v>119</v>
      </c>
      <c r="C3" s="394"/>
      <c r="D3" s="401" t="s">
        <v>120</v>
      </c>
      <c r="E3" s="401"/>
      <c r="F3" s="401"/>
      <c r="G3" s="401"/>
      <c r="H3" s="401"/>
      <c r="I3" s="401"/>
      <c r="J3" s="401"/>
      <c r="K3" s="41"/>
      <c r="L3" s="28"/>
      <c r="M3" s="28"/>
      <c r="N3" s="28"/>
      <c r="O3" s="28"/>
      <c r="P3" s="28"/>
      <c r="Q3" s="41"/>
      <c r="R3" s="41"/>
      <c r="S3" s="41"/>
      <c r="T3" s="28"/>
      <c r="U3" s="28"/>
      <c r="V3" s="28"/>
      <c r="W3" s="28"/>
      <c r="X3" s="28"/>
      <c r="Y3" s="28"/>
      <c r="Z3" s="28"/>
      <c r="AA3" s="28"/>
      <c r="AB3" s="28"/>
      <c r="AC3" s="28"/>
      <c r="AD3" s="28"/>
      <c r="AG3" s="98"/>
    </row>
    <row r="4" spans="1:33" ht="39.75" customHeight="1">
      <c r="A4" s="41"/>
      <c r="B4" s="41"/>
      <c r="C4" s="41"/>
      <c r="D4" s="401"/>
      <c r="E4" s="401"/>
      <c r="F4" s="401"/>
      <c r="G4" s="401"/>
      <c r="H4" s="401"/>
      <c r="I4" s="401"/>
      <c r="J4" s="401"/>
      <c r="K4" s="41"/>
      <c r="L4" s="28"/>
      <c r="M4" s="28"/>
      <c r="N4" s="28"/>
      <c r="O4" s="28"/>
      <c r="P4" s="28"/>
      <c r="Q4" s="41"/>
      <c r="R4" s="41"/>
      <c r="S4" s="41"/>
      <c r="T4" s="28"/>
      <c r="U4" s="28"/>
      <c r="V4" s="28"/>
      <c r="W4" s="28"/>
      <c r="X4" s="28"/>
      <c r="Y4" s="28"/>
      <c r="Z4" s="28"/>
      <c r="AA4" s="28"/>
      <c r="AB4" s="28"/>
      <c r="AC4" s="28"/>
      <c r="AD4" s="28"/>
      <c r="AG4" s="98"/>
    </row>
    <row r="5" spans="1:33" ht="12.75" customHeight="1">
      <c r="A5" s="41"/>
      <c r="B5" s="41"/>
      <c r="C5" s="41"/>
      <c r="D5" s="41"/>
      <c r="E5" s="28"/>
      <c r="F5" s="41"/>
      <c r="G5" s="41"/>
      <c r="H5" s="41"/>
      <c r="I5" s="41"/>
      <c r="J5" s="41"/>
      <c r="K5" s="41"/>
      <c r="L5" s="28"/>
      <c r="M5" s="28"/>
      <c r="N5" s="28"/>
      <c r="O5" s="28"/>
      <c r="P5" s="28"/>
      <c r="Q5" s="41"/>
      <c r="R5" s="41"/>
      <c r="S5" s="41"/>
      <c r="T5" s="28"/>
      <c r="U5" s="28"/>
      <c r="V5" s="28"/>
      <c r="W5" s="28"/>
      <c r="X5" s="28"/>
      <c r="Y5" s="28"/>
      <c r="Z5" s="28"/>
      <c r="AA5" s="28"/>
      <c r="AB5" s="28"/>
      <c r="AC5" s="28"/>
      <c r="AD5" s="28"/>
      <c r="AG5" s="98"/>
    </row>
    <row r="6" spans="1:33" ht="38.25" customHeight="1">
      <c r="A6" s="41"/>
      <c r="B6" s="180" t="s">
        <v>121</v>
      </c>
      <c r="C6" s="180" t="s">
        <v>122</v>
      </c>
      <c r="D6" s="180" t="s">
        <v>123</v>
      </c>
      <c r="E6" s="180" t="s">
        <v>124</v>
      </c>
      <c r="F6" s="180" t="s">
        <v>125</v>
      </c>
      <c r="G6" s="180" t="s">
        <v>126</v>
      </c>
      <c r="H6" s="180" t="s">
        <v>127</v>
      </c>
      <c r="I6" s="180" t="s">
        <v>128</v>
      </c>
      <c r="J6" s="180" t="s">
        <v>129</v>
      </c>
      <c r="K6" s="180" t="s">
        <v>53</v>
      </c>
      <c r="L6" s="180" t="s">
        <v>130</v>
      </c>
      <c r="M6" s="180" t="s">
        <v>131</v>
      </c>
      <c r="N6" s="180" t="s">
        <v>132</v>
      </c>
      <c r="O6" s="179" t="s">
        <v>133</v>
      </c>
      <c r="P6" s="180" t="s">
        <v>134</v>
      </c>
      <c r="Q6" s="180" t="s">
        <v>135</v>
      </c>
      <c r="R6" s="180" t="s">
        <v>136</v>
      </c>
      <c r="S6" s="180" t="s">
        <v>75</v>
      </c>
      <c r="T6" s="181" t="s">
        <v>137</v>
      </c>
      <c r="U6" s="181" t="s">
        <v>138</v>
      </c>
      <c r="V6" s="181" t="s">
        <v>139</v>
      </c>
      <c r="AG6" s="98"/>
    </row>
    <row r="7" spans="1:33" ht="17.25" hidden="1" customHeight="1">
      <c r="A7" s="41"/>
      <c r="B7" s="273" t="s">
        <v>140</v>
      </c>
      <c r="C7" s="273"/>
      <c r="D7" s="273" t="s">
        <v>141</v>
      </c>
      <c r="E7" s="273" t="s">
        <v>142</v>
      </c>
      <c r="F7" s="273" t="s">
        <v>143</v>
      </c>
      <c r="G7" s="273" t="s">
        <v>144</v>
      </c>
      <c r="H7" s="273" t="s">
        <v>145</v>
      </c>
      <c r="I7" s="273" t="s">
        <v>146</v>
      </c>
      <c r="J7" s="273" t="s">
        <v>147</v>
      </c>
      <c r="K7" s="273" t="s">
        <v>53</v>
      </c>
      <c r="L7" s="273"/>
      <c r="M7" s="273"/>
      <c r="N7" s="273"/>
      <c r="O7" s="274"/>
      <c r="P7" s="274" t="s">
        <v>148</v>
      </c>
      <c r="Q7" s="273" t="s">
        <v>149</v>
      </c>
      <c r="R7" s="273" t="s">
        <v>150</v>
      </c>
      <c r="S7" s="273" t="s">
        <v>151</v>
      </c>
      <c r="T7" s="273" t="s">
        <v>152</v>
      </c>
      <c r="U7" s="273" t="s">
        <v>153</v>
      </c>
      <c r="V7" s="278" t="s">
        <v>154</v>
      </c>
      <c r="AG7" s="98"/>
    </row>
    <row r="8" spans="1:33" ht="19.5" customHeight="1">
      <c r="A8" s="41"/>
      <c r="B8" s="248">
        <v>1</v>
      </c>
      <c r="C8" s="9" t="s">
        <v>155</v>
      </c>
      <c r="D8" s="11"/>
      <c r="E8" s="11" t="str">
        <f t="shared" ref="E8:E15" si="0">IF(D8=$C$21,$D$21,IF(D8=$C$22,$D$22,""))</f>
        <v/>
      </c>
      <c r="F8" s="11"/>
      <c r="G8" s="12"/>
      <c r="H8" s="12"/>
      <c r="I8" s="11"/>
      <c r="J8" s="11"/>
      <c r="K8" s="12"/>
      <c r="L8" s="15" t="str">
        <f t="shared" ref="L8:L15" si="1">IF(J8="","",IF(J8&lt;15,$T$21,IF(J8&gt;=50,$T$24,IF(AND(J8&lt;30,J8&gt;=15),$T$22,IF(AND(J8&lt;50,J8&gt;=30),$T$23,"")))))</f>
        <v/>
      </c>
      <c r="M8" s="10" t="str">
        <f t="array" ref="M8">IFERROR(IF($C$34="PY9-PY12", INDEX($H$32:$R$39,MATCH(1,($H$32:$H$39=I8)*($I$32:$I$39=L8),0),4), INDEX($H$43:$R$50,MATCH(1,($H$43:$H$50=I8)*($I$43:$I$50=L8),0),4)),"")</f>
        <v/>
      </c>
      <c r="N8" s="10" t="str">
        <f t="array" ref="N8">IFERROR(IF($C$34="PY9-PY12", INDEX($S$32:$AC$39,MATCH(1,($S$32:$S$39=I8)*($T$32:$T$39=L8),0),4), INDEX($S$43:$AC$50,MATCH(1,($S$43:$S$50=I8)*($T$43:$T$50=L8),0),4)),"")</f>
        <v/>
      </c>
      <c r="O8" s="21">
        <v>1</v>
      </c>
      <c r="P8" s="21" t="str">
        <f t="shared" ref="P8:P15" si="2">IFERROR(ROUND((((M8-N8))/24)*K8,6), "")</f>
        <v/>
      </c>
      <c r="Q8" s="16" t="str">
        <f t="shared" ref="Q8:Q15" si="3">IFERROR(ROUND((((M8-N8)*O8)/24)*K8,6), "")</f>
        <v/>
      </c>
      <c r="R8" s="17" t="str">
        <f t="shared" ref="R8:R15" si="4">IF(K8="", "", IFERROR(ROUND(((M8-N8)*365)*K8,4), ""))</f>
        <v/>
      </c>
      <c r="S8" s="42" t="str">
        <f t="shared" ref="S8:S15" si="5">IF(OR(D8="", K8=""),"", K8*$C$28)</f>
        <v/>
      </c>
      <c r="T8" s="10">
        <f t="shared" ref="T8:T15" si="6">F8</f>
        <v>0</v>
      </c>
      <c r="U8" s="10" t="s">
        <v>156</v>
      </c>
      <c r="V8" t="str">
        <f t="shared" ref="V8:V15" si="7">IF(R8&gt;0,"Yes","No")</f>
        <v>Yes</v>
      </c>
      <c r="AG8" s="98"/>
    </row>
    <row r="9" spans="1:33" ht="19.5" customHeight="1">
      <c r="A9" s="41"/>
      <c r="B9" s="248">
        <v>2</v>
      </c>
      <c r="C9" s="9" t="s">
        <v>155</v>
      </c>
      <c r="D9" s="11"/>
      <c r="E9" s="11" t="str">
        <f t="shared" si="0"/>
        <v/>
      </c>
      <c r="F9" s="11"/>
      <c r="G9" s="12"/>
      <c r="H9" s="12"/>
      <c r="I9" s="11"/>
      <c r="J9" s="11"/>
      <c r="K9" s="12"/>
      <c r="L9" s="15" t="str">
        <f t="shared" si="1"/>
        <v/>
      </c>
      <c r="M9" s="10" t="str">
        <f t="array" ref="M9">IFERROR(IF($C$34="PY9-PY12", INDEX($H$32:$R$39,MATCH(1,($H$32:$H$39=I9)*($I$32:$I$39=L9),0),5), INDEX($H$43:$R$50,MATCH(1,($H$43:$H$50=I9)*($I$43:$I$50=L9),0),5)),"")</f>
        <v/>
      </c>
      <c r="N9" s="10" t="str">
        <f t="array" ref="N9">IFERROR(IF($C$34="PY9-PY12", INDEX($S$32:$AC$39,MATCH(1,($S$32:$S$39=I9)*($T$32:$T$39=L9),0),5), INDEX($S$43:$AC$50,MATCH(1,($S$43:$S$50=I9)*($T$43:$T$50=L9),0),5)),"")</f>
        <v/>
      </c>
      <c r="O9" s="21">
        <v>1</v>
      </c>
      <c r="P9" s="21" t="str">
        <f t="shared" si="2"/>
        <v/>
      </c>
      <c r="Q9" s="16" t="str">
        <f t="shared" si="3"/>
        <v/>
      </c>
      <c r="R9" s="17" t="str">
        <f t="shared" si="4"/>
        <v/>
      </c>
      <c r="S9" s="42" t="str">
        <f t="shared" si="5"/>
        <v/>
      </c>
      <c r="T9" s="10">
        <f t="shared" si="6"/>
        <v>0</v>
      </c>
      <c r="U9" s="10" t="s">
        <v>156</v>
      </c>
      <c r="V9" t="str">
        <f t="shared" si="7"/>
        <v>Yes</v>
      </c>
      <c r="AG9" s="98"/>
    </row>
    <row r="10" spans="1:33" ht="19.5" customHeight="1">
      <c r="A10" s="41"/>
      <c r="B10" s="248">
        <v>3</v>
      </c>
      <c r="C10" s="9" t="s">
        <v>155</v>
      </c>
      <c r="D10" s="11"/>
      <c r="E10" s="11" t="str">
        <f t="shared" si="0"/>
        <v/>
      </c>
      <c r="F10" s="11"/>
      <c r="G10" s="12"/>
      <c r="H10" s="12"/>
      <c r="I10" s="11"/>
      <c r="J10" s="11"/>
      <c r="K10" s="12"/>
      <c r="L10" s="15" t="str">
        <f t="shared" si="1"/>
        <v/>
      </c>
      <c r="M10" s="10" t="str">
        <f t="array" ref="M10">IFERROR(IF($C$34="PY9-PY12", INDEX($H$32:$R$39,MATCH(1,($H$32:$H$39=I10)*($I$32:$I$39=L10),0),6), INDEX($H$43:$R$50,MATCH(1,($H$43:$H$50=I10)*($I$43:$I$50=L10),0),6)),"")</f>
        <v/>
      </c>
      <c r="N10" s="10" t="str">
        <f t="array" ref="N10">IFERROR(IF($C$34="PY9-PY12", INDEX($S$32:$AC$39,MATCH(1,($S$32:$S$39=I10)*($T$32:$T$39=L10),0),6), INDEX($S$43:$AC$50,MATCH(1,($S$43:$S$50=I10)*($T$43:$T$50=L10),0),6)),"")</f>
        <v/>
      </c>
      <c r="O10" s="21">
        <v>1</v>
      </c>
      <c r="P10" s="21" t="str">
        <f t="shared" si="2"/>
        <v/>
      </c>
      <c r="Q10" s="16" t="str">
        <f t="shared" si="3"/>
        <v/>
      </c>
      <c r="R10" s="17" t="str">
        <f t="shared" si="4"/>
        <v/>
      </c>
      <c r="S10" s="42" t="str">
        <f t="shared" si="5"/>
        <v/>
      </c>
      <c r="T10" s="10">
        <f t="shared" si="6"/>
        <v>0</v>
      </c>
      <c r="U10" s="10" t="s">
        <v>156</v>
      </c>
      <c r="V10" t="str">
        <f t="shared" si="7"/>
        <v>Yes</v>
      </c>
      <c r="AG10" s="98"/>
    </row>
    <row r="11" spans="1:33" ht="19.5" customHeight="1">
      <c r="A11" s="41"/>
      <c r="B11" s="248">
        <v>4</v>
      </c>
      <c r="C11" s="9" t="s">
        <v>155</v>
      </c>
      <c r="D11" s="11"/>
      <c r="E11" s="11" t="str">
        <f t="shared" si="0"/>
        <v/>
      </c>
      <c r="F11" s="11"/>
      <c r="G11" s="12"/>
      <c r="H11" s="12"/>
      <c r="I11" s="11"/>
      <c r="J11" s="11"/>
      <c r="K11" s="12"/>
      <c r="L11" s="15" t="str">
        <f t="shared" si="1"/>
        <v/>
      </c>
      <c r="M11" s="10" t="str">
        <f t="array" ref="M11">IFERROR(IF($C$34="PY9-PY12", INDEX($H$32:$R$39,MATCH(1,($H$32:$H$39=I11)*($I$32:$I$39=L11),0),7), INDEX($H$43:$R$50,MATCH(1,($H$43:$H$50=I11)*($I$43:$I$50=L11),0),7)),"")</f>
        <v/>
      </c>
      <c r="N11" s="10" t="str">
        <f t="array" ref="N11">IFERROR(IF($C$34="PY9-PY12", INDEX($S$32:$AC$39,MATCH(1,($S$32:$S$39=I11)*($T$32:$T$39=L11),0),7), INDEX($S$43:$AC$50,MATCH(1,($S$43:$S$50=I11)*($T$43:$T$50=L11),0),7)),"")</f>
        <v/>
      </c>
      <c r="O11" s="21">
        <v>1</v>
      </c>
      <c r="P11" s="21" t="str">
        <f t="shared" si="2"/>
        <v/>
      </c>
      <c r="Q11" s="16" t="str">
        <f t="shared" si="3"/>
        <v/>
      </c>
      <c r="R11" s="17" t="str">
        <f t="shared" si="4"/>
        <v/>
      </c>
      <c r="S11" s="42" t="str">
        <f t="shared" si="5"/>
        <v/>
      </c>
      <c r="T11" s="10">
        <f t="shared" si="6"/>
        <v>0</v>
      </c>
      <c r="U11" s="10" t="s">
        <v>156</v>
      </c>
      <c r="V11" t="str">
        <f t="shared" si="7"/>
        <v>Yes</v>
      </c>
      <c r="AG11" s="98"/>
    </row>
    <row r="12" spans="1:33" ht="19.5" customHeight="1">
      <c r="A12" s="41"/>
      <c r="B12" s="248">
        <v>5</v>
      </c>
      <c r="C12" s="9" t="s">
        <v>155</v>
      </c>
      <c r="D12" s="11"/>
      <c r="E12" s="11" t="str">
        <f t="shared" si="0"/>
        <v/>
      </c>
      <c r="F12" s="11"/>
      <c r="G12" s="12"/>
      <c r="H12" s="12"/>
      <c r="I12" s="11"/>
      <c r="J12" s="11"/>
      <c r="K12" s="12"/>
      <c r="L12" s="15" t="str">
        <f t="shared" si="1"/>
        <v/>
      </c>
      <c r="M12" s="10" t="str">
        <f t="array" ref="M12">IFERROR(IF($C$34="PY9-PY12", INDEX($H$32:$R$39,MATCH(1,($H$32:$H$39=I12)*($I$32:$I$39=L12),0),8), INDEX($H$43:$R$50,MATCH(1,($H$43:$H$50=I12)*($I$43:$I$50=L12),0),8)),"")</f>
        <v/>
      </c>
      <c r="N12" s="10" t="str">
        <f t="array" ref="N12">IFERROR(IF($C$34="PY9-PY12", INDEX($S$32:$AC$39,MATCH(1,($S$32:$S$39=I12)*($T$32:$T$39=L12),0),8), INDEX($S$43:$AC$50,MATCH(1,($S$43:$S$50=I12)*($T$43:$T$50=L12),0),8)),"")</f>
        <v/>
      </c>
      <c r="O12" s="21">
        <v>1</v>
      </c>
      <c r="P12" s="21" t="str">
        <f t="shared" si="2"/>
        <v/>
      </c>
      <c r="Q12" s="16" t="str">
        <f t="shared" si="3"/>
        <v/>
      </c>
      <c r="R12" s="17" t="str">
        <f t="shared" si="4"/>
        <v/>
      </c>
      <c r="S12" s="42" t="str">
        <f t="shared" si="5"/>
        <v/>
      </c>
      <c r="T12" s="10">
        <f t="shared" si="6"/>
        <v>0</v>
      </c>
      <c r="U12" s="10" t="s">
        <v>156</v>
      </c>
      <c r="V12" t="str">
        <f t="shared" si="7"/>
        <v>Yes</v>
      </c>
      <c r="AG12" s="98"/>
    </row>
    <row r="13" spans="1:33" ht="19.5" customHeight="1">
      <c r="A13" s="41"/>
      <c r="B13" s="248">
        <v>6</v>
      </c>
      <c r="C13" s="9" t="s">
        <v>155</v>
      </c>
      <c r="D13" s="11"/>
      <c r="E13" s="11" t="str">
        <f t="shared" si="0"/>
        <v/>
      </c>
      <c r="F13" s="11"/>
      <c r="G13" s="12"/>
      <c r="H13" s="12"/>
      <c r="I13" s="11"/>
      <c r="J13" s="11"/>
      <c r="K13" s="12"/>
      <c r="L13" s="15" t="str">
        <f t="shared" si="1"/>
        <v/>
      </c>
      <c r="M13" s="10" t="str">
        <f t="array" ref="M13">IFERROR(IF($C$34="PY9-PY12", INDEX($H$32:$R$39,MATCH(1,($H$32:$H$39=I13)*($I$32:$I$39=L13),0),9), INDEX($H$43:$R$50,MATCH(1,($H$43:$H$50=I13)*($I$43:$I$50=L13),0),9)),"")</f>
        <v/>
      </c>
      <c r="N13" s="10" t="str">
        <f t="array" ref="N13">IFERROR(IF($C$34="PY9-PY12", INDEX($S$32:$AC$39,MATCH(1,($S$32:$S$39=I13)*($T$32:$T$39=L13),0),9), INDEX($S$43:$AC$50,MATCH(1,($S$43:$S$50=I13)*($T$43:$T$50=L13),0),9)),"")</f>
        <v/>
      </c>
      <c r="O13" s="21">
        <v>1</v>
      </c>
      <c r="P13" s="21" t="str">
        <f t="shared" si="2"/>
        <v/>
      </c>
      <c r="Q13" s="16" t="str">
        <f t="shared" si="3"/>
        <v/>
      </c>
      <c r="R13" s="17" t="str">
        <f t="shared" si="4"/>
        <v/>
      </c>
      <c r="S13" s="42" t="str">
        <f t="shared" si="5"/>
        <v/>
      </c>
      <c r="T13" s="10">
        <f t="shared" si="6"/>
        <v>0</v>
      </c>
      <c r="U13" s="10" t="s">
        <v>156</v>
      </c>
      <c r="V13" t="str">
        <f t="shared" si="7"/>
        <v>Yes</v>
      </c>
      <c r="AG13" s="98"/>
    </row>
    <row r="14" spans="1:33" ht="19.5" customHeight="1">
      <c r="A14" s="41"/>
      <c r="B14" s="248">
        <v>7</v>
      </c>
      <c r="C14" s="9" t="s">
        <v>155</v>
      </c>
      <c r="D14" s="11"/>
      <c r="E14" s="11" t="str">
        <f t="shared" si="0"/>
        <v/>
      </c>
      <c r="F14" s="11"/>
      <c r="G14" s="12"/>
      <c r="H14" s="12"/>
      <c r="I14" s="11"/>
      <c r="J14" s="11"/>
      <c r="K14" s="12"/>
      <c r="L14" s="15" t="str">
        <f t="shared" si="1"/>
        <v/>
      </c>
      <c r="M14" s="10" t="str">
        <f t="array" ref="M14">IFERROR(IF($C$34="PY9-PY12", INDEX($H$32:$R$39,MATCH(1,($H$32:$H$39=I14)*($I$32:$I$39=L14),0),10), INDEX($H$43:$R$50,MATCH(1,($H$43:$H$50=I14)*($I$43:$I$50=L14),0),10)),"")</f>
        <v/>
      </c>
      <c r="N14" s="10" t="str">
        <f t="array" ref="N14">IFERROR(IF($C$34="PY9-PY12", INDEX($S$32:$AC$39,MATCH(1,($S$32:$S$39=I14)*($T$32:$T$39=L14),0),10), INDEX($S$43:$AC$50,MATCH(1,($S$43:$S$50=I14)*($T$43:$T$50=L14),0),10)),"")</f>
        <v/>
      </c>
      <c r="O14" s="21">
        <v>1</v>
      </c>
      <c r="P14" s="21" t="str">
        <f t="shared" si="2"/>
        <v/>
      </c>
      <c r="Q14" s="16" t="str">
        <f t="shared" si="3"/>
        <v/>
      </c>
      <c r="R14" s="17" t="str">
        <f t="shared" si="4"/>
        <v/>
      </c>
      <c r="S14" s="42" t="str">
        <f t="shared" si="5"/>
        <v/>
      </c>
      <c r="T14" s="10">
        <f t="shared" si="6"/>
        <v>0</v>
      </c>
      <c r="U14" s="10" t="s">
        <v>156</v>
      </c>
      <c r="V14" t="str">
        <f t="shared" si="7"/>
        <v>Yes</v>
      </c>
      <c r="AG14" s="98"/>
    </row>
    <row r="15" spans="1:33" ht="19.5" customHeight="1">
      <c r="A15" s="41"/>
      <c r="B15" s="248">
        <v>8</v>
      </c>
      <c r="C15" s="9" t="s">
        <v>155</v>
      </c>
      <c r="D15" s="11"/>
      <c r="E15" s="11" t="str">
        <f t="shared" si="0"/>
        <v/>
      </c>
      <c r="F15" s="11"/>
      <c r="G15" s="12"/>
      <c r="H15" s="12"/>
      <c r="I15" s="11"/>
      <c r="J15" s="11"/>
      <c r="K15" s="12"/>
      <c r="L15" s="15" t="str">
        <f t="shared" si="1"/>
        <v/>
      </c>
      <c r="M15" s="10" t="str">
        <f t="array" ref="M15">IFERROR(IF($C$34="PY9-PY12", INDEX($H$32:$R$39,MATCH(1,($H$32:$H$39=I15)*($I$32:$I$39=L15),0),11), INDEX($H$43:$R$50,MATCH(1,($H$43:$H$50=I15)*($I$43:$I$50=L15),0),11)),"")</f>
        <v/>
      </c>
      <c r="N15" s="10" t="str">
        <f t="array" ref="N15">IFERROR(IF($C$34="PY9-PY12", INDEX($S$32:$AC$39,MATCH(1,($S$32:$S$39=I15)*($T$32:$T$39=L15),0),11), INDEX($S$43:$AC$50,MATCH(1,($S$43:$S$50=I15)*($T$43:$T$50=L15),0),11)),"")</f>
        <v/>
      </c>
      <c r="O15" s="21">
        <v>1</v>
      </c>
      <c r="P15" s="21" t="str">
        <f t="shared" si="2"/>
        <v/>
      </c>
      <c r="Q15" s="16" t="str">
        <f t="shared" si="3"/>
        <v/>
      </c>
      <c r="R15" s="17" t="str">
        <f t="shared" si="4"/>
        <v/>
      </c>
      <c r="S15" s="42" t="str">
        <f t="shared" si="5"/>
        <v/>
      </c>
      <c r="T15" s="10">
        <f t="shared" si="6"/>
        <v>0</v>
      </c>
      <c r="U15" s="10" t="s">
        <v>156</v>
      </c>
      <c r="V15" t="str">
        <f t="shared" si="7"/>
        <v>Yes</v>
      </c>
      <c r="AG15" s="98"/>
    </row>
    <row r="16" spans="1:33" hidden="1">
      <c r="A16" s="28"/>
      <c r="AG16" s="98"/>
    </row>
    <row r="17" spans="1:33" hidden="1">
      <c r="A17" s="28"/>
      <c r="U17" s="1"/>
      <c r="AG17" s="98"/>
    </row>
    <row r="18" spans="1:33" hidden="1">
      <c r="A18" s="28"/>
      <c r="C18" s="395" t="s">
        <v>157</v>
      </c>
      <c r="D18" s="396"/>
      <c r="E18" s="396"/>
      <c r="F18" s="396"/>
      <c r="G18" s="396"/>
      <c r="H18" s="396"/>
      <c r="I18" s="396"/>
      <c r="J18" s="396"/>
      <c r="K18" s="396"/>
      <c r="L18" s="396"/>
      <c r="M18" s="396"/>
      <c r="N18" s="396"/>
      <c r="O18" s="396"/>
      <c r="P18" s="396"/>
      <c r="Q18" s="396"/>
      <c r="R18" s="396"/>
      <c r="S18" s="396"/>
      <c r="T18" s="396"/>
      <c r="U18" s="396"/>
      <c r="V18" s="396"/>
      <c r="W18" s="396"/>
      <c r="X18" s="396"/>
      <c r="Y18" s="396"/>
      <c r="Z18" s="396"/>
      <c r="AA18" s="396"/>
      <c r="AB18" s="396"/>
      <c r="AC18" s="396"/>
      <c r="AD18" s="397"/>
      <c r="AG18" s="98"/>
    </row>
    <row r="19" spans="1:33" hidden="1">
      <c r="A19" s="28"/>
      <c r="H19" s="161" t="s">
        <v>158</v>
      </c>
      <c r="I19" s="276"/>
      <c r="J19" s="276"/>
      <c r="K19" s="276"/>
      <c r="L19" s="276"/>
      <c r="M19" s="276"/>
      <c r="N19" s="276"/>
      <c r="O19" s="276"/>
      <c r="P19" s="276"/>
      <c r="Q19" s="276"/>
      <c r="R19" s="277"/>
      <c r="S19" s="161" t="s">
        <v>159</v>
      </c>
      <c r="T19" s="276"/>
      <c r="U19" s="276"/>
      <c r="V19" s="276"/>
      <c r="W19" s="276"/>
      <c r="X19" s="276"/>
      <c r="Y19" s="276"/>
      <c r="Z19" s="276"/>
      <c r="AA19" s="276"/>
      <c r="AB19" s="276"/>
      <c r="AC19" s="277"/>
      <c r="AG19" s="98"/>
    </row>
    <row r="20" spans="1:33" ht="30" hidden="1">
      <c r="A20" s="28"/>
      <c r="C20" s="158" t="s">
        <v>123</v>
      </c>
      <c r="D20" s="158" t="s">
        <v>124</v>
      </c>
      <c r="H20" s="249" t="s">
        <v>160</v>
      </c>
      <c r="I20" s="250" t="s">
        <v>161</v>
      </c>
      <c r="J20" s="249" t="s">
        <v>162</v>
      </c>
      <c r="K20" s="250">
        <v>1</v>
      </c>
      <c r="L20" s="250">
        <v>2</v>
      </c>
      <c r="M20" s="250">
        <v>3</v>
      </c>
      <c r="N20" s="250">
        <v>4</v>
      </c>
      <c r="O20" s="250">
        <v>5</v>
      </c>
      <c r="P20" s="250">
        <v>6</v>
      </c>
      <c r="Q20" s="250">
        <v>7</v>
      </c>
      <c r="R20" s="250">
        <v>8</v>
      </c>
      <c r="S20" s="249" t="s">
        <v>160</v>
      </c>
      <c r="T20" s="250" t="s">
        <v>161</v>
      </c>
      <c r="U20" s="249" t="s">
        <v>163</v>
      </c>
      <c r="V20" s="250">
        <v>1</v>
      </c>
      <c r="W20" s="250">
        <v>2</v>
      </c>
      <c r="X20" s="250">
        <v>3</v>
      </c>
      <c r="Y20" s="250">
        <v>4</v>
      </c>
      <c r="Z20" s="250">
        <v>5</v>
      </c>
      <c r="AA20" s="250">
        <v>6</v>
      </c>
      <c r="AB20" s="250">
        <v>7</v>
      </c>
      <c r="AC20" s="250">
        <v>8</v>
      </c>
      <c r="AG20" s="98"/>
    </row>
    <row r="21" spans="1:33" hidden="1">
      <c r="A21" s="28"/>
      <c r="C21" s="4" t="s">
        <v>164</v>
      </c>
      <c r="D21" s="4" t="s">
        <v>164</v>
      </c>
      <c r="H21" s="5" t="s">
        <v>165</v>
      </c>
      <c r="I21" s="6" t="s">
        <v>166</v>
      </c>
      <c r="J21" s="6" t="s">
        <v>167</v>
      </c>
      <c r="K21" s="22">
        <f>(0.1*$J$8)+2.04</f>
        <v>2.04</v>
      </c>
      <c r="L21" s="22">
        <f>(0.1*$J$9)+2.04</f>
        <v>2.04</v>
      </c>
      <c r="M21" s="22">
        <f>(0.1*$J$10)+2.04</f>
        <v>2.04</v>
      </c>
      <c r="N21" s="22">
        <f>(0.1*$J$11)+2.04</f>
        <v>2.04</v>
      </c>
      <c r="O21" s="22">
        <f>(0.1*$J$12)+2.04</f>
        <v>2.04</v>
      </c>
      <c r="P21" s="22">
        <f>(0.1*$J$13)+2.04</f>
        <v>2.04</v>
      </c>
      <c r="Q21" s="22">
        <f>(0.1*$J$14)+2.04</f>
        <v>2.04</v>
      </c>
      <c r="R21" s="22">
        <f>(0.1*$J$15)+2.04</f>
        <v>2.04</v>
      </c>
      <c r="S21" s="5" t="s">
        <v>165</v>
      </c>
      <c r="T21" s="6" t="s">
        <v>166</v>
      </c>
      <c r="U21" s="6" t="s">
        <v>168</v>
      </c>
      <c r="V21" s="23">
        <f>(0.089*J8)+1.411</f>
        <v>1.411</v>
      </c>
      <c r="W21" s="23">
        <f>(0.089*J9)+1.411</f>
        <v>1.411</v>
      </c>
      <c r="X21" s="23">
        <f>(0.089*J10)+1.411</f>
        <v>1.411</v>
      </c>
      <c r="Y21" s="23">
        <f>(0.089*J11)+1.411</f>
        <v>1.411</v>
      </c>
      <c r="Z21" s="23">
        <f>(0.089*J12)+1.411</f>
        <v>1.411</v>
      </c>
      <c r="AA21" s="23">
        <f>(0.089*J13)+1.411</f>
        <v>1.411</v>
      </c>
      <c r="AB21" s="23">
        <f>(0.089*J14)+1.411</f>
        <v>1.411</v>
      </c>
      <c r="AC21" s="23">
        <f>(0.089*J15)+1.411</f>
        <v>1.411</v>
      </c>
      <c r="AG21" s="98"/>
    </row>
    <row r="22" spans="1:33" hidden="1">
      <c r="A22" s="28"/>
      <c r="C22" s="4" t="s">
        <v>169</v>
      </c>
      <c r="D22" s="4" t="s">
        <v>170</v>
      </c>
      <c r="H22" s="5" t="s">
        <v>165</v>
      </c>
      <c r="I22" s="6" t="s">
        <v>171</v>
      </c>
      <c r="J22" s="6" t="s">
        <v>167</v>
      </c>
      <c r="K22" s="22">
        <f>(0.1*$J$8)+2.04</f>
        <v>2.04</v>
      </c>
      <c r="L22" s="22">
        <f>(0.1*$J$9)+2.04</f>
        <v>2.04</v>
      </c>
      <c r="M22" s="22">
        <f>(0.1*$J$10)+2.04</f>
        <v>2.04</v>
      </c>
      <c r="N22" s="22">
        <f>(0.1*$J$11)+2.04</f>
        <v>2.04</v>
      </c>
      <c r="O22" s="22">
        <f>(0.1*$J$12)+2.04</f>
        <v>2.04</v>
      </c>
      <c r="P22" s="22">
        <f>(0.1*$J$13)+2.04</f>
        <v>2.04</v>
      </c>
      <c r="Q22" s="22">
        <f>(0.1*$J$14)+2.04</f>
        <v>2.04</v>
      </c>
      <c r="R22" s="22">
        <f>(0.1*$J$15)+2.04</f>
        <v>2.04</v>
      </c>
      <c r="S22" s="5" t="s">
        <v>165</v>
      </c>
      <c r="T22" s="6" t="s">
        <v>171</v>
      </c>
      <c r="U22" s="6" t="s">
        <v>172</v>
      </c>
      <c r="V22" s="23">
        <f>(0.037*J8)+2.2</f>
        <v>2.2000000000000002</v>
      </c>
      <c r="W22" s="23">
        <f>(0.037*J9)+2.2</f>
        <v>2.2000000000000002</v>
      </c>
      <c r="X22" s="23">
        <f>(0.037*J10)+2.2</f>
        <v>2.2000000000000002</v>
      </c>
      <c r="Y22" s="23">
        <f>(0.037*J11)+2.2</f>
        <v>2.2000000000000002</v>
      </c>
      <c r="Z22" s="23">
        <f>(0.037*J12)+2.2</f>
        <v>2.2000000000000002</v>
      </c>
      <c r="AA22" s="23">
        <f>(0.037*J13)+2.2</f>
        <v>2.2000000000000002</v>
      </c>
      <c r="AB22" s="23">
        <f>(0.037*J14)+2.2</f>
        <v>2.2000000000000002</v>
      </c>
      <c r="AC22" s="23">
        <f>(0.037*J15)+2.2</f>
        <v>2.2000000000000002</v>
      </c>
      <c r="AG22" s="98"/>
    </row>
    <row r="23" spans="1:33" hidden="1">
      <c r="A23" s="28"/>
      <c r="H23" s="5" t="s">
        <v>165</v>
      </c>
      <c r="I23" s="6" t="s">
        <v>173</v>
      </c>
      <c r="J23" s="6" t="s">
        <v>167</v>
      </c>
      <c r="K23" s="22">
        <f>(0.1*$J$8)+2.04</f>
        <v>2.04</v>
      </c>
      <c r="L23" s="22">
        <f>(0.1*$J$9)+2.04</f>
        <v>2.04</v>
      </c>
      <c r="M23" s="22">
        <f>(0.1*$J$10)+2.04</f>
        <v>2.04</v>
      </c>
      <c r="N23" s="22">
        <f>(0.1*$J$11)+2.04</f>
        <v>2.04</v>
      </c>
      <c r="O23" s="22">
        <f>(0.1*$J$12)+2.04</f>
        <v>2.04</v>
      </c>
      <c r="P23" s="22">
        <f>(0.1*$J$13)+2.04</f>
        <v>2.04</v>
      </c>
      <c r="Q23" s="22">
        <f>(0.1*$J$14)+2.04</f>
        <v>2.04</v>
      </c>
      <c r="R23" s="22">
        <f>(0.1*$J$15)+2.04</f>
        <v>2.04</v>
      </c>
      <c r="S23" s="5" t="s">
        <v>165</v>
      </c>
      <c r="T23" s="6" t="s">
        <v>173</v>
      </c>
      <c r="U23" s="6" t="s">
        <v>174</v>
      </c>
      <c r="V23" s="23">
        <f>(0.056*J8)+1.635</f>
        <v>1.635</v>
      </c>
      <c r="W23" s="23">
        <f>(0.056*J9)+1.635</f>
        <v>1.635</v>
      </c>
      <c r="X23" s="23">
        <f>(0.056*J10)+1.635</f>
        <v>1.635</v>
      </c>
      <c r="Y23" s="23">
        <f>(0.056*J11)+1.635</f>
        <v>1.635</v>
      </c>
      <c r="Z23" s="23">
        <f>(0.056*J12)+1.635</f>
        <v>1.635</v>
      </c>
      <c r="AA23" s="23">
        <f>(0.056*J13)+1.635</f>
        <v>1.635</v>
      </c>
      <c r="AB23" s="23">
        <f>(0.056*J14)+1.635</f>
        <v>1.635</v>
      </c>
      <c r="AC23" s="23">
        <f>(0.056*J15)+1.635</f>
        <v>1.635</v>
      </c>
      <c r="AG23" s="98"/>
    </row>
    <row r="24" spans="1:33" hidden="1">
      <c r="A24" s="28"/>
      <c r="C24" s="157" t="s">
        <v>175</v>
      </c>
      <c r="H24" s="5" t="s">
        <v>165</v>
      </c>
      <c r="I24" s="6" t="s">
        <v>176</v>
      </c>
      <c r="J24" s="6" t="s">
        <v>167</v>
      </c>
      <c r="K24" s="22">
        <f>(0.1*$J$8)+2.04</f>
        <v>2.04</v>
      </c>
      <c r="L24" s="22">
        <f>(0.1*$J$9)+2.04</f>
        <v>2.04</v>
      </c>
      <c r="M24" s="22">
        <f>(0.1*$J$10)+2.04</f>
        <v>2.04</v>
      </c>
      <c r="N24" s="22">
        <f>(0.1*$J$11)+2.04</f>
        <v>2.04</v>
      </c>
      <c r="O24" s="22">
        <f>(0.1*$J$12)+2.04</f>
        <v>2.04</v>
      </c>
      <c r="P24" s="22">
        <f>(0.1*$J$13)+2.04</f>
        <v>2.04</v>
      </c>
      <c r="Q24" s="22">
        <f>(0.1*$J$14)+2.04</f>
        <v>2.04</v>
      </c>
      <c r="R24" s="22">
        <f>(0.1*$J$15)+2.04</f>
        <v>2.04</v>
      </c>
      <c r="S24" s="5" t="s">
        <v>165</v>
      </c>
      <c r="T24" s="6" t="s">
        <v>176</v>
      </c>
      <c r="U24" s="6" t="s">
        <v>177</v>
      </c>
      <c r="V24" s="23">
        <f>(0.06*J8)+1.416</f>
        <v>1.4159999999999999</v>
      </c>
      <c r="W24" s="23">
        <f>(0.06*J9)+1.416</f>
        <v>1.4159999999999999</v>
      </c>
      <c r="X24" s="23">
        <f>(0.06*J10)+1.416</f>
        <v>1.4159999999999999</v>
      </c>
      <c r="Y24" s="23">
        <f>(0.06*J11)+1.416</f>
        <v>1.4159999999999999</v>
      </c>
      <c r="Z24" s="23">
        <f>(0.06*J12)+1.416</f>
        <v>1.4159999999999999</v>
      </c>
      <c r="AA24" s="23">
        <f>(0.06*J13)+1.416</f>
        <v>1.4159999999999999</v>
      </c>
      <c r="AB24" s="23">
        <f>(0.06*J14)+1.416</f>
        <v>1.4159999999999999</v>
      </c>
      <c r="AC24" s="23">
        <f>(0.06*J15)+1.416</f>
        <v>1.4159999999999999</v>
      </c>
      <c r="AG24" s="98"/>
    </row>
    <row r="25" spans="1:33" hidden="1">
      <c r="A25" s="28"/>
      <c r="C25" s="8">
        <v>365</v>
      </c>
      <c r="H25" s="5" t="s">
        <v>178</v>
      </c>
      <c r="I25" s="6" t="s">
        <v>166</v>
      </c>
      <c r="J25" s="6" t="s">
        <v>179</v>
      </c>
      <c r="K25" s="22">
        <f>(0.12*J8)+3.34</f>
        <v>3.34</v>
      </c>
      <c r="L25" s="22">
        <f>(0.12*$J9)+3.34</f>
        <v>3.34</v>
      </c>
      <c r="M25" s="22">
        <f>(0.12*$J10)+3.34</f>
        <v>3.34</v>
      </c>
      <c r="N25" s="22">
        <f>(0.12*$J11)+3.34</f>
        <v>3.34</v>
      </c>
      <c r="O25" s="22">
        <f>(0.12*$J12)+3.34</f>
        <v>3.34</v>
      </c>
      <c r="P25" s="22">
        <f>(0.12*$J13)+3.34</f>
        <v>3.34</v>
      </c>
      <c r="Q25" s="22">
        <f>(0.12*$J14)+3.34</f>
        <v>3.34</v>
      </c>
      <c r="R25" s="22">
        <f>(0.12*$J15)+3.34</f>
        <v>3.34</v>
      </c>
      <c r="S25" s="5" t="s">
        <v>178</v>
      </c>
      <c r="T25" s="6" t="s">
        <v>166</v>
      </c>
      <c r="U25" s="6" t="s">
        <v>180</v>
      </c>
      <c r="V25" s="23">
        <f>(0.118*J8)+1.382</f>
        <v>1.3819999999999999</v>
      </c>
      <c r="W25" s="23">
        <f>(0.118*J9)+1.382</f>
        <v>1.3819999999999999</v>
      </c>
      <c r="X25" s="23">
        <f>(0.118*J10)+1.382</f>
        <v>1.3819999999999999</v>
      </c>
      <c r="Y25" s="23">
        <f>(0.118*J11)+1.382</f>
        <v>1.3819999999999999</v>
      </c>
      <c r="Z25" s="23">
        <f>(0.118*J12)+1.382</f>
        <v>1.3819999999999999</v>
      </c>
      <c r="AA25" s="23">
        <f>(0.118*J13)+1.382</f>
        <v>1.3819999999999999</v>
      </c>
      <c r="AB25" s="23">
        <f>(0.118*J14)+1.382</f>
        <v>1.3819999999999999</v>
      </c>
      <c r="AC25" s="23">
        <f>(0.118*J15)+1.382</f>
        <v>1.3819999999999999</v>
      </c>
      <c r="AG25" s="98"/>
    </row>
    <row r="26" spans="1:33" hidden="1">
      <c r="A26" s="28"/>
      <c r="H26" s="5" t="s">
        <v>178</v>
      </c>
      <c r="I26" s="6" t="s">
        <v>171</v>
      </c>
      <c r="J26" s="6" t="s">
        <v>179</v>
      </c>
      <c r="K26" s="22">
        <f>(0.12*J8)+3.34</f>
        <v>3.34</v>
      </c>
      <c r="L26" s="22">
        <f>(0.12*$J9)+3.34</f>
        <v>3.34</v>
      </c>
      <c r="M26" s="22">
        <f>(0.12*$J10)+3.34</f>
        <v>3.34</v>
      </c>
      <c r="N26" s="22">
        <f>(0.12*$J11)+3.34</f>
        <v>3.34</v>
      </c>
      <c r="O26" s="22">
        <f>(0.12*$J12)+3.34</f>
        <v>3.34</v>
      </c>
      <c r="P26" s="22">
        <f>(0.12*$J13)+3.34</f>
        <v>3.34</v>
      </c>
      <c r="Q26" s="22">
        <f>(0.12*$J14)+3.34</f>
        <v>3.34</v>
      </c>
      <c r="R26" s="22">
        <f>(0.12*$J15)+3.34</f>
        <v>3.34</v>
      </c>
      <c r="S26" s="5" t="s">
        <v>178</v>
      </c>
      <c r="T26" s="6" t="s">
        <v>171</v>
      </c>
      <c r="U26" s="6" t="s">
        <v>181</v>
      </c>
      <c r="V26" s="23">
        <f>(0.14*J8)+1.05</f>
        <v>1.05</v>
      </c>
      <c r="W26" s="23">
        <f>(0.14*J9)+1.05</f>
        <v>1.05</v>
      </c>
      <c r="X26" s="23">
        <f>(0.14*J10)+1.05</f>
        <v>1.05</v>
      </c>
      <c r="Y26" s="23">
        <f>(0.14*J11)+1.05</f>
        <v>1.05</v>
      </c>
      <c r="Z26" s="23">
        <f>(0.14*J12)+1.05</f>
        <v>1.05</v>
      </c>
      <c r="AA26" s="23">
        <f>(0.14*J13)+1.05</f>
        <v>1.05</v>
      </c>
      <c r="AB26" s="23">
        <f>(0.14*J14)+1.05</f>
        <v>1.05</v>
      </c>
      <c r="AC26" s="23">
        <f>(0.14*J15)+1.05</f>
        <v>1.05</v>
      </c>
      <c r="AG26" s="98"/>
    </row>
    <row r="27" spans="1:33" hidden="1">
      <c r="A27" s="28"/>
      <c r="C27" s="13" t="s">
        <v>182</v>
      </c>
      <c r="H27" s="5" t="s">
        <v>178</v>
      </c>
      <c r="I27" s="6" t="s">
        <v>173</v>
      </c>
      <c r="J27" s="6" t="s">
        <v>179</v>
      </c>
      <c r="K27" s="22">
        <f>(0.12*J8)+3.34</f>
        <v>3.34</v>
      </c>
      <c r="L27" s="22">
        <f>(0.12*J9)+3.34</f>
        <v>3.34</v>
      </c>
      <c r="M27" s="22">
        <f>(0.12*J10)+3.34</f>
        <v>3.34</v>
      </c>
      <c r="N27" s="22">
        <f>(0.12*J11)+3.34</f>
        <v>3.34</v>
      </c>
      <c r="O27" s="22">
        <f>(0.12*J12)+3.34</f>
        <v>3.34</v>
      </c>
      <c r="P27" s="22">
        <f>(0.12*J13)+3.34</f>
        <v>3.34</v>
      </c>
      <c r="Q27" s="22">
        <f>(0.12*J14)+3.34</f>
        <v>3.34</v>
      </c>
      <c r="R27" s="22">
        <f>(0.12*J15)+3.34</f>
        <v>3.34</v>
      </c>
      <c r="S27" s="5" t="s">
        <v>178</v>
      </c>
      <c r="T27" s="6" t="s">
        <v>173</v>
      </c>
      <c r="U27" s="6" t="s">
        <v>183</v>
      </c>
      <c r="V27" s="23">
        <f>(0.088*J8)+2.625</f>
        <v>2.625</v>
      </c>
      <c r="W27" s="23">
        <f>(0.088*J9)+2.625</f>
        <v>2.625</v>
      </c>
      <c r="X27" s="23">
        <f>(0.088*J10)+2.625</f>
        <v>2.625</v>
      </c>
      <c r="Y27" s="23">
        <f>(0.088*J11)+2.625</f>
        <v>2.625</v>
      </c>
      <c r="Z27" s="23">
        <f>(0.088*J12)+2.625</f>
        <v>2.625</v>
      </c>
      <c r="AA27" s="23">
        <f>(0.088*J13)+2.625</f>
        <v>2.625</v>
      </c>
      <c r="AB27" s="23">
        <f>(0.088*J14)+2.625</f>
        <v>2.625</v>
      </c>
      <c r="AC27" s="23">
        <f>(0.088*J15)+2.625</f>
        <v>2.625</v>
      </c>
      <c r="AG27" s="98"/>
    </row>
    <row r="28" spans="1:33" hidden="1">
      <c r="A28" s="28"/>
      <c r="C28" s="83">
        <v>50</v>
      </c>
      <c r="D28" s="13" t="s">
        <v>184</v>
      </c>
      <c r="E28" s="275"/>
      <c r="F28" s="275"/>
      <c r="H28" s="5" t="s">
        <v>178</v>
      </c>
      <c r="I28" s="6" t="s">
        <v>176</v>
      </c>
      <c r="J28" s="6" t="s">
        <v>179</v>
      </c>
      <c r="K28" s="22">
        <f>(0.12*J8)+3.34</f>
        <v>3.34</v>
      </c>
      <c r="L28" s="22">
        <f>(0.12*J9)+3.34</f>
        <v>3.34</v>
      </c>
      <c r="M28" s="22">
        <f>(0.12*J10)+3.34</f>
        <v>3.34</v>
      </c>
      <c r="N28" s="22">
        <f>(0.12*J11)+3.34</f>
        <v>3.34</v>
      </c>
      <c r="O28" s="22">
        <f>(0.12*J12)+3.34</f>
        <v>3.34</v>
      </c>
      <c r="P28" s="22">
        <f>(0.12*J13)+3.34</f>
        <v>3.34</v>
      </c>
      <c r="Q28" s="22">
        <f>(0.12*J14)+3.34</f>
        <v>3.34</v>
      </c>
      <c r="R28" s="22">
        <f>(0.12*J15)+3.34</f>
        <v>3.34</v>
      </c>
      <c r="S28" s="5" t="s">
        <v>178</v>
      </c>
      <c r="T28" s="6" t="s">
        <v>176</v>
      </c>
      <c r="U28" s="6" t="s">
        <v>185</v>
      </c>
      <c r="V28" s="23">
        <f>(0.11*J8)+1.5</f>
        <v>1.5</v>
      </c>
      <c r="W28" s="23">
        <f>(0.11*J9)+1.5</f>
        <v>1.5</v>
      </c>
      <c r="X28" s="23">
        <f>(0.11*J10)+1.5</f>
        <v>1.5</v>
      </c>
      <c r="Y28" s="23">
        <f>(0.11*J11)+1.5</f>
        <v>1.5</v>
      </c>
      <c r="Z28" s="23">
        <f>(0.11*J12)+1.5</f>
        <v>1.5</v>
      </c>
      <c r="AA28" s="23">
        <f>(0.11*J13)+1.5</f>
        <v>1.5</v>
      </c>
      <c r="AB28" s="23">
        <f>(0.11*J14)+1.5</f>
        <v>1.5</v>
      </c>
      <c r="AC28" s="23">
        <f>(0.11*J15)+1.5</f>
        <v>1.5</v>
      </c>
      <c r="AG28" s="98"/>
    </row>
    <row r="29" spans="1:33" hidden="1">
      <c r="A29" s="28"/>
      <c r="C29" s="35"/>
      <c r="H29" s="247"/>
      <c r="I29" s="34"/>
      <c r="J29" s="34"/>
      <c r="K29" s="36"/>
      <c r="L29" s="36"/>
      <c r="M29" s="36"/>
      <c r="N29" s="36"/>
      <c r="O29" s="36"/>
      <c r="P29" s="36"/>
      <c r="Q29" s="36"/>
      <c r="R29" s="36"/>
      <c r="S29" s="247"/>
      <c r="T29" s="34"/>
      <c r="U29" s="34"/>
      <c r="V29" s="143"/>
      <c r="W29" s="143"/>
      <c r="X29" s="143"/>
      <c r="Y29" s="143"/>
      <c r="Z29" s="143"/>
      <c r="AA29" s="143"/>
      <c r="AB29" s="143"/>
      <c r="AC29" s="143"/>
      <c r="AG29" s="98"/>
    </row>
    <row r="30" spans="1:33" hidden="1">
      <c r="A30" s="28"/>
      <c r="C30" s="13" t="s">
        <v>186</v>
      </c>
      <c r="H30" s="161" t="s">
        <v>187</v>
      </c>
      <c r="I30" s="162">
        <v>42887</v>
      </c>
      <c r="J30" s="276"/>
      <c r="K30" s="276"/>
      <c r="L30" s="276"/>
      <c r="M30" s="276"/>
      <c r="N30" s="276"/>
      <c r="O30" s="276"/>
      <c r="P30" s="276"/>
      <c r="Q30" s="276"/>
      <c r="R30" s="277"/>
      <c r="S30" s="161" t="s">
        <v>159</v>
      </c>
      <c r="T30" s="276"/>
      <c r="U30" s="276"/>
      <c r="V30" s="276"/>
      <c r="W30" s="276"/>
      <c r="X30" s="276"/>
      <c r="Y30" s="276"/>
      <c r="Z30" s="276"/>
      <c r="AA30" s="276"/>
      <c r="AB30" s="276"/>
      <c r="AC30" s="277"/>
      <c r="AG30" s="98"/>
    </row>
    <row r="31" spans="1:33" ht="30" hidden="1">
      <c r="A31" s="28"/>
      <c r="C31" s="5">
        <v>12</v>
      </c>
      <c r="H31" s="249" t="s">
        <v>160</v>
      </c>
      <c r="I31" s="250" t="s">
        <v>161</v>
      </c>
      <c r="J31" s="249" t="s">
        <v>162</v>
      </c>
      <c r="K31" s="250">
        <v>1</v>
      </c>
      <c r="L31" s="250">
        <v>2</v>
      </c>
      <c r="M31" s="250">
        <v>3</v>
      </c>
      <c r="N31" s="250">
        <v>4</v>
      </c>
      <c r="O31" s="250">
        <v>5</v>
      </c>
      <c r="P31" s="250">
        <v>6</v>
      </c>
      <c r="Q31" s="250">
        <v>7</v>
      </c>
      <c r="R31" s="250">
        <v>8</v>
      </c>
      <c r="S31" s="249" t="s">
        <v>160</v>
      </c>
      <c r="T31" s="250" t="s">
        <v>161</v>
      </c>
      <c r="U31" s="249" t="s">
        <v>163</v>
      </c>
      <c r="V31" s="250">
        <v>1</v>
      </c>
      <c r="W31" s="250">
        <v>2</v>
      </c>
      <c r="X31" s="250">
        <v>3</v>
      </c>
      <c r="Y31" s="250">
        <v>4</v>
      </c>
      <c r="Z31" s="250">
        <v>5</v>
      </c>
      <c r="AA31" s="250">
        <v>6</v>
      </c>
      <c r="AB31" s="250">
        <v>7</v>
      </c>
      <c r="AC31" s="250">
        <v>8</v>
      </c>
      <c r="AG31" s="98"/>
    </row>
    <row r="32" spans="1:33" hidden="1">
      <c r="A32" s="28"/>
      <c r="C32" s="35"/>
      <c r="H32" s="5" t="s">
        <v>165</v>
      </c>
      <c r="I32" s="6" t="s">
        <v>166</v>
      </c>
      <c r="J32" s="6" t="s">
        <v>188</v>
      </c>
      <c r="K32" s="22">
        <f>(0.05*$J$8)+1.36</f>
        <v>1.36</v>
      </c>
      <c r="L32" s="22">
        <f>(0.05*$J$9)+1.36</f>
        <v>1.36</v>
      </c>
      <c r="M32" s="22">
        <f>(0.05*$J$10)+1.36</f>
        <v>1.36</v>
      </c>
      <c r="N32" s="22">
        <f>(0.05*$J$11)+1.36</f>
        <v>1.36</v>
      </c>
      <c r="O32" s="22">
        <f>(0.05*$J$12)+1.36</f>
        <v>1.36</v>
      </c>
      <c r="P32" s="22">
        <f>(0.05*$J$13)+1.36</f>
        <v>1.36</v>
      </c>
      <c r="Q32" s="22">
        <f>(0.05*$J$14)+1.36</f>
        <v>1.36</v>
      </c>
      <c r="R32" s="22">
        <f>(0.05*$J$15)+1.36</f>
        <v>1.36</v>
      </c>
      <c r="S32" s="5" t="s">
        <v>165</v>
      </c>
      <c r="T32" s="6" t="s">
        <v>166</v>
      </c>
      <c r="U32" s="6" t="s">
        <v>189</v>
      </c>
      <c r="V32" s="23">
        <f>0.022*J8+0.97</f>
        <v>0.97</v>
      </c>
      <c r="W32" s="23">
        <f>0.022*J9+0.97</f>
        <v>0.97</v>
      </c>
      <c r="X32" s="23">
        <f>0.022*J10+0.97</f>
        <v>0.97</v>
      </c>
      <c r="Y32" s="23">
        <f>0.022*J11+0.97</f>
        <v>0.97</v>
      </c>
      <c r="Z32" s="23">
        <f>0.022*J12+0.97</f>
        <v>0.97</v>
      </c>
      <c r="AA32" s="23">
        <f>0.022*J13+0.97</f>
        <v>0.97</v>
      </c>
      <c r="AB32" s="23">
        <f>0.022*J14+0.97</f>
        <v>0.97</v>
      </c>
      <c r="AC32" s="23">
        <f>0.022*J15+0.97</f>
        <v>0.97</v>
      </c>
      <c r="AG32" s="98"/>
    </row>
    <row r="33" spans="1:33" hidden="1">
      <c r="A33" s="28"/>
      <c r="C33" s="251" t="s">
        <v>190</v>
      </c>
      <c r="H33" s="5" t="s">
        <v>165</v>
      </c>
      <c r="I33" s="6" t="s">
        <v>171</v>
      </c>
      <c r="J33" s="6" t="s">
        <v>188</v>
      </c>
      <c r="K33" s="22">
        <f>(0.05*$J$8)+1.36</f>
        <v>1.36</v>
      </c>
      <c r="L33" s="22">
        <f>(0.05*$J$9)+1.36</f>
        <v>1.36</v>
      </c>
      <c r="M33" s="22">
        <f>(0.05*$J$10)+1.36</f>
        <v>1.36</v>
      </c>
      <c r="N33" s="22">
        <f>(0.05*$J$11)+1.36</f>
        <v>1.36</v>
      </c>
      <c r="O33" s="22">
        <f>(0.05*$J$12)+1.36</f>
        <v>1.36</v>
      </c>
      <c r="P33" s="22">
        <f>(0.05*$J$13)+1.36</f>
        <v>1.36</v>
      </c>
      <c r="Q33" s="22">
        <f>(0.05*$J$14)+1.36</f>
        <v>1.36</v>
      </c>
      <c r="R33" s="22">
        <f>(0.05*$J$15)+1.36</f>
        <v>1.36</v>
      </c>
      <c r="S33" s="5" t="s">
        <v>165</v>
      </c>
      <c r="T33" s="6" t="s">
        <v>171</v>
      </c>
      <c r="U33" s="6" t="s">
        <v>191</v>
      </c>
      <c r="V33" s="23">
        <f>0.066*J8+0.31</f>
        <v>0.31</v>
      </c>
      <c r="W33" s="23">
        <f>0.066*J9+0.31</f>
        <v>0.31</v>
      </c>
      <c r="X33" s="23">
        <f>0.066*J10+0.31</f>
        <v>0.31</v>
      </c>
      <c r="Y33" s="23">
        <f>0.066*J11+0.31</f>
        <v>0.31</v>
      </c>
      <c r="Z33" s="23">
        <f>0.066*J12+0.31</f>
        <v>0.31</v>
      </c>
      <c r="AA33" s="23">
        <f>0.066*J13+0.31</f>
        <v>0.31</v>
      </c>
      <c r="AB33" s="23">
        <f>0.066*J14+0.31</f>
        <v>0.31</v>
      </c>
      <c r="AC33" s="23">
        <f>0.066*J15+0.31</f>
        <v>0.31</v>
      </c>
      <c r="AG33" s="98"/>
    </row>
    <row r="34" spans="1:33" hidden="1">
      <c r="A34" s="28"/>
      <c r="C34" s="22" t="str">
        <f>IF('Project Summary'!$C$12="", "PY9-PY12", IF('Project Summary'!$C$12&lt;=I30, "PY8", "PY9-PY12"))</f>
        <v>PY9-PY12</v>
      </c>
      <c r="H34" s="5" t="s">
        <v>165</v>
      </c>
      <c r="I34" s="6" t="s">
        <v>173</v>
      </c>
      <c r="J34" s="6" t="s">
        <v>188</v>
      </c>
      <c r="K34" s="22">
        <f>(0.05*$J$8)+1.36</f>
        <v>1.36</v>
      </c>
      <c r="L34" s="22">
        <f>(0.05*$J$9)+1.36</f>
        <v>1.36</v>
      </c>
      <c r="M34" s="22">
        <f>(0.05*$J$10)+1.36</f>
        <v>1.36</v>
      </c>
      <c r="N34" s="22">
        <f>(0.05*$J$11)+1.36</f>
        <v>1.36</v>
      </c>
      <c r="O34" s="22">
        <f>(0.05*$J$12)+1.36</f>
        <v>1.36</v>
      </c>
      <c r="P34" s="22">
        <f>(0.05*$J$13)+1.36</f>
        <v>1.36</v>
      </c>
      <c r="Q34" s="22">
        <f>(0.05*$J$14)+1.36</f>
        <v>1.36</v>
      </c>
      <c r="R34" s="22">
        <f>(0.05*$J$15)+1.36</f>
        <v>1.36</v>
      </c>
      <c r="S34" s="5" t="s">
        <v>165</v>
      </c>
      <c r="T34" s="6" t="s">
        <v>173</v>
      </c>
      <c r="U34" s="6" t="s">
        <v>192</v>
      </c>
      <c r="V34" s="23">
        <f>0.04*J8+1.09</f>
        <v>1.0900000000000001</v>
      </c>
      <c r="W34" s="23">
        <f>0.04*J9+1.09</f>
        <v>1.0900000000000001</v>
      </c>
      <c r="X34" s="23">
        <f>0.04*J10+1.09</f>
        <v>1.0900000000000001</v>
      </c>
      <c r="Y34" s="23">
        <f>0.04*J11+1.09</f>
        <v>1.0900000000000001</v>
      </c>
      <c r="Z34" s="23">
        <f>0.04*J12+1.09</f>
        <v>1.0900000000000001</v>
      </c>
      <c r="AA34" s="23">
        <f>0.04*J13+1.09</f>
        <v>1.0900000000000001</v>
      </c>
      <c r="AB34" s="23">
        <f>0.04*J14+1.09</f>
        <v>1.0900000000000001</v>
      </c>
      <c r="AC34" s="23">
        <f>0.04*J15+1.09</f>
        <v>1.0900000000000001</v>
      </c>
      <c r="AG34" s="98"/>
    </row>
    <row r="35" spans="1:33" hidden="1">
      <c r="A35" s="28"/>
      <c r="C35" s="35"/>
      <c r="H35" s="5" t="s">
        <v>165</v>
      </c>
      <c r="I35" s="6" t="s">
        <v>176</v>
      </c>
      <c r="J35" s="6" t="s">
        <v>188</v>
      </c>
      <c r="K35" s="22">
        <f>(0.05*$J$8)+1.36</f>
        <v>1.36</v>
      </c>
      <c r="L35" s="22">
        <f>(0.05*$J$9)+1.36</f>
        <v>1.36</v>
      </c>
      <c r="M35" s="22">
        <f>(0.05*$J$10)+1.36</f>
        <v>1.36</v>
      </c>
      <c r="N35" s="22">
        <f>(0.05*$J$11)+1.36</f>
        <v>1.36</v>
      </c>
      <c r="O35" s="22">
        <f>(0.05*$J$12)+1.36</f>
        <v>1.36</v>
      </c>
      <c r="P35" s="22">
        <f>(0.05*$J$13)+1.36</f>
        <v>1.36</v>
      </c>
      <c r="Q35" s="22">
        <f>(0.05*$J$14)+1.36</f>
        <v>1.36</v>
      </c>
      <c r="R35" s="22">
        <f>(0.05*$J$15)+1.36</f>
        <v>1.36</v>
      </c>
      <c r="S35" s="5" t="s">
        <v>165</v>
      </c>
      <c r="T35" s="6" t="s">
        <v>176</v>
      </c>
      <c r="U35" s="6" t="s">
        <v>193</v>
      </c>
      <c r="V35" s="23">
        <f>0.024*J8+1.89</f>
        <v>1.89</v>
      </c>
      <c r="W35" s="23">
        <f>0.024*J9+1.89</f>
        <v>1.89</v>
      </c>
      <c r="X35" s="23">
        <f>0.024*J10+1.89</f>
        <v>1.89</v>
      </c>
      <c r="Y35" s="23">
        <f>0.024*J11+1.89</f>
        <v>1.89</v>
      </c>
      <c r="Z35" s="23">
        <f>0.024*J12+1.89</f>
        <v>1.89</v>
      </c>
      <c r="AA35" s="23">
        <f>0.024*J13+1.89</f>
        <v>1.89</v>
      </c>
      <c r="AB35" s="23">
        <f>0.024*J14+1.89</f>
        <v>1.89</v>
      </c>
      <c r="AC35" s="23">
        <f>0.024*J15+1.89</f>
        <v>1.89</v>
      </c>
      <c r="AG35" s="98"/>
    </row>
    <row r="36" spans="1:33" hidden="1">
      <c r="A36" s="28"/>
      <c r="C36" s="35"/>
      <c r="H36" s="5" t="s">
        <v>178</v>
      </c>
      <c r="I36" s="6" t="s">
        <v>166</v>
      </c>
      <c r="J36" s="6" t="s">
        <v>194</v>
      </c>
      <c r="K36" s="22">
        <f>(0.1*$J$8)+0.86</f>
        <v>0.86</v>
      </c>
      <c r="L36" s="22">
        <f>(0.1*$J$9)+0.86</f>
        <v>0.86</v>
      </c>
      <c r="M36" s="22">
        <f>(0.1*$J$10)+0.86</f>
        <v>0.86</v>
      </c>
      <c r="N36" s="22">
        <f>(0.1*$J$11)+0.86</f>
        <v>0.86</v>
      </c>
      <c r="O36" s="22">
        <f>(0.1*$J$12)+0.86</f>
        <v>0.86</v>
      </c>
      <c r="P36" s="22">
        <f>(0.1*$J$13)+0.86</f>
        <v>0.86</v>
      </c>
      <c r="Q36" s="22">
        <f>(0.1*$J$14)+0.86</f>
        <v>0.86</v>
      </c>
      <c r="R36" s="22">
        <f>(0.1*$J$15)+0.86</f>
        <v>0.86</v>
      </c>
      <c r="S36" s="5" t="s">
        <v>178</v>
      </c>
      <c r="T36" s="6" t="s">
        <v>166</v>
      </c>
      <c r="U36" s="6" t="s">
        <v>195</v>
      </c>
      <c r="V36" s="23">
        <f>0.095*J8+0.445</f>
        <v>0.44500000000000001</v>
      </c>
      <c r="W36" s="23">
        <f>0.095*J9+0.445</f>
        <v>0.44500000000000001</v>
      </c>
      <c r="X36" s="23">
        <f>0.095*J10+0.445</f>
        <v>0.44500000000000001</v>
      </c>
      <c r="Y36" s="23">
        <f>0.095*J11+0.445</f>
        <v>0.44500000000000001</v>
      </c>
      <c r="Z36" s="23">
        <f>0.095*J12+0.445</f>
        <v>0.44500000000000001</v>
      </c>
      <c r="AA36" s="23">
        <f>0.095*J13+0.445</f>
        <v>0.44500000000000001</v>
      </c>
      <c r="AB36" s="23">
        <f>0.095*J14+0.445</f>
        <v>0.44500000000000001</v>
      </c>
      <c r="AC36" s="23">
        <f>0.095*J15+0.445</f>
        <v>0.44500000000000001</v>
      </c>
      <c r="AG36" s="98"/>
    </row>
    <row r="37" spans="1:33" hidden="1">
      <c r="A37" s="28"/>
      <c r="C37" s="35"/>
      <c r="H37" s="5" t="s">
        <v>178</v>
      </c>
      <c r="I37" s="6" t="s">
        <v>171</v>
      </c>
      <c r="J37" s="6" t="s">
        <v>194</v>
      </c>
      <c r="K37" s="22">
        <f>(0.1*$J$8)+0.86</f>
        <v>0.86</v>
      </c>
      <c r="L37" s="22">
        <f>(0.1*$J$9)+0.86</f>
        <v>0.86</v>
      </c>
      <c r="M37" s="22">
        <f>(0.1*$J$10)+0.86</f>
        <v>0.86</v>
      </c>
      <c r="N37" s="22">
        <f>(0.1*$J$11)+0.86</f>
        <v>0.86</v>
      </c>
      <c r="O37" s="22">
        <f>(0.1*$J$12)+0.86</f>
        <v>0.86</v>
      </c>
      <c r="P37" s="22">
        <f>(0.1*$J$13)+0.86</f>
        <v>0.86</v>
      </c>
      <c r="Q37" s="22">
        <f>(0.1*$J$14)+0.86</f>
        <v>0.86</v>
      </c>
      <c r="R37" s="22">
        <f>(0.1*$J$15)+0.86</f>
        <v>0.86</v>
      </c>
      <c r="S37" s="5" t="s">
        <v>178</v>
      </c>
      <c r="T37" s="6" t="s">
        <v>171</v>
      </c>
      <c r="U37" s="6" t="s">
        <v>196</v>
      </c>
      <c r="V37" s="23">
        <f>0.05*J8+1.12</f>
        <v>1.1200000000000001</v>
      </c>
      <c r="W37" s="23">
        <f>0.05*J9+1.12</f>
        <v>1.1200000000000001</v>
      </c>
      <c r="X37" s="23">
        <f>0.05*J10+1.12</f>
        <v>1.1200000000000001</v>
      </c>
      <c r="Y37" s="23">
        <f>0.05*J11+1.12</f>
        <v>1.1200000000000001</v>
      </c>
      <c r="Z37" s="23">
        <f>0.05*J12+1.12</f>
        <v>1.1200000000000001</v>
      </c>
      <c r="AA37" s="23">
        <f>0.05*J13+1.12</f>
        <v>1.1200000000000001</v>
      </c>
      <c r="AB37" s="23">
        <f>0.05*J14+1.12</f>
        <v>1.1200000000000001</v>
      </c>
      <c r="AC37" s="23">
        <f>0.05*J15+1.12</f>
        <v>1.1200000000000001</v>
      </c>
      <c r="AG37" s="98"/>
    </row>
    <row r="38" spans="1:33" hidden="1">
      <c r="A38" s="28"/>
      <c r="C38" s="35"/>
      <c r="H38" s="5" t="s">
        <v>178</v>
      </c>
      <c r="I38" s="6" t="s">
        <v>173</v>
      </c>
      <c r="J38" s="6" t="s">
        <v>194</v>
      </c>
      <c r="K38" s="22">
        <f>(0.1*$J$8)+0.86</f>
        <v>0.86</v>
      </c>
      <c r="L38" s="22">
        <f>(0.1*$J$9)+0.86</f>
        <v>0.86</v>
      </c>
      <c r="M38" s="22">
        <f>(0.1*$J$10)+0.86</f>
        <v>0.86</v>
      </c>
      <c r="N38" s="22">
        <f>(0.1*$J$11)+0.86</f>
        <v>0.86</v>
      </c>
      <c r="O38" s="22">
        <f>(0.1*$J$12)+0.86</f>
        <v>0.86</v>
      </c>
      <c r="P38" s="22">
        <f>(0.1*$J$13)+0.86</f>
        <v>0.86</v>
      </c>
      <c r="Q38" s="22">
        <f>(0.1*$J$14)+0.86</f>
        <v>0.86</v>
      </c>
      <c r="R38" s="22">
        <f>(0.1*$J$15)+0.86</f>
        <v>0.86</v>
      </c>
      <c r="S38" s="5" t="s">
        <v>178</v>
      </c>
      <c r="T38" s="6" t="s">
        <v>173</v>
      </c>
      <c r="U38" s="6" t="s">
        <v>197</v>
      </c>
      <c r="V38" s="23">
        <f>0.076*J8+0.34</f>
        <v>0.34</v>
      </c>
      <c r="W38" s="23">
        <f>0.076*J9+0.34</f>
        <v>0.34</v>
      </c>
      <c r="X38" s="23">
        <f>0.076*J10+0.34</f>
        <v>0.34</v>
      </c>
      <c r="Y38" s="23">
        <f>0.076*J11+0.34</f>
        <v>0.34</v>
      </c>
      <c r="Z38" s="23">
        <f>0.076*J12+0.34</f>
        <v>0.34</v>
      </c>
      <c r="AA38" s="23">
        <f>0.076*J13+0.34</f>
        <v>0.34</v>
      </c>
      <c r="AB38" s="23">
        <f>0.076*J14+0.34</f>
        <v>0.34</v>
      </c>
      <c r="AC38" s="23">
        <f>0.076*J15+0.34</f>
        <v>0.34</v>
      </c>
      <c r="AG38" s="98"/>
    </row>
    <row r="39" spans="1:33" hidden="1">
      <c r="A39" s="28"/>
      <c r="C39" s="35"/>
      <c r="H39" s="5" t="s">
        <v>178</v>
      </c>
      <c r="I39" s="6" t="s">
        <v>176</v>
      </c>
      <c r="J39" s="6" t="s">
        <v>194</v>
      </c>
      <c r="K39" s="22">
        <f>(0.1*$J$8)+0.86</f>
        <v>0.86</v>
      </c>
      <c r="L39" s="22">
        <f>(0.1*$J$9)+0.86</f>
        <v>0.86</v>
      </c>
      <c r="M39" s="22">
        <f>(0.1*$J$10)+0.86</f>
        <v>0.86</v>
      </c>
      <c r="N39" s="22">
        <f>(0.1*$J$11)+0.86</f>
        <v>0.86</v>
      </c>
      <c r="O39" s="22">
        <f>(0.1*$J$12)+0.86</f>
        <v>0.86</v>
      </c>
      <c r="P39" s="22">
        <f>(0.1*$J$13)+0.86</f>
        <v>0.86</v>
      </c>
      <c r="Q39" s="22">
        <f>(0.1*$J$14)+0.86</f>
        <v>0.86</v>
      </c>
      <c r="R39" s="22">
        <f>(0.1*$J$15)+0.86</f>
        <v>0.86</v>
      </c>
      <c r="S39" s="5" t="s">
        <v>178</v>
      </c>
      <c r="T39" s="6" t="s">
        <v>176</v>
      </c>
      <c r="U39" s="6" t="s">
        <v>198</v>
      </c>
      <c r="V39" s="23">
        <f>(0.105*J8)-1.111</f>
        <v>-1.111</v>
      </c>
      <c r="W39" s="23">
        <f>(0.105*J9)-1.111</f>
        <v>-1.111</v>
      </c>
      <c r="X39" s="23">
        <f>(0.105*J10)-1.111</f>
        <v>-1.111</v>
      </c>
      <c r="Y39" s="23">
        <f>(0.105*J11)-1.111</f>
        <v>-1.111</v>
      </c>
      <c r="Z39" s="23">
        <f>(0.105*J12)-1.111</f>
        <v>-1.111</v>
      </c>
      <c r="AA39" s="23">
        <f>(0.105*J13)-1.111</f>
        <v>-1.111</v>
      </c>
      <c r="AB39" s="23">
        <f>(0.105*J14)-1.111</f>
        <v>-1.111</v>
      </c>
      <c r="AC39" s="23">
        <f>(0.105*J15)-1.111</f>
        <v>-1.111</v>
      </c>
      <c r="AG39" s="98"/>
    </row>
    <row r="40" spans="1:33" hidden="1">
      <c r="A40" s="28"/>
      <c r="C40" s="35"/>
      <c r="H40" s="247"/>
      <c r="I40" s="34"/>
      <c r="J40" s="34"/>
      <c r="K40" s="36"/>
      <c r="L40" s="36"/>
      <c r="M40" s="36"/>
      <c r="N40" s="36"/>
      <c r="O40" s="36"/>
      <c r="P40" s="36"/>
      <c r="Q40" s="36"/>
      <c r="R40" s="36"/>
      <c r="S40" s="247"/>
      <c r="T40" s="34"/>
      <c r="U40" s="34"/>
      <c r="V40" s="143"/>
      <c r="W40" s="143"/>
      <c r="X40" s="143"/>
      <c r="Y40" s="143"/>
      <c r="Z40" s="143"/>
      <c r="AA40" s="143"/>
      <c r="AB40" s="143"/>
      <c r="AC40" s="143"/>
      <c r="AG40" s="98"/>
    </row>
    <row r="41" spans="1:33" hidden="1">
      <c r="A41" s="28"/>
      <c r="C41" s="35"/>
      <c r="H41" s="161" t="s">
        <v>199</v>
      </c>
      <c r="I41" s="162">
        <v>44348</v>
      </c>
      <c r="J41" s="276"/>
      <c r="K41" s="276"/>
      <c r="L41" s="276"/>
      <c r="M41" s="276"/>
      <c r="N41" s="276"/>
      <c r="O41" s="276"/>
      <c r="P41" s="276"/>
      <c r="Q41" s="276"/>
      <c r="R41" s="277"/>
      <c r="S41" s="161" t="s">
        <v>159</v>
      </c>
      <c r="T41" s="276"/>
      <c r="U41" s="276"/>
      <c r="V41" s="276"/>
      <c r="W41" s="276"/>
      <c r="X41" s="276"/>
      <c r="Y41" s="276"/>
      <c r="Z41" s="276"/>
      <c r="AA41" s="276"/>
      <c r="AB41" s="276"/>
      <c r="AC41" s="277"/>
      <c r="AG41" s="98"/>
    </row>
    <row r="42" spans="1:33" ht="30" hidden="1">
      <c r="A42" s="28"/>
      <c r="C42" s="35"/>
      <c r="H42" s="249" t="s">
        <v>160</v>
      </c>
      <c r="I42" s="250" t="s">
        <v>161</v>
      </c>
      <c r="J42" s="249" t="s">
        <v>162</v>
      </c>
      <c r="K42" s="250">
        <v>1</v>
      </c>
      <c r="L42" s="250">
        <v>2</v>
      </c>
      <c r="M42" s="250">
        <v>3</v>
      </c>
      <c r="N42" s="250">
        <v>4</v>
      </c>
      <c r="O42" s="250">
        <v>5</v>
      </c>
      <c r="P42" s="250">
        <v>6</v>
      </c>
      <c r="Q42" s="250">
        <v>7</v>
      </c>
      <c r="R42" s="250">
        <v>8</v>
      </c>
      <c r="S42" s="249" t="s">
        <v>160</v>
      </c>
      <c r="T42" s="250" t="s">
        <v>161</v>
      </c>
      <c r="U42" s="249" t="s">
        <v>163</v>
      </c>
      <c r="V42" s="250">
        <v>1</v>
      </c>
      <c r="W42" s="250">
        <v>2</v>
      </c>
      <c r="X42" s="250">
        <v>3</v>
      </c>
      <c r="Y42" s="250">
        <v>4</v>
      </c>
      <c r="Z42" s="250">
        <v>5</v>
      </c>
      <c r="AA42" s="250">
        <v>6</v>
      </c>
      <c r="AB42" s="250">
        <v>7</v>
      </c>
      <c r="AC42" s="250">
        <v>8</v>
      </c>
      <c r="AG42" s="98"/>
    </row>
    <row r="43" spans="1:33" hidden="1">
      <c r="A43" s="28"/>
      <c r="C43" s="35"/>
      <c r="H43" s="5" t="s">
        <v>165</v>
      </c>
      <c r="I43" s="6" t="s">
        <v>166</v>
      </c>
      <c r="J43" s="6" t="s">
        <v>188</v>
      </c>
      <c r="K43" s="22">
        <f>(0.05*$J$8)+1.36</f>
        <v>1.36</v>
      </c>
      <c r="L43" s="22">
        <f>(0.05*$J$9)+1.36</f>
        <v>1.36</v>
      </c>
      <c r="M43" s="22">
        <f>(0.05*$J$10)+1.36</f>
        <v>1.36</v>
      </c>
      <c r="N43" s="22">
        <f>(0.05*$J$11)+1.36</f>
        <v>1.36</v>
      </c>
      <c r="O43" s="22">
        <f>(0.05*$J$12)+1.36</f>
        <v>1.36</v>
      </c>
      <c r="P43" s="22">
        <f>(0.05*$J$13)+1.36</f>
        <v>1.36</v>
      </c>
      <c r="Q43" s="22">
        <f>(0.05*$J$14)+1.36</f>
        <v>1.36</v>
      </c>
      <c r="R43" s="22">
        <f>(0.05*$J$15)+1.36</f>
        <v>1.36</v>
      </c>
      <c r="S43" s="5" t="s">
        <v>165</v>
      </c>
      <c r="T43" s="6" t="s">
        <v>166</v>
      </c>
      <c r="U43" s="6" t="s">
        <v>189</v>
      </c>
      <c r="V43" s="23">
        <f>0.022*J8+0.97</f>
        <v>0.97</v>
      </c>
      <c r="W43" s="23">
        <f>0.022*J9+0.97</f>
        <v>0.97</v>
      </c>
      <c r="X43" s="23">
        <f>0.022*J10+0.97</f>
        <v>0.97</v>
      </c>
      <c r="Y43" s="23">
        <f>0.022*J11+0.97</f>
        <v>0.97</v>
      </c>
      <c r="Z43" s="23">
        <f>0.022*J12+0.97</f>
        <v>0.97</v>
      </c>
      <c r="AA43" s="23">
        <f>0.022*J13+0.97</f>
        <v>0.97</v>
      </c>
      <c r="AB43" s="23">
        <f>0.022*J14+0.97</f>
        <v>0.97</v>
      </c>
      <c r="AC43" s="23">
        <f>0.022*J15+0.97</f>
        <v>0.97</v>
      </c>
      <c r="AG43" s="98"/>
    </row>
    <row r="44" spans="1:33" hidden="1">
      <c r="A44" s="28"/>
      <c r="C44" s="35"/>
      <c r="H44" s="5" t="s">
        <v>165</v>
      </c>
      <c r="I44" s="6" t="s">
        <v>171</v>
      </c>
      <c r="J44" s="6" t="s">
        <v>188</v>
      </c>
      <c r="K44" s="22">
        <f>(0.05*$J$8)+1.36</f>
        <v>1.36</v>
      </c>
      <c r="L44" s="22">
        <f>(0.05*$J$9)+1.36</f>
        <v>1.36</v>
      </c>
      <c r="M44" s="22">
        <f>(0.05*$J$10)+1.36</f>
        <v>1.36</v>
      </c>
      <c r="N44" s="22">
        <f>(0.05*$J$11)+1.36</f>
        <v>1.36</v>
      </c>
      <c r="O44" s="22">
        <f>(0.05*$J$12)+1.36</f>
        <v>1.36</v>
      </c>
      <c r="P44" s="22">
        <f>(0.05*$J$13)+1.36</f>
        <v>1.36</v>
      </c>
      <c r="Q44" s="22">
        <f>(0.05*$J$14)+1.36</f>
        <v>1.36</v>
      </c>
      <c r="R44" s="22">
        <f>(0.05*$J$15)+1.36</f>
        <v>1.36</v>
      </c>
      <c r="S44" s="5" t="s">
        <v>165</v>
      </c>
      <c r="T44" s="6" t="s">
        <v>171</v>
      </c>
      <c r="U44" s="6" t="s">
        <v>191</v>
      </c>
      <c r="V44" s="23">
        <f>0.066*J8+0.31</f>
        <v>0.31</v>
      </c>
      <c r="W44" s="23">
        <f>0.066*J9+0.31</f>
        <v>0.31</v>
      </c>
      <c r="X44" s="23">
        <f>0.066*J10+0.31</f>
        <v>0.31</v>
      </c>
      <c r="Y44" s="23">
        <f>0.066*J11+0.31</f>
        <v>0.31</v>
      </c>
      <c r="Z44" s="23">
        <f>0.066*J12+0.31</f>
        <v>0.31</v>
      </c>
      <c r="AA44" s="23">
        <f>0.066*J13+0.31</f>
        <v>0.31</v>
      </c>
      <c r="AB44" s="23">
        <f>0.066*J14+0.31</f>
        <v>0.31</v>
      </c>
      <c r="AC44" s="23">
        <f>0.066*J15+0.31</f>
        <v>0.31</v>
      </c>
      <c r="AG44" s="98"/>
    </row>
    <row r="45" spans="1:33" hidden="1">
      <c r="A45" s="28"/>
      <c r="C45" s="35"/>
      <c r="H45" s="5" t="s">
        <v>165</v>
      </c>
      <c r="I45" s="6" t="s">
        <v>173</v>
      </c>
      <c r="J45" s="6" t="s">
        <v>188</v>
      </c>
      <c r="K45" s="22">
        <f>(0.05*$J$8)+1.36</f>
        <v>1.36</v>
      </c>
      <c r="L45" s="22">
        <f>(0.05*$J$9)+1.36</f>
        <v>1.36</v>
      </c>
      <c r="M45" s="22">
        <f>(0.05*$J$10)+1.36</f>
        <v>1.36</v>
      </c>
      <c r="N45" s="22">
        <f>(0.05*$J$11)+1.36</f>
        <v>1.36</v>
      </c>
      <c r="O45" s="22">
        <f>(0.05*$J$12)+1.36</f>
        <v>1.36</v>
      </c>
      <c r="P45" s="22">
        <f>(0.05*$J$13)+1.36</f>
        <v>1.36</v>
      </c>
      <c r="Q45" s="22">
        <f>(0.05*$J$14)+1.36</f>
        <v>1.36</v>
      </c>
      <c r="R45" s="22">
        <f>(0.05*$J$15)+1.36</f>
        <v>1.36</v>
      </c>
      <c r="S45" s="5" t="s">
        <v>165</v>
      </c>
      <c r="T45" s="6" t="s">
        <v>173</v>
      </c>
      <c r="U45" s="6" t="s">
        <v>192</v>
      </c>
      <c r="V45" s="23">
        <f>0.04*J8+1.09</f>
        <v>1.0900000000000001</v>
      </c>
      <c r="W45" s="23">
        <f>0.04*J9+1.09</f>
        <v>1.0900000000000001</v>
      </c>
      <c r="X45" s="23">
        <f>0.04*J10+1.09</f>
        <v>1.0900000000000001</v>
      </c>
      <c r="Y45" s="23">
        <f>0.04*J11+1.09</f>
        <v>1.0900000000000001</v>
      </c>
      <c r="Z45" s="23">
        <f>0.04*J12+1.09</f>
        <v>1.0900000000000001</v>
      </c>
      <c r="AA45" s="23">
        <f>0.04*J13+1.09</f>
        <v>1.0900000000000001</v>
      </c>
      <c r="AB45" s="23">
        <f>0.04*J14+1.09</f>
        <v>1.0900000000000001</v>
      </c>
      <c r="AC45" s="23">
        <f>0.04*J15+1.09</f>
        <v>1.0900000000000001</v>
      </c>
      <c r="AG45" s="98"/>
    </row>
    <row r="46" spans="1:33" hidden="1">
      <c r="A46" s="28"/>
      <c r="C46" s="35"/>
      <c r="H46" s="5" t="s">
        <v>165</v>
      </c>
      <c r="I46" s="6" t="s">
        <v>176</v>
      </c>
      <c r="J46" s="6" t="s">
        <v>188</v>
      </c>
      <c r="K46" s="22">
        <f>(0.05*$J$8)+1.36</f>
        <v>1.36</v>
      </c>
      <c r="L46" s="22">
        <f>(0.05*$J$9)+1.36</f>
        <v>1.36</v>
      </c>
      <c r="M46" s="22">
        <f>(0.05*$J$10)+1.36</f>
        <v>1.36</v>
      </c>
      <c r="N46" s="22">
        <f>(0.05*$J$11)+1.36</f>
        <v>1.36</v>
      </c>
      <c r="O46" s="22">
        <f>(0.05*$J$12)+1.36</f>
        <v>1.36</v>
      </c>
      <c r="P46" s="22">
        <f>(0.05*$J$13)+1.36</f>
        <v>1.36</v>
      </c>
      <c r="Q46" s="22">
        <f>(0.05*$J$14)+1.36</f>
        <v>1.36</v>
      </c>
      <c r="R46" s="22">
        <f>(0.05*$J$15)+1.36</f>
        <v>1.36</v>
      </c>
      <c r="S46" s="5" t="s">
        <v>165</v>
      </c>
      <c r="T46" s="6" t="s">
        <v>176</v>
      </c>
      <c r="U46" s="6" t="s">
        <v>193</v>
      </c>
      <c r="V46" s="23">
        <f>0.024*J8+1.89</f>
        <v>1.89</v>
      </c>
      <c r="W46" s="23">
        <f>0.024*J9+1.89</f>
        <v>1.89</v>
      </c>
      <c r="X46" s="23">
        <f>0.024*J10+1.89</f>
        <v>1.89</v>
      </c>
      <c r="Y46" s="23">
        <f>0.024*J11+1.89</f>
        <v>1.89</v>
      </c>
      <c r="Z46" s="23">
        <f>0.024*J12+1.89</f>
        <v>1.89</v>
      </c>
      <c r="AA46" s="23">
        <f>0.024*J13+1.89</f>
        <v>1.89</v>
      </c>
      <c r="AB46" s="23">
        <f>0.024*J14+1.89</f>
        <v>1.89</v>
      </c>
      <c r="AC46" s="23">
        <f>0.024*J15+1.89</f>
        <v>1.89</v>
      </c>
      <c r="AG46" s="98"/>
    </row>
    <row r="47" spans="1:33" hidden="1">
      <c r="A47" s="28"/>
      <c r="C47" s="35"/>
      <c r="H47" s="5" t="s">
        <v>178</v>
      </c>
      <c r="I47" s="6" t="s">
        <v>166</v>
      </c>
      <c r="J47" s="6" t="s">
        <v>194</v>
      </c>
      <c r="K47" s="22">
        <f>(0.1*$J$8)+0.86</f>
        <v>0.86</v>
      </c>
      <c r="L47" s="22">
        <f>(0.1*$J$9)+0.86</f>
        <v>0.86</v>
      </c>
      <c r="M47" s="22">
        <f>(0.1*$J$10)+0.86</f>
        <v>0.86</v>
      </c>
      <c r="N47" s="22">
        <f>(0.1*$J$11)+0.86</f>
        <v>0.86</v>
      </c>
      <c r="O47" s="22">
        <f>(0.1*$J$12)+0.86</f>
        <v>0.86</v>
      </c>
      <c r="P47" s="22">
        <f>(0.1*$J$13)+0.86</f>
        <v>0.86</v>
      </c>
      <c r="Q47" s="22">
        <f>(0.1*$J$14)+0.86</f>
        <v>0.86</v>
      </c>
      <c r="R47" s="22">
        <f>(0.1*$J$15)+0.86</f>
        <v>0.86</v>
      </c>
      <c r="S47" s="5" t="s">
        <v>178</v>
      </c>
      <c r="T47" s="6" t="s">
        <v>166</v>
      </c>
      <c r="U47" s="6" t="s">
        <v>195</v>
      </c>
      <c r="V47" s="23">
        <f>0.095*J8+0.445</f>
        <v>0.44500000000000001</v>
      </c>
      <c r="W47" s="23">
        <f>0.095*J9+0.445</f>
        <v>0.44500000000000001</v>
      </c>
      <c r="X47" s="23">
        <f>0.095*J10+0.445</f>
        <v>0.44500000000000001</v>
      </c>
      <c r="Y47" s="23">
        <f>0.095*J11+0.445</f>
        <v>0.44500000000000001</v>
      </c>
      <c r="Z47" s="23">
        <f>0.095*J12+0.445</f>
        <v>0.44500000000000001</v>
      </c>
      <c r="AA47" s="23">
        <f>0.095*J13+0.445</f>
        <v>0.44500000000000001</v>
      </c>
      <c r="AB47" s="23">
        <f>0.095*J14+0.445</f>
        <v>0.44500000000000001</v>
      </c>
      <c r="AC47" s="23">
        <f>0.095*J15+0.445</f>
        <v>0.44500000000000001</v>
      </c>
      <c r="AG47" s="98"/>
    </row>
    <row r="48" spans="1:33" hidden="1">
      <c r="A48" s="28"/>
      <c r="C48" s="35"/>
      <c r="H48" s="5" t="s">
        <v>178</v>
      </c>
      <c r="I48" s="6" t="s">
        <v>171</v>
      </c>
      <c r="J48" s="6" t="s">
        <v>194</v>
      </c>
      <c r="K48" s="22">
        <f>(0.1*$J$8)+0.86</f>
        <v>0.86</v>
      </c>
      <c r="L48" s="22">
        <f>(0.1*$J$9)+0.86</f>
        <v>0.86</v>
      </c>
      <c r="M48" s="22">
        <f>(0.1*$J$10)+0.86</f>
        <v>0.86</v>
      </c>
      <c r="N48" s="22">
        <f>(0.1*$J$11)+0.86</f>
        <v>0.86</v>
      </c>
      <c r="O48" s="22">
        <f>(0.1*$J$12)+0.86</f>
        <v>0.86</v>
      </c>
      <c r="P48" s="22">
        <f>(0.1*$J$13)+0.86</f>
        <v>0.86</v>
      </c>
      <c r="Q48" s="22">
        <f>(0.1*$J$14)+0.86</f>
        <v>0.86</v>
      </c>
      <c r="R48" s="22">
        <f>(0.1*$J$15)+0.86</f>
        <v>0.86</v>
      </c>
      <c r="S48" s="5" t="s">
        <v>178</v>
      </c>
      <c r="T48" s="6" t="s">
        <v>171</v>
      </c>
      <c r="U48" s="6" t="s">
        <v>196</v>
      </c>
      <c r="V48" s="23">
        <f>0.05*J8+1.12</f>
        <v>1.1200000000000001</v>
      </c>
      <c r="W48" s="23">
        <f>0.05*J9+1.12</f>
        <v>1.1200000000000001</v>
      </c>
      <c r="X48" s="23">
        <f>0.05*J10+1.12</f>
        <v>1.1200000000000001</v>
      </c>
      <c r="Y48" s="23">
        <f>0.05*J11+1.12</f>
        <v>1.1200000000000001</v>
      </c>
      <c r="Z48" s="23">
        <f>0.05*J12+1.12</f>
        <v>1.1200000000000001</v>
      </c>
      <c r="AA48" s="23">
        <f>0.05*J13+1.12</f>
        <v>1.1200000000000001</v>
      </c>
      <c r="AB48" s="23">
        <f>0.05*J14+1.12</f>
        <v>1.1200000000000001</v>
      </c>
      <c r="AC48" s="23">
        <f>0.05*J15+1.12</f>
        <v>1.1200000000000001</v>
      </c>
      <c r="AG48" s="98"/>
    </row>
    <row r="49" spans="1:33" hidden="1">
      <c r="A49" s="28"/>
      <c r="C49" s="35"/>
      <c r="H49" s="5" t="s">
        <v>178</v>
      </c>
      <c r="I49" s="6" t="s">
        <v>173</v>
      </c>
      <c r="J49" s="6" t="s">
        <v>194</v>
      </c>
      <c r="K49" s="22">
        <f>(0.1*$J$8)+0.86</f>
        <v>0.86</v>
      </c>
      <c r="L49" s="22">
        <f>(0.1*$J$9)+0.86</f>
        <v>0.86</v>
      </c>
      <c r="M49" s="22">
        <f>(0.1*$J$10)+0.86</f>
        <v>0.86</v>
      </c>
      <c r="N49" s="22">
        <f>(0.1*$J$11)+0.86</f>
        <v>0.86</v>
      </c>
      <c r="O49" s="22">
        <f>(0.1*$J$12)+0.86</f>
        <v>0.86</v>
      </c>
      <c r="P49" s="22">
        <f>(0.1*$J$13)+0.86</f>
        <v>0.86</v>
      </c>
      <c r="Q49" s="22">
        <f>(0.1*$J$14)+0.86</f>
        <v>0.86</v>
      </c>
      <c r="R49" s="22">
        <f>(0.1*$J$15)+0.86</f>
        <v>0.86</v>
      </c>
      <c r="S49" s="5" t="s">
        <v>178</v>
      </c>
      <c r="T49" s="6" t="s">
        <v>173</v>
      </c>
      <c r="U49" s="6" t="s">
        <v>197</v>
      </c>
      <c r="V49" s="23">
        <f>0.076*J8+0.34</f>
        <v>0.34</v>
      </c>
      <c r="W49" s="23">
        <f>0.076*J9+0.34</f>
        <v>0.34</v>
      </c>
      <c r="X49" s="23">
        <f>0.076*J10+0.34</f>
        <v>0.34</v>
      </c>
      <c r="Y49" s="23">
        <f>0.076*J11+0.34</f>
        <v>0.34</v>
      </c>
      <c r="Z49" s="23">
        <f>0.076*J12+0.34</f>
        <v>0.34</v>
      </c>
      <c r="AA49" s="23">
        <f>0.076*J13+0.34</f>
        <v>0.34</v>
      </c>
      <c r="AB49" s="23">
        <f>0.076*J14+0.34</f>
        <v>0.34</v>
      </c>
      <c r="AC49" s="23">
        <f>0.076*J15+0.34</f>
        <v>0.34</v>
      </c>
      <c r="AG49" s="98"/>
    </row>
    <row r="50" spans="1:33" hidden="1">
      <c r="A50" s="28"/>
      <c r="C50" s="35"/>
      <c r="H50" s="5" t="s">
        <v>178</v>
      </c>
      <c r="I50" s="6" t="s">
        <v>176</v>
      </c>
      <c r="J50" s="6" t="s">
        <v>194</v>
      </c>
      <c r="K50" s="22">
        <f>(0.1*$J$8)+0.86</f>
        <v>0.86</v>
      </c>
      <c r="L50" s="22">
        <f>(0.1*$J$9)+0.86</f>
        <v>0.86</v>
      </c>
      <c r="M50" s="22">
        <f>(0.1*$J$10)+0.86</f>
        <v>0.86</v>
      </c>
      <c r="N50" s="22">
        <f>(0.1*$J$11)+0.86</f>
        <v>0.86</v>
      </c>
      <c r="O50" s="22">
        <f>(0.1*$J$12)+0.86</f>
        <v>0.86</v>
      </c>
      <c r="P50" s="22">
        <f>(0.1*$J$13)+0.86</f>
        <v>0.86</v>
      </c>
      <c r="Q50" s="22">
        <f>(0.1*$J$14)+0.86</f>
        <v>0.86</v>
      </c>
      <c r="R50" s="22">
        <f>(0.1*$J$15)+0.86</f>
        <v>0.86</v>
      </c>
      <c r="S50" s="5" t="s">
        <v>178</v>
      </c>
      <c r="T50" s="6" t="s">
        <v>176</v>
      </c>
      <c r="U50" s="6" t="s">
        <v>198</v>
      </c>
      <c r="V50" s="23">
        <f>(0.105*J8)-1.111</f>
        <v>-1.111</v>
      </c>
      <c r="W50" s="23">
        <f>(0.105*J9)-1.111</f>
        <v>-1.111</v>
      </c>
      <c r="X50" s="23">
        <f>(0.105*J10)-1.111</f>
        <v>-1.111</v>
      </c>
      <c r="Y50" s="23">
        <f>(0.105*J11)-1.111</f>
        <v>-1.111</v>
      </c>
      <c r="Z50" s="23">
        <f>(0.105*J12)-1.111</f>
        <v>-1.111</v>
      </c>
      <c r="AA50" s="23">
        <f>(0.105*J13)-1.111</f>
        <v>-1.111</v>
      </c>
      <c r="AB50" s="23">
        <f>(0.105*J14)-1.111</f>
        <v>-1.111</v>
      </c>
      <c r="AC50" s="23">
        <f>(0.105*J15)-1.111</f>
        <v>-1.111</v>
      </c>
      <c r="AG50" s="98"/>
    </row>
    <row r="51" spans="1:33" hidden="1">
      <c r="A51" s="28"/>
      <c r="AG51" s="98"/>
    </row>
    <row r="52" spans="1:33" s="97" customFormat="1">
      <c r="A52" s="98"/>
      <c r="B52" s="98"/>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row>
    <row r="53" spans="1:33" s="97" customFormat="1">
      <c r="A53" s="98"/>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row>
    <row r="54" spans="1:33" s="97" customFormat="1"/>
    <row r="55" spans="1:33" s="97" customFormat="1"/>
    <row r="56" spans="1:33" s="97" customFormat="1"/>
    <row r="57" spans="1:33" s="97" customFormat="1"/>
    <row r="58" spans="1:33" s="97" customFormat="1"/>
    <row r="59" spans="1:33" s="97" customFormat="1"/>
    <row r="60" spans="1:33" s="97" customFormat="1"/>
    <row r="61" spans="1:33" s="97" customFormat="1"/>
    <row r="62" spans="1:33" s="97" customFormat="1"/>
    <row r="63" spans="1:33" s="97" customFormat="1"/>
    <row r="64" spans="1:33"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sheetData>
  <sheetProtection algorithmName="SHA-512" hashValue="jI/KLAPCF+RX9VsMg6MWioYQOdsEfxm3IHl1uqrr1wB7plma3NSVYZeENuvCKBkGmu5TNU7OH0w58iRIKTGmFA==" saltValue="HTe/zXIW526Vctlju09UsA==" spinCount="100000" sheet="1" selectLockedCells="1"/>
  <mergeCells count="4">
    <mergeCell ref="B3:C3"/>
    <mergeCell ref="C18:AD18"/>
    <mergeCell ref="B2:S2"/>
    <mergeCell ref="D3:J4"/>
  </mergeCells>
  <dataValidations disablePrompts="1" count="2">
    <dataValidation type="list" allowBlank="1" showInputMessage="1" showErrorMessage="1" sqref="D8:D15" xr:uid="{00000000-0002-0000-0200-000000000000}">
      <formula1>$C$21:$C$22</formula1>
    </dataValidation>
    <dataValidation type="list" allowBlank="1" showInputMessage="1" showErrorMessage="1" sqref="I8:I15" xr:uid="{00000000-0002-0000-0200-000001000000}">
      <formula1>$H$24:$H$25</formula1>
    </dataValidation>
  </dataValidations>
  <hyperlinks>
    <hyperlink ref="B3" location="'Calculator Index'!A1" display="Return to Index" xr:uid="{00000000-0004-0000-0200-000000000000}"/>
    <hyperlink ref="B3:C3" location="'Project Summary'!A1" display="Return to Project Summary" xr:uid="{00000000-0004-0000-0200-000001000000}"/>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Z977"/>
  <sheetViews>
    <sheetView zoomScale="90" zoomScaleNormal="90" workbookViewId="0">
      <selection activeCell="K10" sqref="K10"/>
    </sheetView>
  </sheetViews>
  <sheetFormatPr defaultRowHeight="15"/>
  <cols>
    <col min="1" max="1" width="3.7109375" customWidth="1"/>
    <col min="2" max="2" width="5" customWidth="1"/>
    <col min="3" max="3" width="23.85546875" customWidth="1"/>
    <col min="4" max="4" width="18.85546875" customWidth="1"/>
    <col min="5" max="5" width="18.85546875" hidden="1" customWidth="1"/>
    <col min="6" max="6" width="20" customWidth="1"/>
    <col min="7" max="8" width="22.42578125" customWidth="1"/>
    <col min="9" max="9" width="12.7109375" customWidth="1"/>
    <col min="10" max="10" width="19.5703125" customWidth="1"/>
    <col min="11" max="11" width="10.85546875" customWidth="1"/>
    <col min="12" max="12" width="11.28515625" hidden="1" customWidth="1"/>
    <col min="13" max="14" width="13.7109375" hidden="1" customWidth="1"/>
    <col min="15" max="15" width="9" hidden="1" customWidth="1"/>
    <col min="16" max="16" width="15.42578125" hidden="1" customWidth="1"/>
    <col min="17" max="18" width="16.140625" customWidth="1"/>
    <col min="19" max="19" width="15" customWidth="1"/>
    <col min="20" max="20" width="15" hidden="1" customWidth="1"/>
    <col min="21" max="21" width="31.85546875" hidden="1" customWidth="1"/>
    <col min="22" max="22" width="16" hidden="1" customWidth="1"/>
    <col min="23" max="30" width="10.28515625" hidden="1" customWidth="1"/>
    <col min="31" max="31" width="6.5703125" customWidth="1"/>
    <col min="32" max="208" width="9.140625" style="97"/>
  </cols>
  <sheetData>
    <row r="1" spans="1:31" ht="19.5" customHeight="1">
      <c r="A1" s="41"/>
      <c r="B1" s="41"/>
      <c r="C1" s="41"/>
      <c r="D1" s="41"/>
      <c r="E1" s="41"/>
      <c r="F1" s="41"/>
      <c r="G1" s="41"/>
      <c r="H1" s="41"/>
      <c r="I1" s="41"/>
      <c r="J1" s="41"/>
      <c r="K1" s="41"/>
      <c r="L1" s="28"/>
      <c r="M1" s="28"/>
      <c r="N1" s="28"/>
      <c r="O1" s="28"/>
      <c r="P1" s="28"/>
      <c r="Q1" s="41"/>
      <c r="R1" s="41"/>
      <c r="S1" s="41"/>
      <c r="T1" s="28" t="s">
        <v>116</v>
      </c>
      <c r="U1" s="28" t="s">
        <v>117</v>
      </c>
      <c r="V1" s="28"/>
      <c r="W1" s="28"/>
      <c r="X1" s="28"/>
      <c r="Y1" s="28"/>
      <c r="Z1" s="28"/>
      <c r="AA1" s="28"/>
      <c r="AB1" s="28"/>
      <c r="AC1" s="28"/>
      <c r="AD1" s="28"/>
      <c r="AE1" s="98"/>
    </row>
    <row r="2" spans="1:31" ht="27" customHeight="1">
      <c r="A2" s="41"/>
      <c r="B2" s="398" t="s">
        <v>200</v>
      </c>
      <c r="C2" s="399"/>
      <c r="D2" s="399"/>
      <c r="E2" s="399"/>
      <c r="F2" s="399"/>
      <c r="G2" s="399"/>
      <c r="H2" s="399"/>
      <c r="I2" s="399"/>
      <c r="J2" s="399"/>
      <c r="K2" s="399"/>
      <c r="L2" s="399"/>
      <c r="M2" s="399"/>
      <c r="N2" s="399"/>
      <c r="O2" s="399"/>
      <c r="P2" s="399"/>
      <c r="Q2" s="399"/>
      <c r="R2" s="399"/>
      <c r="S2" s="400"/>
      <c r="T2" s="28"/>
      <c r="U2" s="28"/>
      <c r="V2" s="28"/>
      <c r="W2" s="28"/>
      <c r="X2" s="28"/>
      <c r="Y2" s="28"/>
      <c r="Z2" s="28"/>
      <c r="AA2" s="28"/>
      <c r="AB2" s="28"/>
      <c r="AC2" s="28"/>
      <c r="AD2" s="28"/>
      <c r="AE2" s="98"/>
    </row>
    <row r="3" spans="1:31" ht="23.25" customHeight="1">
      <c r="A3" s="41"/>
      <c r="B3" s="393" t="s">
        <v>119</v>
      </c>
      <c r="C3" s="394"/>
      <c r="D3" s="402" t="s">
        <v>201</v>
      </c>
      <c r="E3" s="402"/>
      <c r="F3" s="402"/>
      <c r="G3" s="403"/>
      <c r="H3" s="403"/>
      <c r="I3" s="403"/>
      <c r="J3" s="403"/>
      <c r="K3" s="41"/>
      <c r="L3" s="28"/>
      <c r="M3" s="28"/>
      <c r="N3" s="28"/>
      <c r="O3" s="28"/>
      <c r="P3" s="28"/>
      <c r="Q3" s="41"/>
      <c r="R3" s="41"/>
      <c r="S3" s="41"/>
      <c r="T3" s="28"/>
      <c r="U3" s="28"/>
      <c r="V3" s="28"/>
      <c r="W3" s="28"/>
      <c r="X3" s="28"/>
      <c r="Y3" s="28"/>
      <c r="Z3" s="28"/>
      <c r="AA3" s="28"/>
      <c r="AB3" s="28"/>
      <c r="AC3" s="28"/>
      <c r="AD3" s="28"/>
      <c r="AE3" s="98"/>
    </row>
    <row r="4" spans="1:31" ht="27" customHeight="1">
      <c r="A4" s="41"/>
      <c r="B4" s="41"/>
      <c r="C4" s="41"/>
      <c r="D4" s="403"/>
      <c r="E4" s="403"/>
      <c r="F4" s="403"/>
      <c r="G4" s="403"/>
      <c r="H4" s="403"/>
      <c r="I4" s="403"/>
      <c r="J4" s="403"/>
      <c r="K4" s="41"/>
      <c r="L4" s="28"/>
      <c r="M4" s="28"/>
      <c r="N4" s="28"/>
      <c r="O4" s="28"/>
      <c r="P4" s="28"/>
      <c r="Q4" s="41"/>
      <c r="R4" s="41"/>
      <c r="S4" s="41"/>
      <c r="T4" s="28"/>
      <c r="U4" s="28"/>
      <c r="V4" s="28"/>
      <c r="W4" s="28"/>
      <c r="X4" s="28"/>
      <c r="Y4" s="28"/>
      <c r="Z4" s="28"/>
      <c r="AA4" s="28"/>
      <c r="AB4" s="28"/>
      <c r="AC4" s="28"/>
      <c r="AD4" s="28"/>
      <c r="AE4" s="98"/>
    </row>
    <row r="5" spans="1:31" ht="12.75" customHeight="1">
      <c r="A5" s="41"/>
      <c r="B5" s="41"/>
      <c r="C5" s="41"/>
      <c r="D5" s="41"/>
      <c r="E5" s="28"/>
      <c r="F5" s="41"/>
      <c r="G5" s="41"/>
      <c r="H5" s="41"/>
      <c r="I5" s="41"/>
      <c r="J5" s="41"/>
      <c r="K5" s="41"/>
      <c r="L5" s="28"/>
      <c r="M5" s="28"/>
      <c r="N5" s="28"/>
      <c r="O5" s="28"/>
      <c r="P5" s="28"/>
      <c r="Q5" s="41"/>
      <c r="R5" s="41"/>
      <c r="S5" s="41"/>
      <c r="T5" s="28"/>
      <c r="U5" s="28"/>
      <c r="V5" s="28"/>
      <c r="W5" s="28"/>
      <c r="X5" s="28"/>
      <c r="Y5" s="28"/>
      <c r="Z5" s="28"/>
      <c r="AA5" s="28"/>
      <c r="AB5" s="28"/>
      <c r="AC5" s="28"/>
      <c r="AD5" s="28"/>
      <c r="AE5" s="98"/>
    </row>
    <row r="6" spans="1:31" ht="38.25" customHeight="1">
      <c r="A6" s="41"/>
      <c r="B6" s="180" t="s">
        <v>121</v>
      </c>
      <c r="C6" s="180" t="s">
        <v>122</v>
      </c>
      <c r="D6" s="180" t="s">
        <v>123</v>
      </c>
      <c r="E6" s="180" t="s">
        <v>124</v>
      </c>
      <c r="F6" s="180" t="s">
        <v>202</v>
      </c>
      <c r="G6" s="180" t="s">
        <v>126</v>
      </c>
      <c r="H6" s="180" t="s">
        <v>127</v>
      </c>
      <c r="I6" s="180" t="s">
        <v>128</v>
      </c>
      <c r="J6" s="180" t="s">
        <v>203</v>
      </c>
      <c r="K6" s="180" t="s">
        <v>53</v>
      </c>
      <c r="L6" s="180" t="s">
        <v>130</v>
      </c>
      <c r="M6" s="180" t="s">
        <v>131</v>
      </c>
      <c r="N6" s="180" t="s">
        <v>132</v>
      </c>
      <c r="O6" s="179" t="s">
        <v>133</v>
      </c>
      <c r="P6" s="180" t="s">
        <v>134</v>
      </c>
      <c r="Q6" s="180" t="s">
        <v>135</v>
      </c>
      <c r="R6" s="180" t="s">
        <v>136</v>
      </c>
      <c r="S6" s="180" t="s">
        <v>75</v>
      </c>
      <c r="T6" s="181" t="s">
        <v>137</v>
      </c>
      <c r="U6" s="181" t="s">
        <v>78</v>
      </c>
      <c r="AE6" s="98"/>
    </row>
    <row r="7" spans="1:31" ht="21" hidden="1" customHeight="1">
      <c r="A7" s="41"/>
      <c r="B7" s="273" t="s">
        <v>140</v>
      </c>
      <c r="C7" s="273"/>
      <c r="D7" s="273" t="s">
        <v>141</v>
      </c>
      <c r="E7" s="273" t="s">
        <v>142</v>
      </c>
      <c r="F7" s="273" t="s">
        <v>143</v>
      </c>
      <c r="G7" s="273" t="s">
        <v>144</v>
      </c>
      <c r="H7" s="273" t="s">
        <v>145</v>
      </c>
      <c r="I7" s="273" t="s">
        <v>146</v>
      </c>
      <c r="J7" s="273" t="s">
        <v>147</v>
      </c>
      <c r="K7" s="273" t="s">
        <v>53</v>
      </c>
      <c r="L7" s="273"/>
      <c r="M7" s="273"/>
      <c r="N7" s="273"/>
      <c r="O7" s="274"/>
      <c r="P7" s="274" t="s">
        <v>148</v>
      </c>
      <c r="Q7" s="273" t="s">
        <v>149</v>
      </c>
      <c r="R7" s="273" t="s">
        <v>150</v>
      </c>
      <c r="S7" s="273" t="s">
        <v>151</v>
      </c>
      <c r="T7" s="280" t="s">
        <v>152</v>
      </c>
      <c r="U7" s="280" t="s">
        <v>153</v>
      </c>
      <c r="AE7" s="98"/>
    </row>
    <row r="8" spans="1:31" ht="19.5" customHeight="1">
      <c r="A8" s="41"/>
      <c r="B8" s="248">
        <v>1</v>
      </c>
      <c r="C8" s="9" t="s">
        <v>204</v>
      </c>
      <c r="D8" s="11"/>
      <c r="E8" s="11" t="str">
        <f t="shared" ref="E8:E15" si="0">IF(D8=$C$21,$D$21,IF(D8=$C$22,$D$22,""))</f>
        <v/>
      </c>
      <c r="F8" s="11"/>
      <c r="G8" s="12"/>
      <c r="H8" s="12"/>
      <c r="I8" s="11"/>
      <c r="J8" s="11"/>
      <c r="K8" s="12"/>
      <c r="L8" s="15" t="str">
        <f t="shared" ref="L8:L15" si="1">IF(J8="","",IF(J8&lt;15,$T$21,IF(J8&gt;=50,$T$24,IF(AND(J8&lt;30,J8&gt;=15),$T$22,IF(AND(J8&lt;50,J8&gt;=30),$T$23,"")))))</f>
        <v/>
      </c>
      <c r="M8" s="10" t="str">
        <f t="array" ref="M8">IFERROR(IF($C$34="PY9-PY12", INDEX($H$32:$R$39,MATCH(1,($H$32:$H$39=I8)*($I$32:$I$39=L8),0),4), INDEX($H$43:$R$50,MATCH(1,($H$43:$H$50=I8)*($I$43:$I$50=L8),0),4)),"")</f>
        <v/>
      </c>
      <c r="N8" s="10" t="str">
        <f t="array" ref="N8">IFERROR(IF($C$34="PY9-PY12", INDEX($S$32:$AC$39,MATCH(1,($S$32:$S$39=I8)*($T$32:$T$39=L8),0),4), INDEX($S$43:$AC$50,MATCH(1,($S$43:$S$50=I8)*($T$43:$T$50=L8),0),4)),"")</f>
        <v/>
      </c>
      <c r="O8" s="21">
        <v>1</v>
      </c>
      <c r="P8" s="21" t="str">
        <f t="shared" ref="P8:P15" si="2">IFERROR(ROUND(((M8-N8)/24)*K8,6), "")</f>
        <v/>
      </c>
      <c r="Q8" s="16" t="str">
        <f t="shared" ref="Q8:Q15" si="3">IFERROR(ROUND((((M8-N8)*O8)/24)*K8,6), "")</f>
        <v/>
      </c>
      <c r="R8" s="17" t="str">
        <f t="shared" ref="R8:R15" si="4">IF(K8="", "", IFERROR(ROUND(((M8-N8)*365)*K8,4), ""))</f>
        <v/>
      </c>
      <c r="S8" s="42" t="str">
        <f>IF(OR(D8="", K8=""),"", K8*$C$28)</f>
        <v/>
      </c>
      <c r="T8" s="21">
        <f t="shared" ref="T8:T15" si="5">F8</f>
        <v>0</v>
      </c>
      <c r="U8" s="21" t="s">
        <v>205</v>
      </c>
      <c r="AE8" s="98"/>
    </row>
    <row r="9" spans="1:31" ht="19.5" customHeight="1">
      <c r="A9" s="41"/>
      <c r="B9" s="248">
        <v>2</v>
      </c>
      <c r="C9" s="9" t="s">
        <v>204</v>
      </c>
      <c r="D9" s="11"/>
      <c r="E9" s="11" t="str">
        <f t="shared" si="0"/>
        <v/>
      </c>
      <c r="F9" s="11"/>
      <c r="G9" s="12"/>
      <c r="H9" s="12"/>
      <c r="I9" s="11"/>
      <c r="J9" s="11"/>
      <c r="K9" s="12"/>
      <c r="L9" s="15" t="str">
        <f t="shared" si="1"/>
        <v/>
      </c>
      <c r="M9" s="10" t="str">
        <f t="array" ref="M9">IFERROR(IF($C$34="PY9-PY12", INDEX($H$32:$R$39,MATCH(1,($H$32:$H$39=I9)*($I$32:$I$39=L9),0),5), INDEX($H$43:$R$50,MATCH(1,($H$43:$H$50=I9)*($I$43:$I$50=L9),0),5)),"")</f>
        <v/>
      </c>
      <c r="N9" s="10" t="str">
        <f t="array" ref="N9">IFERROR(IF($C$34="PY9-PY12", INDEX($S$32:$AC$39,MATCH(1,($S$32:$S$39=I9)*($T$32:$T$39=L9),0),5), INDEX($S$43:$AC$50,MATCH(1,($S$43:$S$50=I9)*($T$43:$T$50=L9),0),5)),"")</f>
        <v/>
      </c>
      <c r="O9" s="21">
        <v>1</v>
      </c>
      <c r="P9" s="21" t="str">
        <f t="shared" si="2"/>
        <v/>
      </c>
      <c r="Q9" s="16" t="str">
        <f t="shared" si="3"/>
        <v/>
      </c>
      <c r="R9" s="17" t="str">
        <f t="shared" si="4"/>
        <v/>
      </c>
      <c r="S9" s="42" t="str">
        <f t="shared" ref="S9:S15" si="6">IF(OR(D9="", K9=""),"", K9*$C$28)</f>
        <v/>
      </c>
      <c r="T9" s="21">
        <f t="shared" si="5"/>
        <v>0</v>
      </c>
      <c r="U9" s="21" t="s">
        <v>205</v>
      </c>
      <c r="AE9" s="98"/>
    </row>
    <row r="10" spans="1:31" ht="19.5" customHeight="1">
      <c r="A10" s="41"/>
      <c r="B10" s="248">
        <v>3</v>
      </c>
      <c r="C10" s="9" t="s">
        <v>204</v>
      </c>
      <c r="D10" s="11"/>
      <c r="E10" s="11" t="str">
        <f t="shared" si="0"/>
        <v/>
      </c>
      <c r="F10" s="11"/>
      <c r="G10" s="12"/>
      <c r="H10" s="12"/>
      <c r="I10" s="11"/>
      <c r="J10" s="11"/>
      <c r="K10" s="12"/>
      <c r="L10" s="15" t="str">
        <f t="shared" si="1"/>
        <v/>
      </c>
      <c r="M10" s="10" t="str">
        <f t="array" ref="M10">IFERROR(IF($C$34="PY9-PY12", INDEX($H$32:$R$39,MATCH(1,($H$32:$H$39=I10)*($I$32:$I$39=L10),0),6), INDEX($H$43:$R$50,MATCH(1,($H$43:$H$50=I10)*($I$43:$I$50=L10),0),6)),"")</f>
        <v/>
      </c>
      <c r="N10" s="10" t="str">
        <f t="array" ref="N10">IFERROR(IF($C$34="PY9-PY12", INDEX($S$32:$AC$39,MATCH(1,($S$32:$S$39=I10)*($T$32:$T$39=L10),0),6), INDEX($S$43:$AC$50,MATCH(1,($S$43:$S$50=I10)*($T$43:$T$50=L10),0),6)),"")</f>
        <v/>
      </c>
      <c r="O10" s="21">
        <v>1</v>
      </c>
      <c r="P10" s="21" t="str">
        <f t="shared" si="2"/>
        <v/>
      </c>
      <c r="Q10" s="16" t="str">
        <f t="shared" si="3"/>
        <v/>
      </c>
      <c r="R10" s="17" t="str">
        <f t="shared" si="4"/>
        <v/>
      </c>
      <c r="S10" s="42" t="str">
        <f t="shared" si="6"/>
        <v/>
      </c>
      <c r="T10" s="21">
        <f t="shared" si="5"/>
        <v>0</v>
      </c>
      <c r="U10" s="21" t="s">
        <v>205</v>
      </c>
      <c r="AE10" s="98"/>
    </row>
    <row r="11" spans="1:31" ht="19.5" customHeight="1">
      <c r="A11" s="41"/>
      <c r="B11" s="248">
        <v>4</v>
      </c>
      <c r="C11" s="9" t="s">
        <v>204</v>
      </c>
      <c r="D11" s="11"/>
      <c r="E11" s="11" t="str">
        <f t="shared" si="0"/>
        <v/>
      </c>
      <c r="F11" s="11"/>
      <c r="G11" s="12"/>
      <c r="H11" s="12"/>
      <c r="I11" s="11"/>
      <c r="J11" s="11"/>
      <c r="K11" s="12"/>
      <c r="L11" s="15" t="str">
        <f t="shared" si="1"/>
        <v/>
      </c>
      <c r="M11" s="10" t="str">
        <f t="array" ref="M11">IFERROR(IF($C$34="PY9-PY12", INDEX($H$32:$R$39,MATCH(1,($H$32:$H$39=I11)*($I$32:$I$39=L11),0),7), INDEX($H$43:$R$50,MATCH(1,($H$43:$H$50=I11)*($I$43:$I$50=L11),0),7)),"")</f>
        <v/>
      </c>
      <c r="N11" s="10" t="str">
        <f t="array" ref="N11">IFERROR(IF($C$34="PY9-PY12", INDEX($S$32:$AC$39,MATCH(1,($S$32:$S$39=I11)*($T$32:$T$39=L11),0),7), INDEX($S$43:$AC$50,MATCH(1,($S$43:$S$50=I11)*($T$43:$T$50=L11),0),7)),"")</f>
        <v/>
      </c>
      <c r="O11" s="21">
        <v>1</v>
      </c>
      <c r="P11" s="21" t="str">
        <f t="shared" si="2"/>
        <v/>
      </c>
      <c r="Q11" s="16" t="str">
        <f t="shared" si="3"/>
        <v/>
      </c>
      <c r="R11" s="17" t="str">
        <f t="shared" si="4"/>
        <v/>
      </c>
      <c r="S11" s="42" t="str">
        <f t="shared" si="6"/>
        <v/>
      </c>
      <c r="T11" s="21">
        <f t="shared" si="5"/>
        <v>0</v>
      </c>
      <c r="U11" s="21" t="s">
        <v>205</v>
      </c>
      <c r="AE11" s="98"/>
    </row>
    <row r="12" spans="1:31" ht="19.5" customHeight="1">
      <c r="A12" s="41"/>
      <c r="B12" s="248">
        <v>5</v>
      </c>
      <c r="C12" s="9" t="s">
        <v>204</v>
      </c>
      <c r="D12" s="11"/>
      <c r="E12" s="11" t="str">
        <f t="shared" si="0"/>
        <v/>
      </c>
      <c r="F12" s="11"/>
      <c r="G12" s="12"/>
      <c r="H12" s="12"/>
      <c r="I12" s="11"/>
      <c r="J12" s="11"/>
      <c r="K12" s="12"/>
      <c r="L12" s="15" t="str">
        <f t="shared" si="1"/>
        <v/>
      </c>
      <c r="M12" s="10" t="str">
        <f t="array" ref="M12">IFERROR(IF($C$34="PY9-PY12", INDEX($H$32:$R$39,MATCH(1,($H$32:$H$39=I12)*($I$32:$I$39=L12),0),8), INDEX($H$43:$R$50,MATCH(1,($H$43:$H$50=I12)*($I$43:$I$50=L12),0),8)),"")</f>
        <v/>
      </c>
      <c r="N12" s="10" t="str">
        <f t="array" ref="N12">IFERROR(IF($C$34="PY9-PY12", INDEX($S$32:$AC$39,MATCH(1,($S$32:$S$39=I12)*($T$32:$T$39=L12),0),8), INDEX($S$43:$AC$50,MATCH(1,($S$43:$S$50=I12)*($T$43:$T$50=L12),0),8)),"")</f>
        <v/>
      </c>
      <c r="O12" s="21">
        <v>1</v>
      </c>
      <c r="P12" s="21" t="str">
        <f t="shared" si="2"/>
        <v/>
      </c>
      <c r="Q12" s="16" t="str">
        <f t="shared" si="3"/>
        <v/>
      </c>
      <c r="R12" s="17" t="str">
        <f t="shared" si="4"/>
        <v/>
      </c>
      <c r="S12" s="42" t="str">
        <f t="shared" si="6"/>
        <v/>
      </c>
      <c r="T12" s="21">
        <f t="shared" si="5"/>
        <v>0</v>
      </c>
      <c r="U12" s="21" t="s">
        <v>205</v>
      </c>
      <c r="AE12" s="98"/>
    </row>
    <row r="13" spans="1:31" ht="19.5" customHeight="1">
      <c r="A13" s="41"/>
      <c r="B13" s="248">
        <v>6</v>
      </c>
      <c r="C13" s="9" t="s">
        <v>204</v>
      </c>
      <c r="D13" s="11"/>
      <c r="E13" s="11" t="str">
        <f t="shared" si="0"/>
        <v/>
      </c>
      <c r="F13" s="11"/>
      <c r="G13" s="12"/>
      <c r="H13" s="12"/>
      <c r="I13" s="11"/>
      <c r="J13" s="11"/>
      <c r="K13" s="12"/>
      <c r="L13" s="15" t="str">
        <f t="shared" si="1"/>
        <v/>
      </c>
      <c r="M13" s="10" t="str">
        <f t="array" ref="M13">IFERROR(IF($C$34="PY9-PY12", INDEX($H$32:$R$39,MATCH(1,($H$32:$H$39=I13)*($I$32:$I$39=L13),0),9), INDEX($H$43:$R$50,MATCH(1,($H$43:$H$50=I13)*($I$43:$I$50=L13),0),9)),"")</f>
        <v/>
      </c>
      <c r="N13" s="10" t="str">
        <f t="array" ref="N13">IFERROR(IF($C$34="PY9-PY12", INDEX($S$32:$AC$39,MATCH(1,($S$32:$S$39=I13)*($T$32:$T$39=L13),0),9), INDEX($S$43:$AC$50,MATCH(1,($S$43:$S$50=I13)*($T$43:$T$50=L13),0),9)),"")</f>
        <v/>
      </c>
      <c r="O13" s="21">
        <v>1</v>
      </c>
      <c r="P13" s="21" t="str">
        <f t="shared" si="2"/>
        <v/>
      </c>
      <c r="Q13" s="16" t="str">
        <f t="shared" si="3"/>
        <v/>
      </c>
      <c r="R13" s="17" t="str">
        <f t="shared" si="4"/>
        <v/>
      </c>
      <c r="S13" s="42" t="str">
        <f t="shared" si="6"/>
        <v/>
      </c>
      <c r="T13" s="21">
        <f t="shared" si="5"/>
        <v>0</v>
      </c>
      <c r="U13" s="21" t="s">
        <v>205</v>
      </c>
      <c r="AE13" s="98"/>
    </row>
    <row r="14" spans="1:31" ht="19.5" customHeight="1">
      <c r="A14" s="41"/>
      <c r="B14" s="248">
        <v>7</v>
      </c>
      <c r="C14" s="9" t="s">
        <v>204</v>
      </c>
      <c r="D14" s="11"/>
      <c r="E14" s="11" t="str">
        <f t="shared" si="0"/>
        <v/>
      </c>
      <c r="F14" s="11"/>
      <c r="G14" s="12"/>
      <c r="H14" s="12"/>
      <c r="I14" s="11"/>
      <c r="J14" s="11"/>
      <c r="K14" s="12"/>
      <c r="L14" s="15" t="str">
        <f t="shared" si="1"/>
        <v/>
      </c>
      <c r="M14" s="10" t="str">
        <f t="array" ref="M14">IFERROR(IF($C$34="PY9-PY12", INDEX($H$32:$R$39,MATCH(1,($H$32:$H$39=I14)*($I$32:$I$39=L14),0),10), INDEX($H$43:$R$50,MATCH(1,($H$43:$H$50=I14)*($I$43:$I$50=L14),0),10)),"")</f>
        <v/>
      </c>
      <c r="N14" s="10" t="str">
        <f t="array" ref="N14">IFERROR(IF($C$34="PY9-PY12", INDEX($S$32:$AC$39,MATCH(1,($S$32:$S$39=I14)*($T$32:$T$39=L14),0),10), INDEX($S$43:$AC$50,MATCH(1,($S$43:$S$50=I14)*($T$43:$T$50=L14),0),10)),"")</f>
        <v/>
      </c>
      <c r="O14" s="21">
        <v>1</v>
      </c>
      <c r="P14" s="21" t="str">
        <f t="shared" si="2"/>
        <v/>
      </c>
      <c r="Q14" s="16" t="str">
        <f t="shared" si="3"/>
        <v/>
      </c>
      <c r="R14" s="17" t="str">
        <f t="shared" si="4"/>
        <v/>
      </c>
      <c r="S14" s="42" t="str">
        <f t="shared" si="6"/>
        <v/>
      </c>
      <c r="T14" s="21">
        <f t="shared" si="5"/>
        <v>0</v>
      </c>
      <c r="U14" s="21" t="s">
        <v>205</v>
      </c>
      <c r="AE14" s="98"/>
    </row>
    <row r="15" spans="1:31" ht="19.5" customHeight="1">
      <c r="A15" s="41"/>
      <c r="B15" s="248">
        <v>8</v>
      </c>
      <c r="C15" s="9" t="s">
        <v>204</v>
      </c>
      <c r="D15" s="11"/>
      <c r="E15" s="11" t="str">
        <f t="shared" si="0"/>
        <v/>
      </c>
      <c r="F15" s="11"/>
      <c r="G15" s="12"/>
      <c r="H15" s="12"/>
      <c r="I15" s="11"/>
      <c r="J15" s="11"/>
      <c r="K15" s="12"/>
      <c r="L15" s="15" t="str">
        <f t="shared" si="1"/>
        <v/>
      </c>
      <c r="M15" s="10" t="str">
        <f t="array" ref="M15">IFERROR(IF($C$34="PY9-PY12", INDEX($H$32:$R$39,MATCH(1,($H$32:$H$39=I15)*($I$32:$I$39=L15),0),11), INDEX($H$43:$R$50,MATCH(1,($H$43:$H$50=I15)*($I$43:$I$50=L15),0),11)),"")</f>
        <v/>
      </c>
      <c r="N15" s="10" t="str">
        <f t="array" ref="N15">IFERROR(IF($C$34="PY9-PY12", INDEX($S$32:$AC$39,MATCH(1,($S$32:$S$39=I15)*($T$32:$T$39=L15),0),11), INDEX($S$43:$AC$50,MATCH(1,($S$43:$S$50=I15)*($T$43:$T$50=L15),0),11)),"")</f>
        <v/>
      </c>
      <c r="O15" s="21">
        <v>1</v>
      </c>
      <c r="P15" s="21" t="str">
        <f t="shared" si="2"/>
        <v/>
      </c>
      <c r="Q15" s="16" t="str">
        <f t="shared" si="3"/>
        <v/>
      </c>
      <c r="R15" s="17" t="str">
        <f t="shared" si="4"/>
        <v/>
      </c>
      <c r="S15" s="42" t="str">
        <f t="shared" si="6"/>
        <v/>
      </c>
      <c r="T15" s="21">
        <f t="shared" si="5"/>
        <v>0</v>
      </c>
      <c r="U15" s="21" t="s">
        <v>205</v>
      </c>
      <c r="AE15" s="98"/>
    </row>
    <row r="16" spans="1:31" hidden="1">
      <c r="A16" s="28"/>
      <c r="AE16" s="98"/>
    </row>
    <row r="17" spans="1:31" hidden="1">
      <c r="A17" s="28"/>
      <c r="U17" s="1"/>
      <c r="AE17" s="98"/>
    </row>
    <row r="18" spans="1:31" hidden="1">
      <c r="A18" s="28"/>
      <c r="C18" s="395" t="s">
        <v>157</v>
      </c>
      <c r="D18" s="396"/>
      <c r="E18" s="396"/>
      <c r="F18" s="396"/>
      <c r="G18" s="396"/>
      <c r="H18" s="396"/>
      <c r="I18" s="396"/>
      <c r="J18" s="396"/>
      <c r="K18" s="396"/>
      <c r="L18" s="396"/>
      <c r="M18" s="396"/>
      <c r="N18" s="396"/>
      <c r="O18" s="396"/>
      <c r="P18" s="396"/>
      <c r="Q18" s="396"/>
      <c r="R18" s="396"/>
      <c r="S18" s="396"/>
      <c r="T18" s="396"/>
      <c r="U18" s="396"/>
      <c r="V18" s="396"/>
      <c r="W18" s="396"/>
      <c r="X18" s="396"/>
      <c r="Y18" s="396"/>
      <c r="Z18" s="396"/>
      <c r="AA18" s="396"/>
      <c r="AB18" s="396"/>
      <c r="AC18" s="396"/>
      <c r="AD18" s="397"/>
      <c r="AE18" s="98"/>
    </row>
    <row r="19" spans="1:31" hidden="1">
      <c r="A19" s="28"/>
      <c r="H19" s="159" t="s">
        <v>158</v>
      </c>
      <c r="I19" s="282"/>
      <c r="J19" s="282"/>
      <c r="K19" s="282"/>
      <c r="L19" s="282"/>
      <c r="M19" s="282"/>
      <c r="N19" s="282"/>
      <c r="O19" s="282"/>
      <c r="P19" s="282"/>
      <c r="Q19" s="282"/>
      <c r="R19" s="282"/>
      <c r="S19" s="281" t="s">
        <v>159</v>
      </c>
      <c r="T19" s="281"/>
      <c r="U19" s="281"/>
      <c r="V19" s="281"/>
      <c r="W19" s="281"/>
      <c r="X19" s="281"/>
      <c r="Y19" s="281"/>
      <c r="Z19" s="281"/>
      <c r="AA19" s="281"/>
      <c r="AB19" s="281"/>
      <c r="AC19" s="281"/>
      <c r="AE19" s="98"/>
    </row>
    <row r="20" spans="1:31" ht="30" hidden="1">
      <c r="A20" s="28"/>
      <c r="C20" s="14" t="s">
        <v>123</v>
      </c>
      <c r="D20" s="14" t="s">
        <v>123</v>
      </c>
      <c r="H20" s="3" t="s">
        <v>160</v>
      </c>
      <c r="I20" s="2" t="s">
        <v>161</v>
      </c>
      <c r="J20" s="3" t="s">
        <v>162</v>
      </c>
      <c r="K20" s="2">
        <v>1</v>
      </c>
      <c r="L20" s="2">
        <v>2</v>
      </c>
      <c r="M20" s="2">
        <v>3</v>
      </c>
      <c r="N20" s="2">
        <v>4</v>
      </c>
      <c r="O20" s="2">
        <v>5</v>
      </c>
      <c r="P20" s="2">
        <v>6</v>
      </c>
      <c r="Q20" s="2">
        <v>7</v>
      </c>
      <c r="R20" s="2">
        <v>8</v>
      </c>
      <c r="S20" s="3" t="s">
        <v>160</v>
      </c>
      <c r="T20" s="2" t="s">
        <v>161</v>
      </c>
      <c r="U20" s="3" t="s">
        <v>163</v>
      </c>
      <c r="V20" s="2">
        <v>1</v>
      </c>
      <c r="W20" s="2">
        <v>2</v>
      </c>
      <c r="X20" s="2">
        <v>3</v>
      </c>
      <c r="Y20" s="2">
        <v>4</v>
      </c>
      <c r="Z20" s="2">
        <v>5</v>
      </c>
      <c r="AA20" s="2">
        <v>6</v>
      </c>
      <c r="AB20" s="2">
        <v>7</v>
      </c>
      <c r="AC20" s="2">
        <v>8</v>
      </c>
      <c r="AE20" s="98"/>
    </row>
    <row r="21" spans="1:31" hidden="1">
      <c r="A21" s="28"/>
      <c r="C21" s="4" t="s">
        <v>164</v>
      </c>
      <c r="D21" s="4" t="s">
        <v>164</v>
      </c>
      <c r="H21" s="5" t="s">
        <v>165</v>
      </c>
      <c r="I21" s="6" t="s">
        <v>166</v>
      </c>
      <c r="J21" s="6" t="s">
        <v>206</v>
      </c>
      <c r="K21" s="22">
        <f>(0.4*$J$8)+1.38</f>
        <v>1.38</v>
      </c>
      <c r="L21" s="22">
        <f>(0.4*$J$9)+1.38</f>
        <v>1.38</v>
      </c>
      <c r="M21" s="22">
        <f>(0.4*$J$10)+1.38</f>
        <v>1.38</v>
      </c>
      <c r="N21" s="22">
        <f>(0.4*$J$11)+1.38</f>
        <v>1.38</v>
      </c>
      <c r="O21" s="22">
        <f>(0.4*$J$12)+1.38</f>
        <v>1.38</v>
      </c>
      <c r="P21" s="22">
        <f>(0.4*$J$13)+1.38</f>
        <v>1.38</v>
      </c>
      <c r="Q21" s="22">
        <f>(0.4*$J$14)+1.38</f>
        <v>1.38</v>
      </c>
      <c r="R21" s="22">
        <f>(0.4*$J$15)+1.38</f>
        <v>1.38</v>
      </c>
      <c r="S21" s="5" t="s">
        <v>165</v>
      </c>
      <c r="T21" s="6" t="s">
        <v>166</v>
      </c>
      <c r="U21" s="6" t="s">
        <v>207</v>
      </c>
      <c r="V21" s="23">
        <f>(0.25*$J$8)+1.25</f>
        <v>1.25</v>
      </c>
      <c r="W21" s="23">
        <f>(0.25*$J$9)+1.25</f>
        <v>1.25</v>
      </c>
      <c r="X21" s="23">
        <f>(0.25*$J$10)+1.25</f>
        <v>1.25</v>
      </c>
      <c r="Y21" s="23">
        <f>(0.25*$J$11)+1.25</f>
        <v>1.25</v>
      </c>
      <c r="Z21" s="23">
        <f>(0.25*$J$12)+1.25</f>
        <v>1.25</v>
      </c>
      <c r="AA21" s="23">
        <f>(0.25*$J$13)+1.25</f>
        <v>1.25</v>
      </c>
      <c r="AB21" s="23">
        <f>(0.25*$J$14)+1.25</f>
        <v>1.25</v>
      </c>
      <c r="AC21" s="23">
        <f>(0.25*$J$15)+1.25</f>
        <v>1.25</v>
      </c>
      <c r="AE21" s="98"/>
    </row>
    <row r="22" spans="1:31" hidden="1">
      <c r="A22" s="28"/>
      <c r="C22" s="4" t="s">
        <v>169</v>
      </c>
      <c r="D22" s="4" t="s">
        <v>170</v>
      </c>
      <c r="H22" s="5" t="s">
        <v>165</v>
      </c>
      <c r="I22" s="6" t="s">
        <v>171</v>
      </c>
      <c r="J22" s="6" t="s">
        <v>206</v>
      </c>
      <c r="K22" s="22">
        <f>(0.4*$J$8)+1.38</f>
        <v>1.38</v>
      </c>
      <c r="L22" s="22">
        <f>(0.4*$J$9)+1.38</f>
        <v>1.38</v>
      </c>
      <c r="M22" s="22">
        <f>(0.4*$J$10)+1.38</f>
        <v>1.38</v>
      </c>
      <c r="N22" s="22">
        <f>(0.4*$J$11)+1.38</f>
        <v>1.38</v>
      </c>
      <c r="O22" s="22">
        <f>(0.4*$J$12)+1.38</f>
        <v>1.38</v>
      </c>
      <c r="P22" s="22">
        <f>(0.4*$J$13)+1.38</f>
        <v>1.38</v>
      </c>
      <c r="Q22" s="22">
        <f>(0.4*$J$14)+1.38</f>
        <v>1.38</v>
      </c>
      <c r="R22" s="22">
        <f>(0.4*$J$15)+1.38</f>
        <v>1.38</v>
      </c>
      <c r="S22" s="5" t="s">
        <v>165</v>
      </c>
      <c r="T22" s="6" t="s">
        <v>171</v>
      </c>
      <c r="U22" s="6" t="s">
        <v>208</v>
      </c>
      <c r="V22" s="23">
        <f>(0.4*$J$8)-1</f>
        <v>-1</v>
      </c>
      <c r="W22" s="23">
        <f>(0.4*$J$9)-1</f>
        <v>-1</v>
      </c>
      <c r="X22" s="23">
        <f>(0.4*$J$10)-1</f>
        <v>-1</v>
      </c>
      <c r="Y22" s="23">
        <f>(0.4*$J$11)-1</f>
        <v>-1</v>
      </c>
      <c r="Z22" s="23">
        <f>(0.4*$J$12)-1</f>
        <v>-1</v>
      </c>
      <c r="AA22" s="23">
        <f>(0.4*$J$13)-1</f>
        <v>-1</v>
      </c>
      <c r="AB22" s="23">
        <f>(0.4*$J$14)-1</f>
        <v>-1</v>
      </c>
      <c r="AC22" s="23">
        <f>(0.4*$J$15)-1</f>
        <v>-1</v>
      </c>
      <c r="AE22" s="98"/>
    </row>
    <row r="23" spans="1:31" hidden="1">
      <c r="A23" s="28"/>
      <c r="H23" s="5" t="s">
        <v>165</v>
      </c>
      <c r="I23" s="6" t="s">
        <v>173</v>
      </c>
      <c r="J23" s="6" t="s">
        <v>206</v>
      </c>
      <c r="K23" s="22">
        <f>(0.4*$J$8)+1.38</f>
        <v>1.38</v>
      </c>
      <c r="L23" s="22">
        <f>(0.4*$J$9)+1.38</f>
        <v>1.38</v>
      </c>
      <c r="M23" s="22">
        <f>(0.4*$J$10)+1.38</f>
        <v>1.38</v>
      </c>
      <c r="N23" s="22">
        <f>(0.4*$J$11)+1.38</f>
        <v>1.38</v>
      </c>
      <c r="O23" s="22">
        <f>(0.4*$J$12)+1.38</f>
        <v>1.38</v>
      </c>
      <c r="P23" s="22">
        <f>(0.4*$J$13)+1.38</f>
        <v>1.38</v>
      </c>
      <c r="Q23" s="22">
        <f>(0.4*$J$14)+1.38</f>
        <v>1.38</v>
      </c>
      <c r="R23" s="22">
        <f>(0.4*$J$15)+1.38</f>
        <v>1.38</v>
      </c>
      <c r="S23" s="5" t="s">
        <v>165</v>
      </c>
      <c r="T23" s="6" t="s">
        <v>173</v>
      </c>
      <c r="U23" s="6" t="s">
        <v>209</v>
      </c>
      <c r="V23" s="23">
        <f>(0.163*$J$8)+6.125</f>
        <v>6.125</v>
      </c>
      <c r="W23" s="23">
        <f>(0.163*$J$9)+6.125</f>
        <v>6.125</v>
      </c>
      <c r="X23" s="23">
        <f>(0.163*$J$10)+6.125</f>
        <v>6.125</v>
      </c>
      <c r="Y23" s="23">
        <f>(0.163*$J$11)+6.125</f>
        <v>6.125</v>
      </c>
      <c r="Z23" s="23">
        <f>(0.163*$J$12)+6.125</f>
        <v>6.125</v>
      </c>
      <c r="AA23" s="23">
        <f>(0.163*$J$13)+6.125</f>
        <v>6.125</v>
      </c>
      <c r="AB23" s="23">
        <f>(0.163*$J$14)+6.125</f>
        <v>6.125</v>
      </c>
      <c r="AC23" s="23">
        <f>(0.163*$J$15)+6.125</f>
        <v>6.125</v>
      </c>
      <c r="AE23" s="98"/>
    </row>
    <row r="24" spans="1:31" hidden="1">
      <c r="A24" s="28"/>
      <c r="C24" s="7" t="s">
        <v>175</v>
      </c>
      <c r="H24" s="5" t="s">
        <v>165</v>
      </c>
      <c r="I24" s="6" t="s">
        <v>176</v>
      </c>
      <c r="J24" s="6" t="s">
        <v>206</v>
      </c>
      <c r="K24" s="22">
        <f>(0.4*$J$8)+1.38</f>
        <v>1.38</v>
      </c>
      <c r="L24" s="22">
        <f>(0.4*$J$9)+1.38</f>
        <v>1.38</v>
      </c>
      <c r="M24" s="22">
        <f>(0.4*$J$10)+1.38</f>
        <v>1.38</v>
      </c>
      <c r="N24" s="22">
        <f>(0.4*$J$11)+1.38</f>
        <v>1.38</v>
      </c>
      <c r="O24" s="22">
        <f>(0.4*$J$12)+1.38</f>
        <v>1.38</v>
      </c>
      <c r="P24" s="22">
        <f>(0.4*$J$13)+1.38</f>
        <v>1.38</v>
      </c>
      <c r="Q24" s="22">
        <f>(0.4*$J$14)+1.38</f>
        <v>1.38</v>
      </c>
      <c r="R24" s="22">
        <f>(0.4*$J$15)+1.38</f>
        <v>1.38</v>
      </c>
      <c r="S24" s="5" t="s">
        <v>165</v>
      </c>
      <c r="T24" s="6" t="s">
        <v>176</v>
      </c>
      <c r="U24" s="6" t="s">
        <v>210</v>
      </c>
      <c r="V24" s="23">
        <f>(0.158*$J$8)+6.333</f>
        <v>6.3330000000000002</v>
      </c>
      <c r="W24" s="23">
        <f>(0.158*$J$9)+6.333</f>
        <v>6.3330000000000002</v>
      </c>
      <c r="X24" s="23">
        <f>(0.158*$J$10)+6.333</f>
        <v>6.3330000000000002</v>
      </c>
      <c r="Y24" s="23">
        <f>(0.158*$J$11)+6.333</f>
        <v>6.3330000000000002</v>
      </c>
      <c r="Z24" s="23">
        <f>(0.158*$J$12)+6.333</f>
        <v>6.3330000000000002</v>
      </c>
      <c r="AA24" s="23">
        <f>(0.158*$J$13)+6.333</f>
        <v>6.3330000000000002</v>
      </c>
      <c r="AB24" s="23">
        <f>(0.158*$J$14)+6.333</f>
        <v>6.3330000000000002</v>
      </c>
      <c r="AC24" s="23">
        <f>(0.158*$J$15)+6.333</f>
        <v>6.3330000000000002</v>
      </c>
      <c r="AE24" s="98"/>
    </row>
    <row r="25" spans="1:31" hidden="1">
      <c r="A25" s="28"/>
      <c r="C25" s="8">
        <v>365</v>
      </c>
      <c r="H25" s="5" t="s">
        <v>178</v>
      </c>
      <c r="I25" s="6" t="s">
        <v>166</v>
      </c>
      <c r="J25" s="6" t="s">
        <v>211</v>
      </c>
      <c r="K25" s="22">
        <f>(0.75*$J$8)+4.1</f>
        <v>4.0999999999999996</v>
      </c>
      <c r="L25" s="22">
        <f>(0.75*$J$9)+4.1</f>
        <v>4.0999999999999996</v>
      </c>
      <c r="M25" s="22">
        <f>(0.75*$J$10)+4.1</f>
        <v>4.0999999999999996</v>
      </c>
      <c r="N25" s="22">
        <f>(0.75*$J$11)+4.1</f>
        <v>4.0999999999999996</v>
      </c>
      <c r="O25" s="22">
        <f>(0.75*$J$12)+4.1</f>
        <v>4.0999999999999996</v>
      </c>
      <c r="P25" s="22">
        <f>(0.75*$J$13)+4.1</f>
        <v>4.0999999999999996</v>
      </c>
      <c r="Q25" s="22">
        <f>(0.75*$J$14)+4.1</f>
        <v>4.0999999999999996</v>
      </c>
      <c r="R25" s="22">
        <f>(0.75*$J$15)+4.1</f>
        <v>4.0999999999999996</v>
      </c>
      <c r="S25" s="5" t="s">
        <v>178</v>
      </c>
      <c r="T25" s="6" t="s">
        <v>166</v>
      </c>
      <c r="U25" s="6" t="s">
        <v>212</v>
      </c>
      <c r="V25" s="23">
        <f>(0.607*$J$8)+0.893</f>
        <v>0.89300000000000002</v>
      </c>
      <c r="W25" s="23">
        <f>(0.607*$J$9)+0.893</f>
        <v>0.89300000000000002</v>
      </c>
      <c r="X25" s="23">
        <f>(0.607*$J$10)+0.893</f>
        <v>0.89300000000000002</v>
      </c>
      <c r="Y25" s="23">
        <f>(0.607*$J$11)+0.893</f>
        <v>0.89300000000000002</v>
      </c>
      <c r="Z25" s="23">
        <f>(0.607*$J$12)+0.893</f>
        <v>0.89300000000000002</v>
      </c>
      <c r="AA25" s="23">
        <f>(0.607*$J$13)+0.893</f>
        <v>0.89300000000000002</v>
      </c>
      <c r="AB25" s="23">
        <f>(0.607*$J$14)+0.893</f>
        <v>0.89300000000000002</v>
      </c>
      <c r="AC25" s="23">
        <f>(0.607*$J$15)+0.893</f>
        <v>0.89300000000000002</v>
      </c>
      <c r="AE25" s="98"/>
    </row>
    <row r="26" spans="1:31" hidden="1">
      <c r="A26" s="28"/>
      <c r="H26" s="5" t="s">
        <v>178</v>
      </c>
      <c r="I26" s="6" t="s">
        <v>171</v>
      </c>
      <c r="J26" s="6" t="s">
        <v>211</v>
      </c>
      <c r="K26" s="22">
        <f>(0.75*$J$8)+4.1</f>
        <v>4.0999999999999996</v>
      </c>
      <c r="L26" s="22">
        <f>(0.75*$J$9)+4.1</f>
        <v>4.0999999999999996</v>
      </c>
      <c r="M26" s="22">
        <f>(0.75*$J$10)+4.1</f>
        <v>4.0999999999999996</v>
      </c>
      <c r="N26" s="22">
        <f>(0.75*$J$11)+4.1</f>
        <v>4.0999999999999996</v>
      </c>
      <c r="O26" s="22">
        <f>(0.75*$J$12)+4.1</f>
        <v>4.0999999999999996</v>
      </c>
      <c r="P26" s="22">
        <f>(0.75*$J$13)+4.1</f>
        <v>4.0999999999999996</v>
      </c>
      <c r="Q26" s="22">
        <f>(0.75*$J$14)+4.1</f>
        <v>4.0999999999999996</v>
      </c>
      <c r="R26" s="22">
        <f>(0.75*$J$15)+4.1</f>
        <v>4.0999999999999996</v>
      </c>
      <c r="S26" s="5" t="s">
        <v>178</v>
      </c>
      <c r="T26" s="6" t="s">
        <v>171</v>
      </c>
      <c r="U26" s="6" t="s">
        <v>213</v>
      </c>
      <c r="V26" s="23">
        <f>(0.733*$J$8)-1</f>
        <v>-1</v>
      </c>
      <c r="W26" s="23">
        <f>(0.733*$J$9)-1</f>
        <v>-1</v>
      </c>
      <c r="X26" s="23">
        <f>(0.733*$J$10)-1</f>
        <v>-1</v>
      </c>
      <c r="Y26" s="23">
        <f>(0.733*$J$11)-1</f>
        <v>-1</v>
      </c>
      <c r="Z26" s="23">
        <f>(0.733*$J$12)-1</f>
        <v>-1</v>
      </c>
      <c r="AA26" s="23">
        <f>(0.733*$J$13)-1</f>
        <v>-1</v>
      </c>
      <c r="AB26" s="23">
        <f>(0.733*$J$14)-1</f>
        <v>-1</v>
      </c>
      <c r="AC26" s="23">
        <f>(0.733*$J$15)-1</f>
        <v>-1</v>
      </c>
      <c r="AE26" s="98"/>
    </row>
    <row r="27" spans="1:31" hidden="1">
      <c r="A27" s="28"/>
      <c r="C27" s="13" t="s">
        <v>214</v>
      </c>
      <c r="H27" s="5" t="s">
        <v>178</v>
      </c>
      <c r="I27" s="6" t="s">
        <v>173</v>
      </c>
      <c r="J27" s="6" t="s">
        <v>211</v>
      </c>
      <c r="K27" s="22">
        <f>(0.75*$J$8)+4.1</f>
        <v>4.0999999999999996</v>
      </c>
      <c r="L27" s="22">
        <f>(0.75*$J$9)+4.1</f>
        <v>4.0999999999999996</v>
      </c>
      <c r="M27" s="22">
        <f>(0.75*$J$10)+4.1</f>
        <v>4.0999999999999996</v>
      </c>
      <c r="N27" s="22">
        <f>(0.75*$J$11)+4.1</f>
        <v>4.0999999999999996</v>
      </c>
      <c r="O27" s="22">
        <f>(0.75*$J$12)+4.1</f>
        <v>4.0999999999999996</v>
      </c>
      <c r="P27" s="22">
        <f>(0.75*$J$13)+4.1</f>
        <v>4.0999999999999996</v>
      </c>
      <c r="Q27" s="22">
        <f>(0.75*$J$14)+4.1</f>
        <v>4.0999999999999996</v>
      </c>
      <c r="R27" s="22">
        <f>(0.75*$J$15)+4.1</f>
        <v>4.0999999999999996</v>
      </c>
      <c r="S27" s="5" t="s">
        <v>178</v>
      </c>
      <c r="T27" s="6" t="s">
        <v>173</v>
      </c>
      <c r="U27" s="6" t="s">
        <v>215</v>
      </c>
      <c r="V27" s="23">
        <f>(0.25*$J$8)+13.5</f>
        <v>13.5</v>
      </c>
      <c r="W27" s="23">
        <f>(0.25*$J$9)+13.5</f>
        <v>13.5</v>
      </c>
      <c r="X27" s="23">
        <f>(0.25*$J$10)+13.5</f>
        <v>13.5</v>
      </c>
      <c r="Y27" s="23">
        <f>(0.25*$J$11)+13.5</f>
        <v>13.5</v>
      </c>
      <c r="Z27" s="23">
        <f>(0.25*$J$12)+13.5</f>
        <v>13.5</v>
      </c>
      <c r="AA27" s="23">
        <f>(0.25*$J$13)+13.5</f>
        <v>13.5</v>
      </c>
      <c r="AB27" s="23">
        <f>(0.25*$J$14)+13.5</f>
        <v>13.5</v>
      </c>
      <c r="AC27" s="23">
        <f>(0.25*$J$15)+13.5</f>
        <v>13.5</v>
      </c>
      <c r="AE27" s="98"/>
    </row>
    <row r="28" spans="1:31" hidden="1">
      <c r="A28" s="28"/>
      <c r="C28" s="92">
        <v>50</v>
      </c>
      <c r="D28" s="13" t="s">
        <v>216</v>
      </c>
      <c r="E28" s="275"/>
      <c r="F28" s="275"/>
      <c r="H28" s="5" t="s">
        <v>178</v>
      </c>
      <c r="I28" s="6" t="s">
        <v>176</v>
      </c>
      <c r="J28" s="6" t="s">
        <v>211</v>
      </c>
      <c r="K28" s="22">
        <f>(0.75*$J$8)+4.1</f>
        <v>4.0999999999999996</v>
      </c>
      <c r="L28" s="22">
        <f>(0.75*$J$9)+4.1</f>
        <v>4.0999999999999996</v>
      </c>
      <c r="M28" s="22">
        <f>(0.75*$J$10)+4.1</f>
        <v>4.0999999999999996</v>
      </c>
      <c r="N28" s="22">
        <f>(0.75*$J$11)+4.1</f>
        <v>4.0999999999999996</v>
      </c>
      <c r="O28" s="22">
        <f>(0.75*$J$12)+4.1</f>
        <v>4.0999999999999996</v>
      </c>
      <c r="P28" s="22">
        <f>(0.75*$J$13)+4.1</f>
        <v>4.0999999999999996</v>
      </c>
      <c r="Q28" s="22">
        <f>(0.75*$J$14)+4.1</f>
        <v>4.0999999999999996</v>
      </c>
      <c r="R28" s="22">
        <f>(0.75*$J$15)+4.1</f>
        <v>4.0999999999999996</v>
      </c>
      <c r="S28" s="5" t="s">
        <v>178</v>
      </c>
      <c r="T28" s="6" t="s">
        <v>176</v>
      </c>
      <c r="U28" s="6" t="s">
        <v>217</v>
      </c>
      <c r="V28" s="23">
        <f>(0.45*$J$8)+3.5</f>
        <v>3.5</v>
      </c>
      <c r="W28" s="23">
        <f>(0.45*$J$9)+3.5</f>
        <v>3.5</v>
      </c>
      <c r="X28" s="23">
        <f>(0.45*$J$10)+3.5</f>
        <v>3.5</v>
      </c>
      <c r="Y28" s="23">
        <f>(0.45*$J$11)+3.5</f>
        <v>3.5</v>
      </c>
      <c r="Z28" s="23">
        <f>(0.45*$J$12)+3.5</f>
        <v>3.5</v>
      </c>
      <c r="AA28" s="23">
        <f>(0.45*$J$13)+3.5</f>
        <v>3.5</v>
      </c>
      <c r="AB28" s="23">
        <f>(0.45*$J$14)+3.5</f>
        <v>3.5</v>
      </c>
      <c r="AC28" s="23">
        <f>(0.45*$J$15)+3.5</f>
        <v>3.5</v>
      </c>
      <c r="AE28" s="98"/>
    </row>
    <row r="29" spans="1:31" hidden="1">
      <c r="A29" s="28"/>
      <c r="AE29" s="98"/>
    </row>
    <row r="30" spans="1:31" hidden="1">
      <c r="A30" s="28"/>
      <c r="C30" s="20" t="s">
        <v>186</v>
      </c>
      <c r="H30" s="159" t="s">
        <v>187</v>
      </c>
      <c r="I30" s="160">
        <v>42887</v>
      </c>
      <c r="J30" s="282"/>
      <c r="K30" s="282"/>
      <c r="L30" s="282"/>
      <c r="M30" s="282"/>
      <c r="N30" s="282"/>
      <c r="O30" s="282"/>
      <c r="P30" s="282"/>
      <c r="Q30" s="282"/>
      <c r="R30" s="283"/>
      <c r="S30" s="281" t="s">
        <v>159</v>
      </c>
      <c r="T30" s="281"/>
      <c r="U30" s="281"/>
      <c r="V30" s="281"/>
      <c r="W30" s="281"/>
      <c r="X30" s="281"/>
      <c r="Y30" s="281"/>
      <c r="Z30" s="281"/>
      <c r="AA30" s="281"/>
      <c r="AB30" s="281"/>
      <c r="AC30" s="281"/>
      <c r="AE30" s="98"/>
    </row>
    <row r="31" spans="1:31" ht="30" hidden="1">
      <c r="A31" s="28"/>
      <c r="C31" s="6">
        <v>12</v>
      </c>
      <c r="H31" s="3" t="s">
        <v>160</v>
      </c>
      <c r="I31" s="2" t="s">
        <v>161</v>
      </c>
      <c r="J31" s="3" t="s">
        <v>162</v>
      </c>
      <c r="K31" s="2">
        <v>1</v>
      </c>
      <c r="L31" s="2">
        <v>2</v>
      </c>
      <c r="M31" s="2">
        <v>3</v>
      </c>
      <c r="N31" s="2">
        <v>4</v>
      </c>
      <c r="O31" s="2">
        <v>5</v>
      </c>
      <c r="P31" s="2">
        <v>6</v>
      </c>
      <c r="Q31" s="2">
        <v>7</v>
      </c>
      <c r="R31" s="2">
        <v>8</v>
      </c>
      <c r="S31" s="3" t="s">
        <v>160</v>
      </c>
      <c r="T31" s="2" t="s">
        <v>161</v>
      </c>
      <c r="U31" s="3" t="s">
        <v>163</v>
      </c>
      <c r="V31" s="2">
        <v>1</v>
      </c>
      <c r="W31" s="2">
        <v>2</v>
      </c>
      <c r="X31" s="2">
        <v>3</v>
      </c>
      <c r="Y31" s="2">
        <v>4</v>
      </c>
      <c r="Z31" s="2">
        <v>5</v>
      </c>
      <c r="AA31" s="2">
        <v>6</v>
      </c>
      <c r="AB31" s="2">
        <v>7</v>
      </c>
      <c r="AC31" s="2">
        <v>8</v>
      </c>
      <c r="AE31" s="98"/>
    </row>
    <row r="32" spans="1:31" hidden="1">
      <c r="A32" s="28"/>
      <c r="H32" s="5" t="s">
        <v>165</v>
      </c>
      <c r="I32" s="6" t="s">
        <v>166</v>
      </c>
      <c r="J32" s="6" t="s">
        <v>218</v>
      </c>
      <c r="K32" s="22">
        <f>(0.22*$J$8)+1.38</f>
        <v>1.38</v>
      </c>
      <c r="L32" s="22">
        <f>(0.22*$J$9)+1.38</f>
        <v>1.38</v>
      </c>
      <c r="M32" s="22">
        <f>(0.22*$J$10)+1.38</f>
        <v>1.38</v>
      </c>
      <c r="N32" s="22">
        <f>(0.22*$J$11)+1.38</f>
        <v>1.38</v>
      </c>
      <c r="O32" s="22">
        <f>(0.22*$J$12)+1.38</f>
        <v>1.38</v>
      </c>
      <c r="P32" s="22">
        <f>(0.22*$J$13)+1.38</f>
        <v>1.38</v>
      </c>
      <c r="Q32" s="22">
        <f>(0.22*$J$14)+1.38</f>
        <v>1.38</v>
      </c>
      <c r="R32" s="22">
        <f>(0.22*$J$15)+1.38</f>
        <v>1.38</v>
      </c>
      <c r="S32" s="5" t="s">
        <v>165</v>
      </c>
      <c r="T32" s="6" t="s">
        <v>166</v>
      </c>
      <c r="U32" s="6" t="s">
        <v>219</v>
      </c>
      <c r="V32" s="23">
        <f>0.21*J8+0.9</f>
        <v>0.9</v>
      </c>
      <c r="W32" s="23">
        <f>0.21*J9+0.9</f>
        <v>0.9</v>
      </c>
      <c r="X32" s="23">
        <f>0.21*J10+0.9</f>
        <v>0.9</v>
      </c>
      <c r="Y32" s="23">
        <f>0.21*J11+0.9</f>
        <v>0.9</v>
      </c>
      <c r="Z32" s="23">
        <f>0.21*J12+0.9</f>
        <v>0.9</v>
      </c>
      <c r="AA32" s="23">
        <f>0.21*J13+0.9</f>
        <v>0.9</v>
      </c>
      <c r="AB32" s="23">
        <f>0.21*J14+0.9</f>
        <v>0.9</v>
      </c>
      <c r="AC32" s="23">
        <f>0.21*J15+0.9</f>
        <v>0.9</v>
      </c>
      <c r="AE32" s="98"/>
    </row>
    <row r="33" spans="1:31" hidden="1">
      <c r="A33" s="28"/>
      <c r="C33" s="251" t="s">
        <v>190</v>
      </c>
      <c r="H33" s="5" t="s">
        <v>165</v>
      </c>
      <c r="I33" s="6" t="s">
        <v>171</v>
      </c>
      <c r="J33" s="6" t="s">
        <v>218</v>
      </c>
      <c r="K33" s="22">
        <f t="shared" ref="K33:K35" si="7">(0.22*$J$8)+1.38</f>
        <v>1.38</v>
      </c>
      <c r="L33" s="22">
        <f t="shared" ref="L33:L35" si="8">(0.22*$J$9)+1.38</f>
        <v>1.38</v>
      </c>
      <c r="M33" s="22">
        <f t="shared" ref="M33:M35" si="9">(0.22*$J$10)+1.38</f>
        <v>1.38</v>
      </c>
      <c r="N33" s="22">
        <f t="shared" ref="N33:N35" si="10">(0.22*$J$11)+1.38</f>
        <v>1.38</v>
      </c>
      <c r="O33" s="22">
        <f t="shared" ref="O33:O35" si="11">(0.22*$J$12)+1.38</f>
        <v>1.38</v>
      </c>
      <c r="P33" s="22">
        <f t="shared" ref="P33:P35" si="12">(0.22*$J$13)+1.38</f>
        <v>1.38</v>
      </c>
      <c r="Q33" s="22">
        <f t="shared" ref="Q33:Q35" si="13">(0.22*$J$14)+1.38</f>
        <v>1.38</v>
      </c>
      <c r="R33" s="22">
        <f t="shared" ref="R33:R35" si="14">(0.22*$J$15)+1.38</f>
        <v>1.38</v>
      </c>
      <c r="S33" s="5" t="s">
        <v>165</v>
      </c>
      <c r="T33" s="6" t="s">
        <v>171</v>
      </c>
      <c r="U33" s="6" t="s">
        <v>220</v>
      </c>
      <c r="V33" s="23">
        <f>0.12*J8+2.248</f>
        <v>2.2480000000000002</v>
      </c>
      <c r="W33" s="23">
        <f>0.12*J9+2.248</f>
        <v>2.2480000000000002</v>
      </c>
      <c r="X33" s="23">
        <f>0.12*J10+2.248</f>
        <v>2.2480000000000002</v>
      </c>
      <c r="Y33" s="23">
        <f>0.12*J11+2.248</f>
        <v>2.2480000000000002</v>
      </c>
      <c r="Z33" s="23">
        <f>0.12*J12+2.248</f>
        <v>2.2480000000000002</v>
      </c>
      <c r="AA33" s="23">
        <f>0.12*J13+2.248</f>
        <v>2.2480000000000002</v>
      </c>
      <c r="AB33" s="23">
        <f>0.12*J14+2.248</f>
        <v>2.2480000000000002</v>
      </c>
      <c r="AC33" s="23">
        <f>0.12*J15+2.248</f>
        <v>2.2480000000000002</v>
      </c>
      <c r="AE33" s="98"/>
    </row>
    <row r="34" spans="1:31" hidden="1">
      <c r="A34" s="28"/>
      <c r="C34" s="22" t="str">
        <f>IF('Project Summary'!$C$12="", "PY9-PY12", IF('Project Summary'!$C$12&lt;=I30, "PY8", "PY9-PY12"))</f>
        <v>PY9-PY12</v>
      </c>
      <c r="H34" s="5" t="s">
        <v>165</v>
      </c>
      <c r="I34" s="6" t="s">
        <v>173</v>
      </c>
      <c r="J34" s="6" t="s">
        <v>218</v>
      </c>
      <c r="K34" s="22">
        <f t="shared" si="7"/>
        <v>1.38</v>
      </c>
      <c r="L34" s="22">
        <f t="shared" si="8"/>
        <v>1.38</v>
      </c>
      <c r="M34" s="22">
        <f t="shared" si="9"/>
        <v>1.38</v>
      </c>
      <c r="N34" s="22">
        <f t="shared" si="10"/>
        <v>1.38</v>
      </c>
      <c r="O34" s="22">
        <f t="shared" si="11"/>
        <v>1.38</v>
      </c>
      <c r="P34" s="22">
        <f t="shared" si="12"/>
        <v>1.38</v>
      </c>
      <c r="Q34" s="22">
        <f t="shared" si="13"/>
        <v>1.38</v>
      </c>
      <c r="R34" s="22">
        <f t="shared" si="14"/>
        <v>1.38</v>
      </c>
      <c r="S34" s="5" t="s">
        <v>165</v>
      </c>
      <c r="T34" s="6" t="s">
        <v>173</v>
      </c>
      <c r="U34" s="6" t="s">
        <v>221</v>
      </c>
      <c r="V34" s="23">
        <f>0.285*J8-2.703</f>
        <v>-2.7029999999999998</v>
      </c>
      <c r="W34" s="23">
        <f>0.285*J9-2.703</f>
        <v>-2.7029999999999998</v>
      </c>
      <c r="X34" s="23">
        <f>0.285*J10-2.703</f>
        <v>-2.7029999999999998</v>
      </c>
      <c r="Y34" s="23">
        <f>0.285*J11-2.703</f>
        <v>-2.7029999999999998</v>
      </c>
      <c r="Z34" s="23">
        <f>0.285*J12-2.703</f>
        <v>-2.7029999999999998</v>
      </c>
      <c r="AA34" s="23">
        <f>0.285*J13-2.703</f>
        <v>-2.7029999999999998</v>
      </c>
      <c r="AB34" s="23">
        <f>0.285*J14-2.703</f>
        <v>-2.7029999999999998</v>
      </c>
      <c r="AC34" s="23">
        <f>0.285*J15-2.703</f>
        <v>-2.7029999999999998</v>
      </c>
      <c r="AE34" s="98"/>
    </row>
    <row r="35" spans="1:31" hidden="1">
      <c r="A35" s="28"/>
      <c r="H35" s="5" t="s">
        <v>165</v>
      </c>
      <c r="I35" s="6" t="s">
        <v>176</v>
      </c>
      <c r="J35" s="6" t="s">
        <v>218</v>
      </c>
      <c r="K35" s="22">
        <f t="shared" si="7"/>
        <v>1.38</v>
      </c>
      <c r="L35" s="22">
        <f t="shared" si="8"/>
        <v>1.38</v>
      </c>
      <c r="M35" s="22">
        <f t="shared" si="9"/>
        <v>1.38</v>
      </c>
      <c r="N35" s="22">
        <f t="shared" si="10"/>
        <v>1.38</v>
      </c>
      <c r="O35" s="22">
        <f t="shared" si="11"/>
        <v>1.38</v>
      </c>
      <c r="P35" s="22">
        <f t="shared" si="12"/>
        <v>1.38</v>
      </c>
      <c r="Q35" s="22">
        <f t="shared" si="13"/>
        <v>1.38</v>
      </c>
      <c r="R35" s="22">
        <f t="shared" si="14"/>
        <v>1.38</v>
      </c>
      <c r="S35" s="5" t="s">
        <v>165</v>
      </c>
      <c r="T35" s="6" t="s">
        <v>176</v>
      </c>
      <c r="U35" s="6" t="s">
        <v>222</v>
      </c>
      <c r="V35" s="23">
        <f>0.142*J8+4.445</f>
        <v>4.4450000000000003</v>
      </c>
      <c r="W35" s="23">
        <f>0.142*J9+4.445</f>
        <v>4.4450000000000003</v>
      </c>
      <c r="X35" s="23">
        <f>0.142*J10+4.445</f>
        <v>4.4450000000000003</v>
      </c>
      <c r="Y35" s="23">
        <f>0.142*J11+4.445</f>
        <v>4.4450000000000003</v>
      </c>
      <c r="Z35" s="23">
        <f>0.142*J12+4.445</f>
        <v>4.4450000000000003</v>
      </c>
      <c r="AA35" s="23">
        <f>0.142*J13+4.445</f>
        <v>4.4450000000000003</v>
      </c>
      <c r="AB35" s="23">
        <f>0.142*J14+4.445</f>
        <v>4.4450000000000003</v>
      </c>
      <c r="AC35" s="23">
        <f>0.142*J15+4.445</f>
        <v>4.4450000000000003</v>
      </c>
      <c r="AE35" s="98"/>
    </row>
    <row r="36" spans="1:31" hidden="1">
      <c r="A36" s="28"/>
      <c r="H36" s="5" t="s">
        <v>178</v>
      </c>
      <c r="I36" s="6" t="s">
        <v>166</v>
      </c>
      <c r="J36" s="6" t="s">
        <v>223</v>
      </c>
      <c r="K36" s="22">
        <f>(0.29*$J$8)+2.95</f>
        <v>2.95</v>
      </c>
      <c r="L36" s="22">
        <f>(0.29*$J$9)+2.95</f>
        <v>2.95</v>
      </c>
      <c r="M36" s="22">
        <f>(0.29*$J$10)+2.95</f>
        <v>2.95</v>
      </c>
      <c r="N36" s="22">
        <f>(0.29*$J$11)+2.95</f>
        <v>2.95</v>
      </c>
      <c r="O36" s="22">
        <f>(0.29*$J$12)+2.95</f>
        <v>2.95</v>
      </c>
      <c r="P36" s="22">
        <f>(0.29*$J$13)+2.95</f>
        <v>2.95</v>
      </c>
      <c r="Q36" s="22">
        <f>(0.29*$J$14)+2.95</f>
        <v>2.95</v>
      </c>
      <c r="R36" s="22">
        <f>(0.29*$J$15)+2.95</f>
        <v>2.95</v>
      </c>
      <c r="S36" s="5" t="s">
        <v>178</v>
      </c>
      <c r="T36" s="6" t="s">
        <v>166</v>
      </c>
      <c r="U36" s="6" t="s">
        <v>224</v>
      </c>
      <c r="V36" s="23">
        <f>0.232*$J$8+2.36</f>
        <v>2.36</v>
      </c>
      <c r="W36" s="23">
        <f>0.232*$J$9+2.36</f>
        <v>2.36</v>
      </c>
      <c r="X36" s="23">
        <f>0.232*$J$10+2.36</f>
        <v>2.36</v>
      </c>
      <c r="Y36" s="23">
        <f>0.232*$J$11+2.36</f>
        <v>2.36</v>
      </c>
      <c r="Z36" s="23">
        <f>0.232*$J$12+2.36</f>
        <v>2.36</v>
      </c>
      <c r="AA36" s="23">
        <f>0.232*$J$13+2.36</f>
        <v>2.36</v>
      </c>
      <c r="AB36" s="23">
        <f>0.232*$J$14+2.36</f>
        <v>2.36</v>
      </c>
      <c r="AC36" s="23">
        <f>0.232*$J$15+2.36</f>
        <v>2.36</v>
      </c>
      <c r="AE36" s="98"/>
    </row>
    <row r="37" spans="1:31" hidden="1">
      <c r="A37" s="28"/>
      <c r="H37" s="5" t="s">
        <v>178</v>
      </c>
      <c r="I37" s="6" t="s">
        <v>171</v>
      </c>
      <c r="J37" s="6" t="s">
        <v>223</v>
      </c>
      <c r="K37" s="22">
        <f t="shared" ref="K37:K39" si="15">(0.29*$J$8)+2.95</f>
        <v>2.95</v>
      </c>
      <c r="L37" s="22">
        <f t="shared" ref="L37:L39" si="16">(0.29*$J$9)+2.95</f>
        <v>2.95</v>
      </c>
      <c r="M37" s="22">
        <f t="shared" ref="M37:M39" si="17">(0.29*$J$10)+2.95</f>
        <v>2.95</v>
      </c>
      <c r="N37" s="22">
        <f t="shared" ref="N37:N39" si="18">(0.29*$J$11)+2.95</f>
        <v>2.95</v>
      </c>
      <c r="O37" s="22">
        <f t="shared" ref="O37:O39" si="19">(0.29*$J$12)+2.95</f>
        <v>2.95</v>
      </c>
      <c r="P37" s="22">
        <f t="shared" ref="P37:P39" si="20">(0.29*$J$13)+2.95</f>
        <v>2.95</v>
      </c>
      <c r="Q37" s="22">
        <f t="shared" ref="Q37:Q39" si="21">(0.29*$J$14)+2.95</f>
        <v>2.95</v>
      </c>
      <c r="R37" s="22">
        <f t="shared" ref="R37:R39" si="22">(0.29*$J$15)+2.95</f>
        <v>2.95</v>
      </c>
      <c r="S37" s="5" t="s">
        <v>178</v>
      </c>
      <c r="T37" s="6" t="s">
        <v>171</v>
      </c>
      <c r="U37" s="6" t="s">
        <v>224</v>
      </c>
      <c r="V37" s="23">
        <f t="shared" ref="V37:V39" si="23">0.232*$J$8+2.36</f>
        <v>2.36</v>
      </c>
      <c r="W37" s="23">
        <f t="shared" ref="W37:W39" si="24">0.232*$J$9+2.36</f>
        <v>2.36</v>
      </c>
      <c r="X37" s="23">
        <f t="shared" ref="X37:X39" si="25">0.232*$J$10+2.36</f>
        <v>2.36</v>
      </c>
      <c r="Y37" s="23">
        <f t="shared" ref="Y37:Y39" si="26">0.232*$J$11+2.36</f>
        <v>2.36</v>
      </c>
      <c r="Z37" s="23">
        <f t="shared" ref="Z37:Z39" si="27">0.232*$J$12+2.36</f>
        <v>2.36</v>
      </c>
      <c r="AA37" s="23">
        <f t="shared" ref="AA37:AA39" si="28">0.232*$J$13+2.36</f>
        <v>2.36</v>
      </c>
      <c r="AB37" s="23">
        <f t="shared" ref="AB37:AB39" si="29">0.232*$J$14+2.36</f>
        <v>2.36</v>
      </c>
      <c r="AC37" s="23">
        <f t="shared" ref="AC37:AC39" si="30">0.232*$J$15+2.36</f>
        <v>2.36</v>
      </c>
      <c r="AE37" s="98"/>
    </row>
    <row r="38" spans="1:31" hidden="1">
      <c r="A38" s="28"/>
      <c r="H38" s="5" t="s">
        <v>178</v>
      </c>
      <c r="I38" s="6" t="s">
        <v>173</v>
      </c>
      <c r="J38" s="6" t="s">
        <v>223</v>
      </c>
      <c r="K38" s="22">
        <f t="shared" si="15"/>
        <v>2.95</v>
      </c>
      <c r="L38" s="22">
        <f t="shared" si="16"/>
        <v>2.95</v>
      </c>
      <c r="M38" s="22">
        <f t="shared" si="17"/>
        <v>2.95</v>
      </c>
      <c r="N38" s="22">
        <f t="shared" si="18"/>
        <v>2.95</v>
      </c>
      <c r="O38" s="22">
        <f t="shared" si="19"/>
        <v>2.95</v>
      </c>
      <c r="P38" s="22">
        <f t="shared" si="20"/>
        <v>2.95</v>
      </c>
      <c r="Q38" s="22">
        <f t="shared" si="21"/>
        <v>2.95</v>
      </c>
      <c r="R38" s="22">
        <f t="shared" si="22"/>
        <v>2.95</v>
      </c>
      <c r="S38" s="5" t="s">
        <v>178</v>
      </c>
      <c r="T38" s="6" t="s">
        <v>173</v>
      </c>
      <c r="U38" s="6" t="s">
        <v>224</v>
      </c>
      <c r="V38" s="23">
        <f t="shared" si="23"/>
        <v>2.36</v>
      </c>
      <c r="W38" s="23">
        <f t="shared" si="24"/>
        <v>2.36</v>
      </c>
      <c r="X38" s="23">
        <f t="shared" si="25"/>
        <v>2.36</v>
      </c>
      <c r="Y38" s="23">
        <f t="shared" si="26"/>
        <v>2.36</v>
      </c>
      <c r="Z38" s="23">
        <f t="shared" si="27"/>
        <v>2.36</v>
      </c>
      <c r="AA38" s="23">
        <f t="shared" si="28"/>
        <v>2.36</v>
      </c>
      <c r="AB38" s="23">
        <f t="shared" si="29"/>
        <v>2.36</v>
      </c>
      <c r="AC38" s="23">
        <f t="shared" si="30"/>
        <v>2.36</v>
      </c>
      <c r="AE38" s="98"/>
    </row>
    <row r="39" spans="1:31" hidden="1">
      <c r="A39" s="28"/>
      <c r="H39" s="5" t="s">
        <v>178</v>
      </c>
      <c r="I39" s="6" t="s">
        <v>176</v>
      </c>
      <c r="J39" s="6" t="s">
        <v>223</v>
      </c>
      <c r="K39" s="22">
        <f t="shared" si="15"/>
        <v>2.95</v>
      </c>
      <c r="L39" s="22">
        <f t="shared" si="16"/>
        <v>2.95</v>
      </c>
      <c r="M39" s="22">
        <f t="shared" si="17"/>
        <v>2.95</v>
      </c>
      <c r="N39" s="22">
        <f t="shared" si="18"/>
        <v>2.95</v>
      </c>
      <c r="O39" s="22">
        <f t="shared" si="19"/>
        <v>2.95</v>
      </c>
      <c r="P39" s="22">
        <f t="shared" si="20"/>
        <v>2.95</v>
      </c>
      <c r="Q39" s="22">
        <f t="shared" si="21"/>
        <v>2.95</v>
      </c>
      <c r="R39" s="22">
        <f t="shared" si="22"/>
        <v>2.95</v>
      </c>
      <c r="S39" s="5" t="s">
        <v>178</v>
      </c>
      <c r="T39" s="6" t="s">
        <v>176</v>
      </c>
      <c r="U39" s="6" t="s">
        <v>224</v>
      </c>
      <c r="V39" s="23">
        <f t="shared" si="23"/>
        <v>2.36</v>
      </c>
      <c r="W39" s="23">
        <f t="shared" si="24"/>
        <v>2.36</v>
      </c>
      <c r="X39" s="23">
        <f t="shared" si="25"/>
        <v>2.36</v>
      </c>
      <c r="Y39" s="23">
        <f t="shared" si="26"/>
        <v>2.36</v>
      </c>
      <c r="Z39" s="23">
        <f t="shared" si="27"/>
        <v>2.36</v>
      </c>
      <c r="AA39" s="23">
        <f t="shared" si="28"/>
        <v>2.36</v>
      </c>
      <c r="AB39" s="23">
        <f t="shared" si="29"/>
        <v>2.36</v>
      </c>
      <c r="AC39" s="23">
        <f t="shared" si="30"/>
        <v>2.36</v>
      </c>
      <c r="AE39" s="98"/>
    </row>
    <row r="40" spans="1:31" hidden="1">
      <c r="A40" s="28"/>
      <c r="H40" s="247"/>
      <c r="I40" s="34"/>
      <c r="J40" s="34"/>
      <c r="K40" s="36"/>
      <c r="L40" s="36"/>
      <c r="M40" s="36"/>
      <c r="N40" s="36"/>
      <c r="O40" s="36"/>
      <c r="P40" s="36"/>
      <c r="Q40" s="36"/>
      <c r="R40" s="36"/>
      <c r="S40" s="247"/>
      <c r="T40" s="34"/>
      <c r="U40" s="34"/>
      <c r="V40" s="143"/>
      <c r="W40" s="143"/>
      <c r="X40" s="143"/>
      <c r="Y40" s="143"/>
      <c r="Z40" s="143"/>
      <c r="AA40" s="143"/>
      <c r="AB40" s="143"/>
      <c r="AC40" s="143"/>
      <c r="AE40" s="98"/>
    </row>
    <row r="41" spans="1:31" hidden="1">
      <c r="A41" s="28"/>
      <c r="H41" s="159" t="s">
        <v>199</v>
      </c>
      <c r="I41" s="160">
        <v>44348</v>
      </c>
      <c r="J41" s="282"/>
      <c r="K41" s="282"/>
      <c r="L41" s="282"/>
      <c r="M41" s="282"/>
      <c r="N41" s="282"/>
      <c r="O41" s="282"/>
      <c r="P41" s="282"/>
      <c r="Q41" s="282"/>
      <c r="R41" s="283"/>
      <c r="S41" s="281" t="s">
        <v>159</v>
      </c>
      <c r="T41" s="281"/>
      <c r="U41" s="281"/>
      <c r="V41" s="281"/>
      <c r="W41" s="281"/>
      <c r="X41" s="281"/>
      <c r="Y41" s="281"/>
      <c r="Z41" s="281"/>
      <c r="AA41" s="281"/>
      <c r="AB41" s="281"/>
      <c r="AC41" s="281"/>
      <c r="AE41" s="98"/>
    </row>
    <row r="42" spans="1:31" ht="30" hidden="1">
      <c r="A42" s="28"/>
      <c r="H42" s="3" t="s">
        <v>160</v>
      </c>
      <c r="I42" s="2" t="s">
        <v>161</v>
      </c>
      <c r="J42" s="3" t="s">
        <v>162</v>
      </c>
      <c r="K42" s="2">
        <v>1</v>
      </c>
      <c r="L42" s="2">
        <v>2</v>
      </c>
      <c r="M42" s="2">
        <v>3</v>
      </c>
      <c r="N42" s="2">
        <v>4</v>
      </c>
      <c r="O42" s="2">
        <v>5</v>
      </c>
      <c r="P42" s="2">
        <v>6</v>
      </c>
      <c r="Q42" s="2">
        <v>7</v>
      </c>
      <c r="R42" s="2">
        <v>8</v>
      </c>
      <c r="S42" s="3" t="s">
        <v>160</v>
      </c>
      <c r="T42" s="2" t="s">
        <v>161</v>
      </c>
      <c r="U42" s="3" t="s">
        <v>163</v>
      </c>
      <c r="V42" s="2">
        <v>1</v>
      </c>
      <c r="W42" s="2">
        <v>2</v>
      </c>
      <c r="X42" s="2">
        <v>3</v>
      </c>
      <c r="Y42" s="2">
        <v>4</v>
      </c>
      <c r="Z42" s="2">
        <v>5</v>
      </c>
      <c r="AA42" s="2">
        <v>6</v>
      </c>
      <c r="AB42" s="2">
        <v>7</v>
      </c>
      <c r="AC42" s="2">
        <v>8</v>
      </c>
      <c r="AE42" s="98"/>
    </row>
    <row r="43" spans="1:31" hidden="1">
      <c r="A43" s="28"/>
      <c r="H43" s="5" t="s">
        <v>165</v>
      </c>
      <c r="I43" s="6" t="s">
        <v>166</v>
      </c>
      <c r="J43" s="6" t="s">
        <v>218</v>
      </c>
      <c r="K43" s="22">
        <f>(0.22*$J$8)+1.38</f>
        <v>1.38</v>
      </c>
      <c r="L43" s="22">
        <f>(0.22*$J$9)+1.38</f>
        <v>1.38</v>
      </c>
      <c r="M43" s="22">
        <f>(0.22*$J$10)+1.38</f>
        <v>1.38</v>
      </c>
      <c r="N43" s="22">
        <f>(0.22*$J$11)+1.38</f>
        <v>1.38</v>
      </c>
      <c r="O43" s="22">
        <f>(0.22*$J$12)+1.38</f>
        <v>1.38</v>
      </c>
      <c r="P43" s="22">
        <f>(0.22*$J$13)+1.38</f>
        <v>1.38</v>
      </c>
      <c r="Q43" s="22">
        <f>(0.22*$J$14)+1.38</f>
        <v>1.38</v>
      </c>
      <c r="R43" s="22">
        <f>(0.22*$J$15)+1.38</f>
        <v>1.38</v>
      </c>
      <c r="S43" s="5" t="s">
        <v>165</v>
      </c>
      <c r="T43" s="6" t="s">
        <v>166</v>
      </c>
      <c r="U43" s="6" t="s">
        <v>219</v>
      </c>
      <c r="V43" s="23">
        <f>0.21*J8+0.9</f>
        <v>0.9</v>
      </c>
      <c r="W43" s="23">
        <f>0.21*J9+0.9</f>
        <v>0.9</v>
      </c>
      <c r="X43" s="23">
        <f>0.21*J10+0.9</f>
        <v>0.9</v>
      </c>
      <c r="Y43" s="23">
        <f>0.21*J11+0.9</f>
        <v>0.9</v>
      </c>
      <c r="Z43" s="23">
        <f>0.21*J12+0.9</f>
        <v>0.9</v>
      </c>
      <c r="AA43" s="23">
        <f>0.21*J13+0.9</f>
        <v>0.9</v>
      </c>
      <c r="AB43" s="23">
        <f>0.21*J14+0.9</f>
        <v>0.9</v>
      </c>
      <c r="AC43" s="23">
        <f>0.21*J15+0.9</f>
        <v>0.9</v>
      </c>
      <c r="AE43" s="98"/>
    </row>
    <row r="44" spans="1:31" hidden="1">
      <c r="A44" s="28"/>
      <c r="H44" s="5" t="s">
        <v>165</v>
      </c>
      <c r="I44" s="6" t="s">
        <v>171</v>
      </c>
      <c r="J44" s="6" t="s">
        <v>218</v>
      </c>
      <c r="K44" s="22">
        <f t="shared" ref="K44:K46" si="31">(0.22*$J$8)+1.38</f>
        <v>1.38</v>
      </c>
      <c r="L44" s="22">
        <f t="shared" ref="L44:L46" si="32">(0.22*$J$9)+1.38</f>
        <v>1.38</v>
      </c>
      <c r="M44" s="22">
        <f t="shared" ref="M44:M46" si="33">(0.22*$J$10)+1.38</f>
        <v>1.38</v>
      </c>
      <c r="N44" s="22">
        <f t="shared" ref="N44:N46" si="34">(0.22*$J$11)+1.38</f>
        <v>1.38</v>
      </c>
      <c r="O44" s="22">
        <f t="shared" ref="O44:O46" si="35">(0.22*$J$12)+1.38</f>
        <v>1.38</v>
      </c>
      <c r="P44" s="22">
        <f t="shared" ref="P44:P46" si="36">(0.22*$J$13)+1.38</f>
        <v>1.38</v>
      </c>
      <c r="Q44" s="22">
        <f t="shared" ref="Q44:Q46" si="37">(0.22*$J$14)+1.38</f>
        <v>1.38</v>
      </c>
      <c r="R44" s="22">
        <f t="shared" ref="R44:R46" si="38">(0.22*$J$15)+1.38</f>
        <v>1.38</v>
      </c>
      <c r="S44" s="5" t="s">
        <v>165</v>
      </c>
      <c r="T44" s="6" t="s">
        <v>171</v>
      </c>
      <c r="U44" s="6" t="s">
        <v>220</v>
      </c>
      <c r="V44" s="23">
        <f>0.12*J8+2.248</f>
        <v>2.2480000000000002</v>
      </c>
      <c r="W44" s="23">
        <f>0.12*J9+2.248</f>
        <v>2.2480000000000002</v>
      </c>
      <c r="X44" s="23">
        <f>0.12*J10+2.248</f>
        <v>2.2480000000000002</v>
      </c>
      <c r="Y44" s="23">
        <f>0.12*J11+2.248</f>
        <v>2.2480000000000002</v>
      </c>
      <c r="Z44" s="23">
        <f>0.12*J12+2.248</f>
        <v>2.2480000000000002</v>
      </c>
      <c r="AA44" s="23">
        <f>0.12*J13+2.248</f>
        <v>2.2480000000000002</v>
      </c>
      <c r="AB44" s="23">
        <f>0.12*J14+2.248</f>
        <v>2.2480000000000002</v>
      </c>
      <c r="AC44" s="23">
        <f>0.12*J15+2.248</f>
        <v>2.2480000000000002</v>
      </c>
      <c r="AE44" s="98"/>
    </row>
    <row r="45" spans="1:31" hidden="1">
      <c r="A45" s="28"/>
      <c r="H45" s="5" t="s">
        <v>165</v>
      </c>
      <c r="I45" s="6" t="s">
        <v>173</v>
      </c>
      <c r="J45" s="6" t="s">
        <v>218</v>
      </c>
      <c r="K45" s="22">
        <f t="shared" si="31"/>
        <v>1.38</v>
      </c>
      <c r="L45" s="22">
        <f t="shared" si="32"/>
        <v>1.38</v>
      </c>
      <c r="M45" s="22">
        <f t="shared" si="33"/>
        <v>1.38</v>
      </c>
      <c r="N45" s="22">
        <f t="shared" si="34"/>
        <v>1.38</v>
      </c>
      <c r="O45" s="22">
        <f t="shared" si="35"/>
        <v>1.38</v>
      </c>
      <c r="P45" s="22">
        <f t="shared" si="36"/>
        <v>1.38</v>
      </c>
      <c r="Q45" s="22">
        <f t="shared" si="37"/>
        <v>1.38</v>
      </c>
      <c r="R45" s="22">
        <f t="shared" si="38"/>
        <v>1.38</v>
      </c>
      <c r="S45" s="5" t="s">
        <v>165</v>
      </c>
      <c r="T45" s="6" t="s">
        <v>173</v>
      </c>
      <c r="U45" s="6" t="s">
        <v>221</v>
      </c>
      <c r="V45" s="23">
        <f>0.285*J8-2.703</f>
        <v>-2.7029999999999998</v>
      </c>
      <c r="W45" s="23">
        <f>0.285*J9-2.703</f>
        <v>-2.7029999999999998</v>
      </c>
      <c r="X45" s="23">
        <f>0.285*J10-2.703</f>
        <v>-2.7029999999999998</v>
      </c>
      <c r="Y45" s="23">
        <f>0.285*J11-2.703</f>
        <v>-2.7029999999999998</v>
      </c>
      <c r="Z45" s="23">
        <f>0.285*J12-2.703</f>
        <v>-2.7029999999999998</v>
      </c>
      <c r="AA45" s="23">
        <f>0.285*J13-2.703</f>
        <v>-2.7029999999999998</v>
      </c>
      <c r="AB45" s="23">
        <f>0.285*J14-2.703</f>
        <v>-2.7029999999999998</v>
      </c>
      <c r="AC45" s="23">
        <f>0.285*J15-2.703</f>
        <v>-2.7029999999999998</v>
      </c>
      <c r="AE45" s="98"/>
    </row>
    <row r="46" spans="1:31" hidden="1">
      <c r="A46" s="28"/>
      <c r="H46" s="5" t="s">
        <v>165</v>
      </c>
      <c r="I46" s="6" t="s">
        <v>176</v>
      </c>
      <c r="J46" s="6" t="s">
        <v>218</v>
      </c>
      <c r="K46" s="22">
        <f t="shared" si="31"/>
        <v>1.38</v>
      </c>
      <c r="L46" s="22">
        <f t="shared" si="32"/>
        <v>1.38</v>
      </c>
      <c r="M46" s="22">
        <f t="shared" si="33"/>
        <v>1.38</v>
      </c>
      <c r="N46" s="22">
        <f t="shared" si="34"/>
        <v>1.38</v>
      </c>
      <c r="O46" s="22">
        <f t="shared" si="35"/>
        <v>1.38</v>
      </c>
      <c r="P46" s="22">
        <f t="shared" si="36"/>
        <v>1.38</v>
      </c>
      <c r="Q46" s="22">
        <f t="shared" si="37"/>
        <v>1.38</v>
      </c>
      <c r="R46" s="22">
        <f t="shared" si="38"/>
        <v>1.38</v>
      </c>
      <c r="S46" s="5" t="s">
        <v>165</v>
      </c>
      <c r="T46" s="6" t="s">
        <v>176</v>
      </c>
      <c r="U46" s="6" t="s">
        <v>222</v>
      </c>
      <c r="V46" s="23">
        <f>0.142*J8+4.445</f>
        <v>4.4450000000000003</v>
      </c>
      <c r="W46" s="23">
        <f>0.142*J9+4.445</f>
        <v>4.4450000000000003</v>
      </c>
      <c r="X46" s="23">
        <f>0.142*J10+4.445</f>
        <v>4.4450000000000003</v>
      </c>
      <c r="Y46" s="23">
        <f>0.142*J11+4.445</f>
        <v>4.4450000000000003</v>
      </c>
      <c r="Z46" s="23">
        <f>0.142*J12+4.445</f>
        <v>4.4450000000000003</v>
      </c>
      <c r="AA46" s="23">
        <f>0.142*J13+4.445</f>
        <v>4.4450000000000003</v>
      </c>
      <c r="AB46" s="23">
        <f>0.142*J14+4.445</f>
        <v>4.4450000000000003</v>
      </c>
      <c r="AC46" s="23">
        <f>0.142*J15+4.445</f>
        <v>4.4450000000000003</v>
      </c>
      <c r="AE46" s="98"/>
    </row>
    <row r="47" spans="1:31" hidden="1">
      <c r="A47" s="28"/>
      <c r="H47" s="5" t="s">
        <v>178</v>
      </c>
      <c r="I47" s="6" t="s">
        <v>166</v>
      </c>
      <c r="J47" s="6" t="s">
        <v>223</v>
      </c>
      <c r="K47" s="22">
        <f>(0.29*$J$8)+2.95</f>
        <v>2.95</v>
      </c>
      <c r="L47" s="22">
        <f>(0.29*$J$9)+2.95</f>
        <v>2.95</v>
      </c>
      <c r="M47" s="22">
        <f>(0.29*$J$10)+2.95</f>
        <v>2.95</v>
      </c>
      <c r="N47" s="22">
        <f>(0.29*$J$11)+2.95</f>
        <v>2.95</v>
      </c>
      <c r="O47" s="22">
        <f>(0.29*$J$12)+2.95</f>
        <v>2.95</v>
      </c>
      <c r="P47" s="22">
        <f>(0.29*$J$13)+2.95</f>
        <v>2.95</v>
      </c>
      <c r="Q47" s="22">
        <f>(0.29*$J$14)+2.95</f>
        <v>2.95</v>
      </c>
      <c r="R47" s="22">
        <f>(0.29*$J$15)+2.95</f>
        <v>2.95</v>
      </c>
      <c r="S47" s="5" t="s">
        <v>178</v>
      </c>
      <c r="T47" s="6" t="s">
        <v>166</v>
      </c>
      <c r="U47" s="6" t="s">
        <v>224</v>
      </c>
      <c r="V47" s="23">
        <f>0.232*$J$8+2.36</f>
        <v>2.36</v>
      </c>
      <c r="W47" s="23">
        <f>0.232*$J$9+2.36</f>
        <v>2.36</v>
      </c>
      <c r="X47" s="23">
        <f>0.232*$J$10+2.36</f>
        <v>2.36</v>
      </c>
      <c r="Y47" s="23">
        <f>0.232*$J$11+2.36</f>
        <v>2.36</v>
      </c>
      <c r="Z47" s="23">
        <f>0.232*$J$12+2.36</f>
        <v>2.36</v>
      </c>
      <c r="AA47" s="23">
        <f>0.232*$J$13+2.36</f>
        <v>2.36</v>
      </c>
      <c r="AB47" s="23">
        <f>0.232*$J$14+2.36</f>
        <v>2.36</v>
      </c>
      <c r="AC47" s="23">
        <f>0.232*$J$15+2.36</f>
        <v>2.36</v>
      </c>
      <c r="AE47" s="98"/>
    </row>
    <row r="48" spans="1:31" hidden="1">
      <c r="A48" s="28"/>
      <c r="H48" s="5" t="s">
        <v>178</v>
      </c>
      <c r="I48" s="6" t="s">
        <v>171</v>
      </c>
      <c r="J48" s="6" t="s">
        <v>223</v>
      </c>
      <c r="K48" s="22">
        <f t="shared" ref="K48:K50" si="39">(0.29*$J$8)+2.95</f>
        <v>2.95</v>
      </c>
      <c r="L48" s="22">
        <f t="shared" ref="L48:L50" si="40">(0.29*$J$9)+2.95</f>
        <v>2.95</v>
      </c>
      <c r="M48" s="22">
        <f t="shared" ref="M48:M50" si="41">(0.29*$J$10)+2.95</f>
        <v>2.95</v>
      </c>
      <c r="N48" s="22">
        <f t="shared" ref="N48:N50" si="42">(0.29*$J$11)+2.95</f>
        <v>2.95</v>
      </c>
      <c r="O48" s="22">
        <f t="shared" ref="O48:O50" si="43">(0.29*$J$12)+2.95</f>
        <v>2.95</v>
      </c>
      <c r="P48" s="22">
        <f t="shared" ref="P48:P50" si="44">(0.29*$J$13)+2.95</f>
        <v>2.95</v>
      </c>
      <c r="Q48" s="22">
        <f t="shared" ref="Q48:Q50" si="45">(0.29*$J$14)+2.95</f>
        <v>2.95</v>
      </c>
      <c r="R48" s="22">
        <f t="shared" ref="R48:R50" si="46">(0.29*$J$15)+2.95</f>
        <v>2.95</v>
      </c>
      <c r="S48" s="5" t="s">
        <v>178</v>
      </c>
      <c r="T48" s="6" t="s">
        <v>171</v>
      </c>
      <c r="U48" s="6" t="s">
        <v>224</v>
      </c>
      <c r="V48" s="23">
        <f t="shared" ref="V48:V50" si="47">0.232*$J$8+2.36</f>
        <v>2.36</v>
      </c>
      <c r="W48" s="23">
        <f t="shared" ref="W48:W50" si="48">0.232*$J$9+2.36</f>
        <v>2.36</v>
      </c>
      <c r="X48" s="23">
        <f t="shared" ref="X48:X50" si="49">0.232*$J$10+2.36</f>
        <v>2.36</v>
      </c>
      <c r="Y48" s="23">
        <f t="shared" ref="Y48:Y50" si="50">0.232*$J$11+2.36</f>
        <v>2.36</v>
      </c>
      <c r="Z48" s="23">
        <f t="shared" ref="Z48:Z50" si="51">0.232*$J$12+2.36</f>
        <v>2.36</v>
      </c>
      <c r="AA48" s="23">
        <f t="shared" ref="AA48:AA50" si="52">0.232*$J$13+2.36</f>
        <v>2.36</v>
      </c>
      <c r="AB48" s="23">
        <f t="shared" ref="AB48:AB50" si="53">0.232*$J$14+2.36</f>
        <v>2.36</v>
      </c>
      <c r="AC48" s="23">
        <f t="shared" ref="AC48:AC50" si="54">0.232*$J$15+2.36</f>
        <v>2.36</v>
      </c>
      <c r="AE48" s="98"/>
    </row>
    <row r="49" spans="1:31" hidden="1">
      <c r="A49" s="28"/>
      <c r="H49" s="5" t="s">
        <v>178</v>
      </c>
      <c r="I49" s="6" t="s">
        <v>173</v>
      </c>
      <c r="J49" s="6" t="s">
        <v>223</v>
      </c>
      <c r="K49" s="22">
        <f t="shared" si="39"/>
        <v>2.95</v>
      </c>
      <c r="L49" s="22">
        <f t="shared" si="40"/>
        <v>2.95</v>
      </c>
      <c r="M49" s="22">
        <f t="shared" si="41"/>
        <v>2.95</v>
      </c>
      <c r="N49" s="22">
        <f t="shared" si="42"/>
        <v>2.95</v>
      </c>
      <c r="O49" s="22">
        <f t="shared" si="43"/>
        <v>2.95</v>
      </c>
      <c r="P49" s="22">
        <f t="shared" si="44"/>
        <v>2.95</v>
      </c>
      <c r="Q49" s="22">
        <f t="shared" si="45"/>
        <v>2.95</v>
      </c>
      <c r="R49" s="22">
        <f t="shared" si="46"/>
        <v>2.95</v>
      </c>
      <c r="S49" s="5" t="s">
        <v>178</v>
      </c>
      <c r="T49" s="6" t="s">
        <v>173</v>
      </c>
      <c r="U49" s="6" t="s">
        <v>224</v>
      </c>
      <c r="V49" s="23">
        <f t="shared" si="47"/>
        <v>2.36</v>
      </c>
      <c r="W49" s="23">
        <f t="shared" si="48"/>
        <v>2.36</v>
      </c>
      <c r="X49" s="23">
        <f t="shared" si="49"/>
        <v>2.36</v>
      </c>
      <c r="Y49" s="23">
        <f t="shared" si="50"/>
        <v>2.36</v>
      </c>
      <c r="Z49" s="23">
        <f t="shared" si="51"/>
        <v>2.36</v>
      </c>
      <c r="AA49" s="23">
        <f t="shared" si="52"/>
        <v>2.36</v>
      </c>
      <c r="AB49" s="23">
        <f t="shared" si="53"/>
        <v>2.36</v>
      </c>
      <c r="AC49" s="23">
        <f t="shared" si="54"/>
        <v>2.36</v>
      </c>
      <c r="AE49" s="98"/>
    </row>
    <row r="50" spans="1:31" hidden="1">
      <c r="A50" s="28"/>
      <c r="H50" s="5" t="s">
        <v>178</v>
      </c>
      <c r="I50" s="6" t="s">
        <v>176</v>
      </c>
      <c r="J50" s="6" t="s">
        <v>223</v>
      </c>
      <c r="K50" s="22">
        <f t="shared" si="39"/>
        <v>2.95</v>
      </c>
      <c r="L50" s="22">
        <f t="shared" si="40"/>
        <v>2.95</v>
      </c>
      <c r="M50" s="22">
        <f t="shared" si="41"/>
        <v>2.95</v>
      </c>
      <c r="N50" s="22">
        <f t="shared" si="42"/>
        <v>2.95</v>
      </c>
      <c r="O50" s="22">
        <f t="shared" si="43"/>
        <v>2.95</v>
      </c>
      <c r="P50" s="22">
        <f t="shared" si="44"/>
        <v>2.95</v>
      </c>
      <c r="Q50" s="22">
        <f t="shared" si="45"/>
        <v>2.95</v>
      </c>
      <c r="R50" s="22">
        <f t="shared" si="46"/>
        <v>2.95</v>
      </c>
      <c r="S50" s="5" t="s">
        <v>178</v>
      </c>
      <c r="T50" s="6" t="s">
        <v>176</v>
      </c>
      <c r="U50" s="6" t="s">
        <v>224</v>
      </c>
      <c r="V50" s="23">
        <f t="shared" si="47"/>
        <v>2.36</v>
      </c>
      <c r="W50" s="23">
        <f t="shared" si="48"/>
        <v>2.36</v>
      </c>
      <c r="X50" s="23">
        <f t="shared" si="49"/>
        <v>2.36</v>
      </c>
      <c r="Y50" s="23">
        <f t="shared" si="50"/>
        <v>2.36</v>
      </c>
      <c r="Z50" s="23">
        <f t="shared" si="51"/>
        <v>2.36</v>
      </c>
      <c r="AA50" s="23">
        <f t="shared" si="52"/>
        <v>2.36</v>
      </c>
      <c r="AB50" s="23">
        <f t="shared" si="53"/>
        <v>2.36</v>
      </c>
      <c r="AC50" s="23">
        <f t="shared" si="54"/>
        <v>2.36</v>
      </c>
      <c r="AE50" s="98"/>
    </row>
    <row r="51" spans="1:31" hidden="1">
      <c r="A51" s="28"/>
      <c r="H51" s="247"/>
      <c r="I51" s="34"/>
      <c r="J51" s="34"/>
      <c r="K51" s="36"/>
      <c r="L51" s="36"/>
      <c r="M51" s="36"/>
      <c r="N51" s="36"/>
      <c r="O51" s="36"/>
      <c r="P51" s="36"/>
      <c r="Q51" s="36"/>
      <c r="R51" s="36"/>
      <c r="S51" s="36"/>
      <c r="T51" s="247"/>
      <c r="U51" s="34"/>
      <c r="V51" s="34"/>
      <c r="W51" s="143"/>
      <c r="X51" s="143"/>
      <c r="Y51" s="143"/>
      <c r="Z51" s="143"/>
      <c r="AA51" s="143"/>
      <c r="AB51" s="143"/>
      <c r="AC51" s="143"/>
      <c r="AD51" s="143"/>
      <c r="AE51" s="98"/>
    </row>
    <row r="52" spans="1:31" hidden="1">
      <c r="A52" s="28"/>
      <c r="H52" s="247"/>
      <c r="I52" s="34"/>
      <c r="J52" s="34"/>
      <c r="K52" s="36"/>
      <c r="L52" s="36"/>
      <c r="M52" s="36"/>
      <c r="N52" s="36"/>
      <c r="O52" s="36"/>
      <c r="P52" s="36"/>
      <c r="Q52" s="36"/>
      <c r="R52" s="36"/>
      <c r="S52" s="36"/>
      <c r="T52" s="247"/>
      <c r="U52" s="34"/>
      <c r="V52" s="34"/>
      <c r="W52" s="143"/>
      <c r="X52" s="143"/>
      <c r="Y52" s="143"/>
      <c r="Z52" s="143"/>
      <c r="AA52" s="143"/>
      <c r="AB52" s="143"/>
      <c r="AC52" s="143"/>
      <c r="AD52" s="143"/>
      <c r="AE52" s="98"/>
    </row>
    <row r="53" spans="1:31" hidden="1">
      <c r="A53" s="28"/>
      <c r="H53" s="247"/>
      <c r="I53" s="34"/>
      <c r="J53" s="34"/>
      <c r="K53" s="36"/>
      <c r="L53" s="36"/>
      <c r="M53" s="36"/>
      <c r="N53" s="36"/>
      <c r="O53" s="36"/>
      <c r="P53" s="36"/>
      <c r="Q53" s="36"/>
      <c r="R53" s="36"/>
      <c r="S53" s="36"/>
      <c r="T53" s="247"/>
      <c r="U53" s="34"/>
      <c r="V53" s="34"/>
      <c r="W53" s="143"/>
      <c r="X53" s="143"/>
      <c r="Y53" s="143"/>
      <c r="Z53" s="143"/>
      <c r="AA53" s="143"/>
      <c r="AB53" s="143"/>
      <c r="AC53" s="143"/>
      <c r="AD53" s="143"/>
      <c r="AE53" s="98"/>
    </row>
    <row r="54" spans="1:31" hidden="1">
      <c r="A54" s="28"/>
      <c r="AE54" s="98"/>
    </row>
    <row r="55" spans="1:31">
      <c r="A55" s="98"/>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row>
    <row r="56" spans="1:31">
      <c r="A56" s="98"/>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row>
    <row r="57" spans="1:31" s="97" customFormat="1"/>
    <row r="58" spans="1:31" s="97" customFormat="1"/>
    <row r="59" spans="1:31" s="97" customFormat="1"/>
    <row r="60" spans="1:31" s="97" customFormat="1"/>
    <row r="61" spans="1:31" s="97" customFormat="1"/>
    <row r="62" spans="1:31" s="97" customFormat="1"/>
    <row r="63" spans="1:31" s="97" customFormat="1"/>
    <row r="64" spans="1:31"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sheetData>
  <sheetProtection algorithmName="SHA-512" hashValue="0MTWnuh9D2pjDsvDpfw+Hh/anPcbWfgLZ+STxEin0HPVNHguX0XviT+4MWOC0M3kaJJSEDL9hVaBwUaFwKjFPw==" saltValue="Z49Lm9Vh1+sSY4d8AyO99g==" spinCount="100000" sheet="1" selectLockedCells="1"/>
  <mergeCells count="4">
    <mergeCell ref="B3:C3"/>
    <mergeCell ref="B2:S2"/>
    <mergeCell ref="C18:AD18"/>
    <mergeCell ref="D3:J4"/>
  </mergeCells>
  <dataValidations count="2">
    <dataValidation type="list" allowBlank="1" showInputMessage="1" showErrorMessage="1" sqref="D8:D15" xr:uid="{00000000-0002-0000-0300-000000000000}">
      <formula1>$C$21:$C$22</formula1>
    </dataValidation>
    <dataValidation type="list" allowBlank="1" showInputMessage="1" showErrorMessage="1" sqref="I8:I15" xr:uid="{00000000-0002-0000-0300-000001000000}">
      <formula1>$H$24:$H$25</formula1>
    </dataValidation>
  </dataValidations>
  <hyperlinks>
    <hyperlink ref="B3" location="'Calculator Index'!A1" display="Return to Index" xr:uid="{00000000-0004-0000-0300-000000000000}"/>
    <hyperlink ref="B3:C3" location="'Project Summary'!A1" display="Return to Project Summary" xr:uid="{00000000-0004-0000-0300-000001000000}"/>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H1429"/>
  <sheetViews>
    <sheetView zoomScale="90" zoomScaleNormal="90" workbookViewId="0">
      <selection activeCell="M13" sqref="M13"/>
    </sheetView>
  </sheetViews>
  <sheetFormatPr defaultRowHeight="15"/>
  <cols>
    <col min="1" max="1" width="3.7109375" customWidth="1"/>
    <col min="2" max="2" width="5.28515625" customWidth="1"/>
    <col min="3" max="3" width="23.85546875" bestFit="1" customWidth="1"/>
    <col min="4" max="4" width="22.7109375" customWidth="1"/>
    <col min="5" max="5" width="20.28515625" customWidth="1"/>
    <col min="6" max="8" width="20.42578125" customWidth="1"/>
    <col min="9" max="9" width="40.7109375" customWidth="1"/>
    <col min="10" max="10" width="27.5703125" customWidth="1"/>
    <col min="11" max="11" width="17.42578125" customWidth="1"/>
    <col min="12" max="12" width="19.140625" customWidth="1"/>
    <col min="13" max="13" width="14" customWidth="1"/>
    <col min="14" max="14" width="15.5703125" hidden="1" customWidth="1"/>
    <col min="15" max="15" width="14.28515625" hidden="1" customWidth="1"/>
    <col min="16" max="16" width="14" hidden="1" customWidth="1"/>
    <col min="17" max="17" width="11.140625" hidden="1" customWidth="1"/>
    <col min="18" max="18" width="10.7109375" hidden="1" customWidth="1"/>
    <col min="19" max="19" width="16.5703125" hidden="1" customWidth="1"/>
    <col min="20" max="26" width="23.42578125" hidden="1" customWidth="1"/>
    <col min="27" max="27" width="14.140625" hidden="1" customWidth="1"/>
    <col min="28" max="34" width="23.42578125" hidden="1" customWidth="1"/>
    <col min="35" max="36" width="14.140625" hidden="1" customWidth="1"/>
    <col min="37" max="38" width="16.42578125" hidden="1" customWidth="1"/>
    <col min="39" max="40" width="16.42578125" customWidth="1"/>
    <col min="41" max="41" width="14.28515625" customWidth="1"/>
    <col min="42" max="42" width="14.5703125" hidden="1" customWidth="1"/>
    <col min="43" max="43" width="16.28515625" hidden="1" customWidth="1"/>
    <col min="44" max="44" width="14.140625" hidden="1" customWidth="1"/>
    <col min="45" max="45" width="6.85546875" customWidth="1"/>
    <col min="46" max="164" width="9.140625" style="97"/>
  </cols>
  <sheetData>
    <row r="1" spans="1:45" ht="19.5" customHeight="1">
      <c r="A1" s="41"/>
      <c r="B1" s="41"/>
      <c r="C1" s="41"/>
      <c r="D1" s="41"/>
      <c r="E1" s="41"/>
      <c r="F1" s="41"/>
      <c r="G1" s="41"/>
      <c r="H1" s="41"/>
      <c r="I1" s="41"/>
      <c r="J1" s="41"/>
      <c r="K1" s="41"/>
      <c r="L1" s="41"/>
      <c r="M1" s="41"/>
      <c r="N1" s="28"/>
      <c r="O1" s="28"/>
      <c r="P1" s="28"/>
      <c r="Q1" s="28"/>
      <c r="R1" s="28"/>
      <c r="S1" s="28"/>
      <c r="T1" s="28"/>
      <c r="U1" s="28"/>
      <c r="V1" s="28"/>
      <c r="W1" s="28"/>
      <c r="X1" s="28"/>
      <c r="Y1" s="28"/>
      <c r="Z1" s="28"/>
      <c r="AA1" s="28"/>
      <c r="AB1" s="28"/>
      <c r="AC1" s="28"/>
      <c r="AD1" s="28"/>
      <c r="AE1" s="28"/>
      <c r="AF1" s="28"/>
      <c r="AG1" s="28"/>
      <c r="AH1" s="28"/>
      <c r="AI1" s="28"/>
      <c r="AJ1" s="28"/>
      <c r="AK1" s="28"/>
      <c r="AL1" s="28"/>
      <c r="AM1" s="41"/>
      <c r="AN1" s="41"/>
      <c r="AO1" s="41"/>
      <c r="AP1" s="163" t="s">
        <v>225</v>
      </c>
      <c r="AQ1" s="163"/>
      <c r="AR1" s="163" t="s">
        <v>226</v>
      </c>
      <c r="AS1" s="98"/>
    </row>
    <row r="2" spans="1:45" ht="27" customHeight="1">
      <c r="A2" s="41"/>
      <c r="B2" s="407" t="s">
        <v>227</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163"/>
      <c r="AQ2" s="163"/>
      <c r="AR2" s="28"/>
      <c r="AS2" s="98"/>
    </row>
    <row r="3" spans="1:45" ht="22.5" customHeight="1">
      <c r="A3" s="41"/>
      <c r="B3" s="393" t="s">
        <v>119</v>
      </c>
      <c r="C3" s="394"/>
      <c r="D3" s="409" t="s">
        <v>228</v>
      </c>
      <c r="E3" s="410"/>
      <c r="F3" s="410"/>
      <c r="G3" s="410"/>
      <c r="H3" s="410"/>
      <c r="I3" s="411"/>
      <c r="J3" s="41"/>
      <c r="K3" s="41"/>
      <c r="L3" s="41"/>
      <c r="M3" s="41"/>
      <c r="N3" s="28"/>
      <c r="O3" s="28"/>
      <c r="P3" s="28"/>
      <c r="Q3" s="28"/>
      <c r="R3" s="28"/>
      <c r="S3" s="28"/>
      <c r="T3" s="28"/>
      <c r="U3" s="28"/>
      <c r="V3" s="28"/>
      <c r="W3" s="28"/>
      <c r="X3" s="28"/>
      <c r="Y3" s="28"/>
      <c r="Z3" s="28"/>
      <c r="AA3" s="28"/>
      <c r="AB3" s="28"/>
      <c r="AC3" s="28"/>
      <c r="AD3" s="28"/>
      <c r="AE3" s="28"/>
      <c r="AF3" s="28"/>
      <c r="AG3" s="28"/>
      <c r="AH3" s="28"/>
      <c r="AI3" s="28"/>
      <c r="AJ3" s="28"/>
      <c r="AK3" s="28"/>
      <c r="AL3" s="28"/>
      <c r="AM3" s="41"/>
      <c r="AN3" s="41"/>
      <c r="AO3" s="41"/>
      <c r="AP3" s="28"/>
      <c r="AQ3" s="28"/>
      <c r="AR3" s="28"/>
      <c r="AS3" s="98"/>
    </row>
    <row r="4" spans="1:45">
      <c r="A4" s="41"/>
      <c r="B4" s="41"/>
      <c r="C4" s="41"/>
      <c r="D4" s="412"/>
      <c r="E4" s="413"/>
      <c r="F4" s="413"/>
      <c r="G4" s="413"/>
      <c r="H4" s="413"/>
      <c r="I4" s="414"/>
      <c r="J4" s="41"/>
      <c r="K4" s="41"/>
      <c r="L4" s="41"/>
      <c r="M4" s="41"/>
      <c r="N4" s="28"/>
      <c r="O4" s="28"/>
      <c r="P4" s="28"/>
      <c r="Q4" s="28"/>
      <c r="R4" s="28"/>
      <c r="S4" s="28"/>
      <c r="T4" s="28"/>
      <c r="U4" s="28"/>
      <c r="V4" s="28"/>
      <c r="W4" s="28"/>
      <c r="X4" s="28"/>
      <c r="Y4" s="28"/>
      <c r="Z4" s="28"/>
      <c r="AA4" s="28"/>
      <c r="AB4" s="28"/>
      <c r="AC4" s="28"/>
      <c r="AD4" s="28"/>
      <c r="AE4" s="28"/>
      <c r="AF4" s="28"/>
      <c r="AG4" s="28"/>
      <c r="AH4" s="28"/>
      <c r="AI4" s="28"/>
      <c r="AJ4" s="28"/>
      <c r="AK4" s="28"/>
      <c r="AL4" s="28"/>
      <c r="AM4" s="41"/>
      <c r="AN4" s="41"/>
      <c r="AO4" s="41"/>
      <c r="AP4" s="28"/>
      <c r="AQ4" s="28"/>
      <c r="AR4" s="28"/>
      <c r="AS4" s="98"/>
    </row>
    <row r="5" spans="1:45">
      <c r="A5" s="41"/>
      <c r="B5" s="41"/>
      <c r="C5" s="41"/>
      <c r="D5" s="41"/>
      <c r="E5" s="41"/>
      <c r="F5" s="41"/>
      <c r="G5" s="41"/>
      <c r="H5" s="41"/>
      <c r="I5" s="41"/>
      <c r="J5" s="41"/>
      <c r="K5" s="41"/>
      <c r="L5" s="41"/>
      <c r="M5" s="41"/>
      <c r="N5" s="405" t="s">
        <v>229</v>
      </c>
      <c r="O5" s="405"/>
      <c r="P5" s="405"/>
      <c r="Q5" s="405"/>
      <c r="R5" s="405"/>
      <c r="S5" s="28"/>
      <c r="T5" s="28"/>
      <c r="U5" s="406" t="s">
        <v>230</v>
      </c>
      <c r="V5" s="406"/>
      <c r="W5" s="406" t="s">
        <v>230</v>
      </c>
      <c r="X5" s="406"/>
      <c r="Y5" s="406" t="s">
        <v>231</v>
      </c>
      <c r="Z5" s="406"/>
      <c r="AA5" s="406"/>
      <c r="AB5" s="406" t="s">
        <v>232</v>
      </c>
      <c r="AC5" s="406"/>
      <c r="AD5" s="406" t="s">
        <v>232</v>
      </c>
      <c r="AE5" s="406"/>
      <c r="AF5" s="406" t="s">
        <v>233</v>
      </c>
      <c r="AG5" s="406"/>
      <c r="AH5" s="406"/>
      <c r="AI5" s="406"/>
      <c r="AJ5" s="28"/>
      <c r="AK5" s="28"/>
      <c r="AL5" s="28"/>
      <c r="AM5" s="41"/>
      <c r="AN5" s="41"/>
      <c r="AO5" s="41"/>
      <c r="AP5" s="28"/>
      <c r="AQ5" s="28"/>
      <c r="AR5" s="28"/>
      <c r="AS5" s="98"/>
    </row>
    <row r="6" spans="1:45" ht="48">
      <c r="A6" s="41"/>
      <c r="B6" s="180" t="s">
        <v>234</v>
      </c>
      <c r="C6" s="180" t="s">
        <v>122</v>
      </c>
      <c r="D6" s="180" t="s">
        <v>123</v>
      </c>
      <c r="E6" s="180" t="s">
        <v>126</v>
      </c>
      <c r="F6" s="180" t="s">
        <v>127</v>
      </c>
      <c r="G6" s="180" t="s">
        <v>235</v>
      </c>
      <c r="H6" s="180" t="s">
        <v>236</v>
      </c>
      <c r="I6" s="180" t="s">
        <v>237</v>
      </c>
      <c r="J6" s="180" t="s">
        <v>238</v>
      </c>
      <c r="K6" s="180" t="s">
        <v>239</v>
      </c>
      <c r="L6" s="180" t="s">
        <v>240</v>
      </c>
      <c r="M6" s="180" t="s">
        <v>53</v>
      </c>
      <c r="N6" s="180" t="s">
        <v>241</v>
      </c>
      <c r="O6" s="180" t="s">
        <v>242</v>
      </c>
      <c r="P6" s="180" t="s">
        <v>243</v>
      </c>
      <c r="Q6" s="180" t="s">
        <v>244</v>
      </c>
      <c r="R6" s="180" t="s">
        <v>245</v>
      </c>
      <c r="S6" s="180" t="s">
        <v>133</v>
      </c>
      <c r="T6" s="180" t="s">
        <v>246</v>
      </c>
      <c r="U6" s="180" t="s">
        <v>247</v>
      </c>
      <c r="V6" s="180" t="s">
        <v>248</v>
      </c>
      <c r="W6" s="180" t="s">
        <v>249</v>
      </c>
      <c r="X6" s="180" t="s">
        <v>250</v>
      </c>
      <c r="Y6" s="180" t="s">
        <v>251</v>
      </c>
      <c r="Z6" s="180" t="s">
        <v>252</v>
      </c>
      <c r="AA6" s="180" t="s">
        <v>253</v>
      </c>
      <c r="AB6" s="180" t="s">
        <v>247</v>
      </c>
      <c r="AC6" s="180" t="s">
        <v>248</v>
      </c>
      <c r="AD6" s="180" t="s">
        <v>249</v>
      </c>
      <c r="AE6" s="180" t="s">
        <v>250</v>
      </c>
      <c r="AF6" s="180" t="s">
        <v>251</v>
      </c>
      <c r="AG6" s="180" t="s">
        <v>252</v>
      </c>
      <c r="AH6" s="180" t="s">
        <v>254</v>
      </c>
      <c r="AI6" s="180" t="s">
        <v>253</v>
      </c>
      <c r="AJ6" s="180" t="s">
        <v>244</v>
      </c>
      <c r="AK6" s="180" t="s">
        <v>245</v>
      </c>
      <c r="AL6" s="180" t="s">
        <v>255</v>
      </c>
      <c r="AM6" s="180" t="s">
        <v>54</v>
      </c>
      <c r="AN6" s="181" t="s">
        <v>256</v>
      </c>
      <c r="AO6" s="180" t="s">
        <v>56</v>
      </c>
      <c r="AP6" s="181" t="s">
        <v>137</v>
      </c>
      <c r="AQ6" s="284" t="s">
        <v>257</v>
      </c>
      <c r="AR6" s="284" t="s">
        <v>78</v>
      </c>
      <c r="AS6" s="98"/>
    </row>
    <row r="7" spans="1:45" ht="23.25" hidden="1" customHeight="1">
      <c r="A7" s="41"/>
      <c r="B7" s="273" t="s">
        <v>140</v>
      </c>
      <c r="C7" s="273"/>
      <c r="D7" s="273" t="s">
        <v>142</v>
      </c>
      <c r="E7" s="273" t="s">
        <v>144</v>
      </c>
      <c r="F7" s="273" t="s">
        <v>145</v>
      </c>
      <c r="G7" s="273" t="s">
        <v>258</v>
      </c>
      <c r="H7" s="273" t="s">
        <v>143</v>
      </c>
      <c r="I7" s="273" t="s">
        <v>259</v>
      </c>
      <c r="J7" s="273" t="s">
        <v>260</v>
      </c>
      <c r="K7" s="273" t="s">
        <v>261</v>
      </c>
      <c r="L7" s="273"/>
      <c r="M7" s="273" t="s">
        <v>53</v>
      </c>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t="s">
        <v>148</v>
      </c>
      <c r="AM7" s="273" t="s">
        <v>149</v>
      </c>
      <c r="AN7" s="278" t="s">
        <v>150</v>
      </c>
      <c r="AO7" s="273" t="s">
        <v>151</v>
      </c>
      <c r="AP7" s="280" t="s">
        <v>152</v>
      </c>
      <c r="AQ7" s="280" t="s">
        <v>154</v>
      </c>
      <c r="AR7" s="280" t="s">
        <v>153</v>
      </c>
      <c r="AS7" s="98"/>
    </row>
    <row r="8" spans="1:45">
      <c r="A8" s="41"/>
      <c r="B8" s="248">
        <v>1</v>
      </c>
      <c r="C8" s="248" t="s">
        <v>262</v>
      </c>
      <c r="D8" s="43"/>
      <c r="E8" s="43"/>
      <c r="F8" s="43"/>
      <c r="G8" s="43"/>
      <c r="H8" s="43"/>
      <c r="I8" s="44"/>
      <c r="J8" s="44"/>
      <c r="K8" s="44"/>
      <c r="L8" s="99"/>
      <c r="M8" s="44"/>
      <c r="N8" s="18" t="str">
        <f t="shared" ref="N8:N15" si="0">IF(AND(I8=$J$21, K8&lt;450), $K$21, IF(AND(I8=$J$21, K8&gt;=450), $K$22, IF(AND(I8=$J$23, K8&lt;1000), $K$23, IF(AND(I8=$J$23, K8&gt;=1000), $K$24, IF(AND(I8=$J$25, K8&lt;934), $K$25, IF(AND(I8=$J$26, K8&gt;=934), $K$26, O8))))))</f>
        <v>≥ 175</v>
      </c>
      <c r="O8" s="18" t="str">
        <f t="shared" ref="O8:O15" si="1">IF(AND(I8=$J$27, K8&lt;175), $K$27, $K$28)</f>
        <v>≥ 175</v>
      </c>
      <c r="P8" s="18" t="str">
        <f t="shared" ref="P8:P15" si="2">IF(AND(I8=$J$33, K8&lt;=1600), $K$33, IF(AND(I8=$J$34, K8&lt;=1600), $K$34, IF(AND(I8=$J$35, K8&gt;1600), $K$35, IF(AND(I8=$J$36, K8&lt;=1600), $K$36, IF(AND(I8=$J$37, K8&gt;1600), $K$37, IF(AND(I8=$J$38, OR(K8&lt;=450, K8&lt;=50)), $K$38, "N/A"))))))</f>
        <v>N/A</v>
      </c>
      <c r="Q8" s="115" t="str">
        <f t="array" ref="Q8">IF(OR(I8="",K8=""),"",INDEX($J$21:$T$28,MATCH(1,($J$21:$J$28=I8)*($K$21:$K$28=N8), 0), 4))</f>
        <v/>
      </c>
      <c r="R8" s="115" t="str">
        <f t="array" ref="R8">IF(OR(I8="",K8=""),"",INDEX($J$33:$T$38,MATCH(1,($J$33:$J$38=I8)*($K$33:$K$38=P8), 0), 4))</f>
        <v/>
      </c>
      <c r="S8" s="18">
        <f>$C$48</f>
        <v>0.93700000000000006</v>
      </c>
      <c r="T8" s="18" t="str">
        <f t="shared" ref="T8:T15" si="3">IF(OR(I8="", M8=""), "", (IF(K8&gt;1000, $E$31, IF(K8&lt;=500, $E$29, $E$30))))</f>
        <v/>
      </c>
      <c r="U8" s="6" t="str">
        <f t="shared" ref="U8:U15" si="4">IF(AND(I8=$J$43, K8&lt;300), $K$43, IF(AND(I8=$J$43, K8&gt;=300, K8&lt;800),$K$44, IF(AND(I8=$J$43,K8&gt;=800, K8&lt;1500), $K$45, IF(AND(I8=$J$43, K8&gt;=1500, K8&lt;4000), $K$46, IF(AND(I8=$J$47, K8&gt;=50, K8&lt;1000), $K$47, IF(AND(I8=$J$47, K8&gt;=1000, K8&lt;4000), $K$48, IF(AND(I8=$J$49, K8&lt;942), $K$49, IF(AND(I8=$J$49, K8&gt;=942, K8&lt;4000), $K$50, IF(AND(I8=$J$51, K8&lt;110), $K$51, IF(AND(I8=$J$51, K8&gt;=110, K8&lt;200), $K$52, IF(AND(I8=$J$51, K8&gt;=200, K8&lt;4000), $K$53, "CUSTOM")))))))))))</f>
        <v>CUSTOM</v>
      </c>
      <c r="V8" s="22" t="str">
        <f t="array" ref="V8">IFERROR(IF(OR(I8="",K8=""),"",INDEX($J$43:$T$53,MATCH(1,($J$43:$J$53=I8)*($K$43:$K$53=U8), 0), 4)), "CUSTOM")</f>
        <v/>
      </c>
      <c r="W8" s="6" t="str">
        <f t="shared" ref="W8:W15" si="5">IF(AND(I8=$J$58, K8&lt;310), $K$58, IF(AND(I8=$J$58, K8&gt;=310, K8&lt;820), $K$59, IF(AND(I8=$J$58, K8&gt;=820, K8&lt;4000), $K$60, IF(AND(I8=$J$61, K8&lt;800), $K$61, IF(AND(I8=$J$61, K8&gt;=800, K8&lt;4000), $K$62, IF(AND(I8=$J$63, K8&lt;800), $K$63, IF(AND(I8=$J$63, K8&gt;=800, K8&lt;4000), $K$64, IF(AND(I8=$J$65, K8&lt;200), $K$65, IF(AND(I8=$J$65, K8&gt;=200, K8&lt;700), $K$66, IF(AND(I8=$J$65, K8&gt;=700, K8&lt;4000), $K$67, "CUSTOM"))))))))))</f>
        <v>CUSTOM</v>
      </c>
      <c r="X8" s="22" t="str">
        <f t="array" ref="X8">IFERROR(IF(OR(I8="",K8=""),"",INDEX($J$58:$T$67,MATCH(1,($J$58:$J$67=I8)*($K$58:$K$67=W8), 0), 4)), "CUSTOM")</f>
        <v/>
      </c>
      <c r="Y8" s="5" t="str">
        <f t="shared" ref="Y8:Y15" si="6">IF(AND(I8=$J$72, K8&gt;=200, K8&lt;=1000), $K$72, IF(AND(I8=$J$73, K8&gt;=400, K8&lt;=1600), $K$73, IF(AND(I8=$J$75, K8&gt;=1600, K8&lt;=4000), $K$75, IF(AND(I8=$J$77, K8&gt;=50, K8&lt;=450), $K$77, "CUSTOM"))))</f>
        <v>CUSTOM</v>
      </c>
      <c r="Z8" s="56" t="str">
        <f t="array" ref="Z8">IFERROR(IF(OR(I8="",K8=""),"",INDEX($J$72:$T$77,MATCH(1,($J$72:$J$77=I8)*($K$72:$K$77=Y8), 0), 4)), "CUSTOM")</f>
        <v/>
      </c>
      <c r="AA8" s="56" t="str">
        <f>IFERROR(VLOOKUP(I8, $J$82:$T$85, 4, FALSE), "CUSTOM")</f>
        <v>CUSTOM</v>
      </c>
      <c r="AB8" s="6" t="str">
        <f>IF(AND(I8=$J$90, K8&lt;300), $K$90, IF(AND(I8=$J$90, K8&gt;=300, K8&lt;800),$K$91, IF(AND(I8=$J$90,K8&gt;=800, K8&lt;1500), $K$92, IF(AND(I8=$J$90, K8&gt;=1500, K8&lt;4000), $K$93, IF(AND(I8=$J$94, K8&gt;=50, K8&lt;1000), $K$94, IF(AND(I8=$J$94, K8&gt;=1000, K8&lt;4000), $K$95, IF(AND(I8=$J$96, K8&lt;942), $K$96, IF(AND(I8=$J$96, K8&gt;=942, K8&lt;4000), $K$97, IF(AND(I8=$J$98, K8&lt;110), $K$98, IF(AND(I8=$J$98, K8&gt;=110, K8&lt;200), $K$99, IF(AND(I8=$J$98,K8&gt;=200, K8&lt;4000), $K$100, "CUSTOM")))))))))))</f>
        <v>CUSTOM</v>
      </c>
      <c r="AC8" s="22" t="str">
        <f t="array" ref="AC8">IFERROR(IF(OR(I8="",K8=""),"",INDEX($J$90:$T$100,MATCH(1,($J$90:$J$100=I8)*($K$90:$K$100=AB8), 0), 4)), "CUSTOM")</f>
        <v/>
      </c>
      <c r="AD8" s="6" t="str">
        <f>IF(AND(I8=$J$105, K8&lt;310), $K$105, IF(AND(I8=$J$105, K8&gt;=310, K8&lt;820), $K$106, IF(AND(I8=$J$105, K8&gt;=820, K8&lt;4000), $K$107, IF(AND(I8=$J$108, K8&lt;800), $K$108, IF(AND(I8=$J$108, K8&gt;=800, K8&lt;4000), $K$109, IF(AND(I8=$J$110, K8&lt;800), $K$110, IF(AND(I8=$J$110, K8&gt;=800, K8&lt;4000), $K$111, IF(AND(I8=$J$112, K8&lt;200), $K$112, IF(AND(I8=$J$112, K8&gt;=200, K8&lt;700), $K$113, IF(AND(I8=$J$112, K8&gt;=700, K8&lt;4000), $K$114, "CUSTOM"))))))))))</f>
        <v>CUSTOM</v>
      </c>
      <c r="AE8" s="22" t="str">
        <f t="array" ref="AE8">IFERROR(IF(OR(I8="",K8=""),"",INDEX($J$105:$T$114,MATCH(1,($J$104:$J$105=I8)*($K$104:$K$105=AD8), 0), 4)), "CUSTOM")</f>
        <v/>
      </c>
      <c r="AF8" s="5" t="str">
        <f>IF(AND(I8=$J$119, K8&lt;300), $K$119, IF(AND(I8=$J$119, K8&gt;=300, K8&lt;800),$K$120, IF(AND(I8=$J$119,K8&gt;=800, K8&lt;1500), $K$121, IF(AND(I8=$J$119, K8&gt;=1500, K8&lt;4000), $K$122, IF(AND(I8=$J$123, K8&gt;=50, K8&lt;988), $K$123, IF(AND(I8=$J$123, K8&gt;=988, K8&lt;4000), $K$124, IF(AND(I8=$J$125, K8&lt;988), $K$125, IF(AND(I8=$J$125, K8&gt;=988, K8&lt;4000), $K$126, IF(AND(I8=$J$127, K8&lt;110), $K$127, IF(AND(I8=$J$127, K8&gt;=110, K8&lt;200), $K$128, IF(AND(I8=$J$127,K8&gt;=200, K8&lt;4000), $K$129, "CUSTOM")))))))))))</f>
        <v>CUSTOM</v>
      </c>
      <c r="AG8" s="56" t="str">
        <f t="array" ref="AG8">IFERROR(IF(OR(I8="",K8=""),"",INDEX($J$119:$T$129,MATCH(1,($J$119:$J$129=I8)*($K$119:$K$129=AF8), 0), 4)), "CUSTOM")</f>
        <v/>
      </c>
      <c r="AH8" s="56" t="str">
        <f>IF(AND(I8=$J$134, K8&lt;310), $K$134, IF(AND(I8=$J$134, K8&gt;=310, K8&lt;820), $K$135, IF(AND(I8=$J$134, K8&gt;=820, K8&lt;4000), $K$136, IF(AND(I8=$J$137, K8&lt;800), $K$137, IF(AND(I8=$J$137, K8&gt;=800, K8&lt;4000), $K$138, IF(AND(I8=$J$139, K8&lt;800), $K$139, IF(AND(I8=$J$139, K8&gt;=800, K8&lt;4000), $K$140, IF(AND(I8=$J$141, K8&lt;200), $K$141, IF(AND(I8=$J$141, K8&gt;=200, K8&lt;700), $K$142, IF(AND(I8=$J$141, K8&gt;=700, K8&lt;4000), $K$143, "CUSTOM"))))))))))</f>
        <v>CUSTOM</v>
      </c>
      <c r="AI8" s="56" t="str">
        <f t="array" ref="AI8">IFERROR(IF(OR(I8="",K8=""),"",INDEX($J$134:$T$143,MATCH(1,($J$134:$J$143=I8)*($K$134:$K$143=AH8), 0), 4)), "CUSTOM")</f>
        <v/>
      </c>
      <c r="AJ8" s="56">
        <f>IF(AND($C$21="PY10-PY12",J8="Batch Type"),V8,IF(AND($C$21="PY10-PY12",J8="Continuous Type"),X8,IF(AND($C$21="PY13-PY16",J8="Batch Type"),AC8,IF(AND($C$21="PY13-PY16",J8="Continuous Type"),AE8, ))))</f>
        <v>0</v>
      </c>
      <c r="AK8" s="56" t="str">
        <f xml:space="preserve"> IF(AND($C$21="PY10-PY12", J8="Batch Type"), Z8, IF(AND($C$21="PY10-PY12", J8="Continuous Type"), AA8, IF(AND($C$21="PY13-PY16", J8="Batch Type"), AG8, IF(AND($C$21="PY13-PY16", J8="Continuous Type"), AI8,Q8))))</f>
        <v/>
      </c>
      <c r="AL8" s="56" t="str">
        <f t="shared" ref="AL8:AL15" si="7">IFERROR(IF(OR(I8="",M8=""),"",ROUND((AN8/(8760*$C$45)),6)), "DNQ")</f>
        <v/>
      </c>
      <c r="AM8" s="46" t="str">
        <f t="shared" ref="AM8:AM15" si="8">IFERROR(IF(OR(I8="",M8=""),"",ROUND((AN8/(8760*$C$45))*S8,6)), "DNQ")</f>
        <v/>
      </c>
      <c r="AN8" s="164" t="str">
        <f t="shared" ref="AN8:AN15" si="9">IFERROR(IF(OR(I8="", M8=""), "",ROUND( ((AJ8-AK8)/100)*K8*365*$C$45*M8,4)), "DNQ")</f>
        <v/>
      </c>
      <c r="AO8" s="165" t="str">
        <f t="shared" ref="AO8:AO15" si="10">IF(OR(I8="", M8=""), "", IF(AN8&lt;0, "DNQ", (IF(K8&gt;1000, $D$31, IF(K8&lt;=500, $D$29, $D$30)))*M8))</f>
        <v/>
      </c>
      <c r="AP8">
        <f t="shared" ref="AP8:AP15" si="11">H8</f>
        <v>0</v>
      </c>
      <c r="AQ8" t="str">
        <f t="shared" ref="AQ8:AQ15" si="12">IF(AN8&gt;0,"Yes","No")</f>
        <v>Yes</v>
      </c>
      <c r="AR8" t="s">
        <v>263</v>
      </c>
      <c r="AS8" s="98"/>
    </row>
    <row r="9" spans="1:45">
      <c r="A9" s="41"/>
      <c r="B9" s="248">
        <v>2</v>
      </c>
      <c r="C9" s="248" t="s">
        <v>262</v>
      </c>
      <c r="D9" s="43"/>
      <c r="E9" s="43"/>
      <c r="F9" s="43"/>
      <c r="G9" s="43"/>
      <c r="H9" s="43"/>
      <c r="I9" s="44"/>
      <c r="J9" s="44"/>
      <c r="K9" s="44"/>
      <c r="L9" s="99"/>
      <c r="M9" s="44"/>
      <c r="N9" s="18" t="str">
        <f t="shared" si="0"/>
        <v>≥ 175</v>
      </c>
      <c r="O9" s="18" t="str">
        <f t="shared" si="1"/>
        <v>≥ 175</v>
      </c>
      <c r="P9" s="18" t="str">
        <f t="shared" si="2"/>
        <v>N/A</v>
      </c>
      <c r="Q9" s="115" t="str">
        <f t="array" ref="Q9">IF(OR(I9="",K9=""),"",INDEX($J$21:$T$28,MATCH(1,($J$21:$J$28=I9)*($K$21:$K$28=N9), 0), 5))</f>
        <v/>
      </c>
      <c r="R9" s="115" t="str">
        <f t="array" ref="R9">IF(OR(I9="",K9=""),"",INDEX($J$33:$T$38,MATCH(1,($J$33:$J$38=I9)*($K$33:$K$38=P9), 0), 5))</f>
        <v/>
      </c>
      <c r="S9" s="18">
        <f t="shared" ref="S9:S15" si="13">$C$48</f>
        <v>0.93700000000000006</v>
      </c>
      <c r="T9" s="18" t="str">
        <f t="shared" si="3"/>
        <v/>
      </c>
      <c r="U9" s="6" t="str">
        <f t="shared" si="4"/>
        <v>CUSTOM</v>
      </c>
      <c r="V9" s="22" t="str">
        <f t="array" ref="V9">IFERROR(IF(OR(I9="",K9=""),"",INDEX($J$43:$T$53,MATCH(1,($J$43:$J$53=I9)*($K$43:$K$53=U9), 0), 5)), "CUSTOM")</f>
        <v/>
      </c>
      <c r="W9" s="6" t="str">
        <f t="shared" si="5"/>
        <v>CUSTOM</v>
      </c>
      <c r="X9" s="22" t="str">
        <f t="array" ref="X9">IFERROR(IF(OR(I9="",K9=""),"",INDEX($J$58:$T$67,MATCH(1,($J$58:$J$67=I9)*($K$58:$K$67=W9), 0), 5)), "CUSTOM")</f>
        <v/>
      </c>
      <c r="Y9" s="5" t="str">
        <f t="shared" si="6"/>
        <v>CUSTOM</v>
      </c>
      <c r="Z9" s="56" t="str">
        <f t="array" ref="Z9">IFERROR(IF(OR(I9="",K9=""),"",INDEX($J$72:$T$77,MATCH(1,($J$72:$J$77=I9)*($K$72:$K$77=Y9), 0), 4)), "CUSTOM")</f>
        <v/>
      </c>
      <c r="AA9" s="56" t="str">
        <f>IFERROR(VLOOKUP(I9, $J$82:$T$85, 5, FALSE), "CUSTOM")</f>
        <v>CUSTOM</v>
      </c>
      <c r="AB9" s="6" t="str">
        <f t="shared" ref="AB9:AB15" si="14">IF(AND(I9=$J$90, K9&lt;300), $K$90, IF(AND(I9=$J$90, K9&gt;=300, K9&lt;800),$K$91, IF(AND(I9=$J$90,K9&gt;=800, K9&lt;1500), $K$92, IF(AND(I9=$J$90, K9&gt;=1500, K9&lt;4000), $K$93, IF(AND(I9=$J$94, K9&gt;=50, K9&lt;1000), $K$94, IF(AND(I9=$J$94, K9&gt;=1000, K9&lt;4000), $K$95, IF(AND(I9=$J$96, K9&lt;942), $K$96, IF(AND(I9=$J$96, K9&gt;=942, K9&lt;4000), $K$97, IF(AND(I9=$J$98, K9&lt;110), $K$98, IF(AND(I9=$J$98, K9&gt;=110, K9&lt;200), $K$99, IF(AND(I9=$J$98,K9&gt;=200, K9&lt;4000), $K$100, "CUSTOM")))))))))))</f>
        <v>CUSTOM</v>
      </c>
      <c r="AC9" s="22" t="str">
        <f t="array" ref="AC9">IFERROR(IF(OR(I9="",K9=""),"",INDEX($J$90:$T$100,MATCH(1,($J$90:$J$100=I9)*($K$90:$K$100=AB9), 0), 4)), "CUSTOM")</f>
        <v/>
      </c>
      <c r="AD9" s="6" t="str">
        <f t="shared" ref="AD9:AD15" si="15">IF(AND(I9=$J$105, K9&lt;310), $K$105, IF(AND(I9=$J$105, K9&gt;=310, K9&lt;820), $K$106, IF(AND(I9=$J$105, K9&gt;=820, K9&lt;4000), $K$107, IF(AND(I9=$J$108, K9&lt;800), $K$108, IF(AND(I9=$J$108, K9&gt;=800, K9&lt;4000), $K$109, IF(AND(I9=$J$110, K9&lt;800), $K$110, IF(AND(I9=$J$110, K9&gt;=800, K9&lt;4000), $K$111, IF(AND(I9=$J$112, K9&lt;200), $K$112, IF(AND(I9=$J$112, K9&gt;=200, K9&lt;700), $K$113, IF(AND(I9=$J$112, K9&gt;=700, K9&lt;4000), $K$114, "CUSTOM"))))))))))</f>
        <v>CUSTOM</v>
      </c>
      <c r="AE9" s="22" t="str">
        <f t="array" ref="AE9">IFERROR(IF(OR(I9="",K9=""),"",INDEX($J$105:$T$114,MATCH(1,($J$104:$J$105=I9)*($K$104:$K$105=AD9), 0), 4)), "CUSTOM")</f>
        <v/>
      </c>
      <c r="AF9" s="5" t="str">
        <f t="shared" ref="AF9:AF15" si="16">IF(AND(I9=$J$119, K9&lt;300), $K$119, IF(AND(I9=$J$119, K9&gt;=300, K9&lt;800),$K$120, IF(AND(I9=$J$119,K9&gt;=800, K9&lt;1500), $K$121, IF(AND(I9=$J$119, K9&gt;=1500, K9&lt;4000), $K$122, IF(AND(I9=$J$123, K9&gt;=50, K9&lt;988), $K$123, IF(AND(I9=$J$123, K9&gt;=988, K9&lt;4000), $K$124, IF(AND(I9=$J$125, K9&lt;988), $K$125, IF(AND(I9=$J$125, K9&gt;=988, K9&lt;4000), $K$126, IF(AND(I9=$J$127, K9&lt;110), $K$127, IF(AND(I9=$J$127, K9&gt;=110, K9&lt;200), $K$128, IF(AND(I9=$J$127,K9&gt;=200, K9&lt;4000), $K$129, "CUSTOM")))))))))))</f>
        <v>CUSTOM</v>
      </c>
      <c r="AG9" s="56" t="str">
        <f t="array" ref="AG9">IFERROR(IF(OR(I9="",K9=""),"",INDEX($J$119:$T$129,MATCH(1,($J$119:$J$129=I9)*($K$119:$K$129=AF9), 0), 4)), "CUSTOM")</f>
        <v/>
      </c>
      <c r="AH9" s="56"/>
      <c r="AI9" s="56" t="str">
        <f t="array" ref="AI9">IFERROR(IF(OR(I9="",K9=""),"",INDEX($J$134:$T$143,MATCH(1,($J$134:$J$143=I9)*($K$134:$K$143=AH9), 0), 4)), "CUSTOM")</f>
        <v/>
      </c>
      <c r="AJ9" s="56">
        <f t="shared" ref="AJ9:AJ15" si="17">IF(AND($C$21="PY10-PY12",J9="Batch Type"),V9,IF(AND($C$21="PY10-PY12",J9="Continuous Type"),X9,IF(AND($C$21="PY13-PY16",J9="Batch Type"),AC9,IF(AND($C$21="PY13-PY16",J9="Continuous Type"),AE9, ))))</f>
        <v>0</v>
      </c>
      <c r="AK9" s="56" t="str">
        <f t="shared" ref="AK9:AK15" si="18" xml:space="preserve"> IF(AND($C$21="PY10-PY12", J9="Batch Type"), Z9, IF(AND($C$21="PY10-PY12", J9="Continuous Type"), AA9, IF(AND($C$21="PY13-PY16", J9="Batch Type"), AG9, IF(AND($C$21="PY13-PY16", J9="Continuous Type"), AI9,Q9))))</f>
        <v/>
      </c>
      <c r="AL9" s="56" t="str">
        <f t="shared" si="7"/>
        <v/>
      </c>
      <c r="AM9" s="46" t="str">
        <f t="shared" si="8"/>
        <v/>
      </c>
      <c r="AN9" s="164" t="str">
        <f t="shared" si="9"/>
        <v/>
      </c>
      <c r="AO9" s="165" t="str">
        <f t="shared" si="10"/>
        <v/>
      </c>
      <c r="AP9">
        <f t="shared" si="11"/>
        <v>0</v>
      </c>
      <c r="AQ9" t="str">
        <f t="shared" si="12"/>
        <v>Yes</v>
      </c>
      <c r="AR9" t="s">
        <v>263</v>
      </c>
      <c r="AS9" s="98"/>
    </row>
    <row r="10" spans="1:45">
      <c r="A10" s="41"/>
      <c r="B10" s="248">
        <v>3</v>
      </c>
      <c r="C10" s="248" t="s">
        <v>262</v>
      </c>
      <c r="D10" s="43"/>
      <c r="E10" s="43"/>
      <c r="F10" s="43"/>
      <c r="G10" s="43"/>
      <c r="H10" s="43"/>
      <c r="I10" s="44"/>
      <c r="J10" s="44"/>
      <c r="K10" s="44"/>
      <c r="L10" s="99"/>
      <c r="M10" s="44"/>
      <c r="N10" s="18" t="str">
        <f t="shared" si="0"/>
        <v>≥ 175</v>
      </c>
      <c r="O10" s="18" t="str">
        <f t="shared" si="1"/>
        <v>≥ 175</v>
      </c>
      <c r="P10" s="18" t="str">
        <f t="shared" si="2"/>
        <v>N/A</v>
      </c>
      <c r="Q10" s="115" t="str">
        <f t="array" ref="Q10">IF(OR(I10="",K10=""),"",INDEX($J$21:$T$28,MATCH(1,($J$21:$J$28=I10)*($K$21:$K$28=N10), 0), 6))</f>
        <v/>
      </c>
      <c r="R10" s="115" t="str">
        <f t="array" ref="R10">IF(OR(I10="",K10=""),"",INDEX($J$33:$T$38,MATCH(1,($J$33:$J$38=I10)*($K$33:$K$38=P10), 0), 6))</f>
        <v/>
      </c>
      <c r="S10" s="18">
        <f t="shared" si="13"/>
        <v>0.93700000000000006</v>
      </c>
      <c r="T10" s="18" t="str">
        <f t="shared" si="3"/>
        <v/>
      </c>
      <c r="U10" s="6" t="str">
        <f t="shared" si="4"/>
        <v>CUSTOM</v>
      </c>
      <c r="V10" s="22" t="str">
        <f t="array" ref="V10">IFERROR(IF(OR(I10="",K10=""),"",INDEX($J$43:$T$53,MATCH(1,($J$43:$J$53=I10)*($K$43:$K$53=U10), 0), 6)), "CUSTOM")</f>
        <v/>
      </c>
      <c r="W10" s="6" t="str">
        <f t="shared" si="5"/>
        <v>CUSTOM</v>
      </c>
      <c r="X10" s="22" t="str">
        <f t="array" ref="X10">IFERROR(IF(OR(I10="",K10=""),"",INDEX($J$58:$T$67,MATCH(1,($J$58:$J$67=I10)*($K$58:$K$67=W10), 0), 6)), "CUSTOM")</f>
        <v/>
      </c>
      <c r="Y10" s="5" t="str">
        <f t="shared" si="6"/>
        <v>CUSTOM</v>
      </c>
      <c r="Z10" s="56" t="str">
        <f t="array" ref="Z10">IFERROR(IF(OR(I10="",K10=""),"",INDEX($J$72:$T$77,MATCH(1,($J$72:$J$77=I10)*($K$72:$K$77=Y10), 0), 4)), "CUSTOM")</f>
        <v/>
      </c>
      <c r="AA10" s="56" t="str">
        <f>IFERROR(VLOOKUP(I10, $J$82:$T$85, 6, FALSE), "CUSTOM")</f>
        <v>CUSTOM</v>
      </c>
      <c r="AB10" s="6" t="str">
        <f t="shared" si="14"/>
        <v>CUSTOM</v>
      </c>
      <c r="AC10" s="22" t="str">
        <f t="array" ref="AC10">IFERROR(IF(OR(I10="",K10=""),"",INDEX($J$90:$T$100,MATCH(1,($J$90:$J$100=I10)*($K$90:$K$100=AB10), 0), 4)), "CUSTOM")</f>
        <v/>
      </c>
      <c r="AD10" s="6" t="str">
        <f t="shared" si="15"/>
        <v>CUSTOM</v>
      </c>
      <c r="AE10" s="22" t="str">
        <f t="array" ref="AE10">IFERROR(IF(OR(I10="",K10=""),"",INDEX($J$105:$T$114,MATCH(1,($J$104:$J$105=I10)*($K$104:$K$105=AD10), 0), 4)), "CUSTOM")</f>
        <v/>
      </c>
      <c r="AF10" s="5" t="str">
        <f t="shared" si="16"/>
        <v>CUSTOM</v>
      </c>
      <c r="AG10" s="56" t="str">
        <f t="array" ref="AG10">IFERROR(IF(OR(I10="",K10=""),"",INDEX($J$119:$T$129,MATCH(1,($J$119:$J$129=I10)*($K$119:$K$129=AF10), 0), 4)), "CUSTOM")</f>
        <v/>
      </c>
      <c r="AH10" s="56"/>
      <c r="AI10" s="56" t="str">
        <f t="array" ref="AI10">IFERROR(IF(OR(I10="",K10=""),"",INDEX($J$134:$T$143,MATCH(1,($J$134:$J$143=I10)*($K$134:$K$143=AH10), 0), 4)), "CUSTOM")</f>
        <v/>
      </c>
      <c r="AJ10" s="56">
        <f t="shared" si="17"/>
        <v>0</v>
      </c>
      <c r="AK10" s="56" t="str">
        <f t="shared" si="18"/>
        <v/>
      </c>
      <c r="AL10" s="56" t="str">
        <f t="shared" si="7"/>
        <v/>
      </c>
      <c r="AM10" s="46" t="str">
        <f t="shared" si="8"/>
        <v/>
      </c>
      <c r="AN10" s="164" t="str">
        <f t="shared" si="9"/>
        <v/>
      </c>
      <c r="AO10" s="165" t="str">
        <f t="shared" si="10"/>
        <v/>
      </c>
      <c r="AP10">
        <f t="shared" si="11"/>
        <v>0</v>
      </c>
      <c r="AQ10" t="str">
        <f t="shared" si="12"/>
        <v>Yes</v>
      </c>
      <c r="AR10" t="s">
        <v>263</v>
      </c>
      <c r="AS10" s="98"/>
    </row>
    <row r="11" spans="1:45">
      <c r="A11" s="41"/>
      <c r="B11" s="248">
        <v>4</v>
      </c>
      <c r="C11" s="248" t="s">
        <v>262</v>
      </c>
      <c r="D11" s="43"/>
      <c r="E11" s="43"/>
      <c r="F11" s="43"/>
      <c r="G11" s="43"/>
      <c r="H11" s="43"/>
      <c r="I11" s="44"/>
      <c r="J11" s="44"/>
      <c r="K11" s="44"/>
      <c r="L11" s="99"/>
      <c r="M11" s="44"/>
      <c r="N11" s="18" t="str">
        <f t="shared" si="0"/>
        <v>≥ 175</v>
      </c>
      <c r="O11" s="18" t="str">
        <f t="shared" si="1"/>
        <v>≥ 175</v>
      </c>
      <c r="P11" s="18" t="str">
        <f t="shared" si="2"/>
        <v>N/A</v>
      </c>
      <c r="Q11" s="115" t="str">
        <f t="array" ref="Q11">IF(OR(I11="",K11=""),"",INDEX($J$21:$T$28,MATCH(1,($J$21:$J$28=I11)*($K$21:$K$28=N11), 0), 7))</f>
        <v/>
      </c>
      <c r="R11" s="115" t="str">
        <f t="array" ref="R11">IF(OR(I11="",K11=""),"",INDEX($J$33:$T$38,MATCH(1,($J$33:$J$38=I11)*($K$33:$K$38=P11), 0), 7))</f>
        <v/>
      </c>
      <c r="S11" s="18">
        <f t="shared" si="13"/>
        <v>0.93700000000000006</v>
      </c>
      <c r="T11" s="18" t="str">
        <f t="shared" si="3"/>
        <v/>
      </c>
      <c r="U11" s="6" t="str">
        <f t="shared" si="4"/>
        <v>CUSTOM</v>
      </c>
      <c r="V11" s="22" t="str">
        <f t="array" ref="V11">IFERROR(IF(OR(I11="",K11=""),"",INDEX($J$43:$T$53,MATCH(1,($J$43:$J$53=I11)*($K$43:$K$53=U11), 0), 7)), "CUSTOM")</f>
        <v/>
      </c>
      <c r="W11" s="6" t="str">
        <f t="shared" si="5"/>
        <v>CUSTOM</v>
      </c>
      <c r="X11" s="22" t="str">
        <f t="array" ref="X11">IFERROR(IF(OR(I11="",K11=""),"",INDEX($J$58:$T$67,MATCH(1,($J$58:$J$67=I11)*($K$58:$K$67=W11), 0), 7)), "CUSTOM")</f>
        <v/>
      </c>
      <c r="Y11" s="5" t="str">
        <f t="shared" si="6"/>
        <v>CUSTOM</v>
      </c>
      <c r="Z11" s="56" t="str">
        <f t="array" ref="Z11">IFERROR(IF(OR(I11="",K11=""),"",INDEX($J$72:$T$77,MATCH(1,($J$72:$J$77=I11)*($K$72:$K$77=Y11), 0), 4)), "CUSTOM")</f>
        <v/>
      </c>
      <c r="AA11" s="56" t="str">
        <f>IFERROR(VLOOKUP(I11, $J$82:$T$85, 7, FALSE), "CUSTOM")</f>
        <v>CUSTOM</v>
      </c>
      <c r="AB11" s="6" t="str">
        <f t="shared" si="14"/>
        <v>CUSTOM</v>
      </c>
      <c r="AC11" s="22" t="str">
        <f t="array" ref="AC11">IFERROR(IF(OR(I11="",K11=""),"",INDEX($J$90:$T$100,MATCH(1,($J$90:$J$100=I11)*($K$90:$K$100=AB11), 0), 4)), "CUSTOM")</f>
        <v/>
      </c>
      <c r="AD11" s="6" t="str">
        <f t="shared" si="15"/>
        <v>CUSTOM</v>
      </c>
      <c r="AE11" s="22" t="str">
        <f t="array" ref="AE11">IFERROR(IF(OR(I11="",K11=""),"",INDEX($J$105:$T$114,MATCH(1,($J$104:$J$105=I11)*($K$104:$K$105=AD11), 0), 4)), "CUSTOM")</f>
        <v/>
      </c>
      <c r="AF11" s="5" t="str">
        <f t="shared" si="16"/>
        <v>CUSTOM</v>
      </c>
      <c r="AG11" s="56" t="str">
        <f t="array" ref="AG11">IFERROR(IF(OR(I11="",K11=""),"",INDEX($J$119:$T$129,MATCH(1,($J$119:$J$129=I11)*($K$119:$K$129=AF11), 0), 4)), "CUSTOM")</f>
        <v/>
      </c>
      <c r="AH11" s="56"/>
      <c r="AI11" s="56" t="str">
        <f t="array" ref="AI11">IFERROR(IF(OR(I11="",K11=""),"",INDEX($J$134:$T$143,MATCH(1,($J$134:$J$143=I11)*($K$134:$K$143=AH11), 0), 4)), "CUSTOM")</f>
        <v/>
      </c>
      <c r="AJ11" s="56">
        <f t="shared" si="17"/>
        <v>0</v>
      </c>
      <c r="AK11" s="56" t="str">
        <f t="shared" si="18"/>
        <v/>
      </c>
      <c r="AL11" s="56" t="str">
        <f t="shared" si="7"/>
        <v/>
      </c>
      <c r="AM11" s="46" t="str">
        <f t="shared" si="8"/>
        <v/>
      </c>
      <c r="AN11" s="164" t="str">
        <f t="shared" si="9"/>
        <v/>
      </c>
      <c r="AO11" s="165" t="str">
        <f t="shared" si="10"/>
        <v/>
      </c>
      <c r="AP11">
        <f t="shared" si="11"/>
        <v>0</v>
      </c>
      <c r="AQ11" t="str">
        <f t="shared" si="12"/>
        <v>Yes</v>
      </c>
      <c r="AR11" t="s">
        <v>263</v>
      </c>
      <c r="AS11" s="98"/>
    </row>
    <row r="12" spans="1:45">
      <c r="A12" s="41"/>
      <c r="B12" s="248">
        <v>5</v>
      </c>
      <c r="C12" s="248" t="s">
        <v>262</v>
      </c>
      <c r="D12" s="43"/>
      <c r="E12" s="43"/>
      <c r="F12" s="43"/>
      <c r="G12" s="43"/>
      <c r="H12" s="43"/>
      <c r="I12" s="44"/>
      <c r="J12" s="44"/>
      <c r="K12" s="44"/>
      <c r="L12" s="99"/>
      <c r="M12" s="44"/>
      <c r="N12" s="18" t="str">
        <f t="shared" si="0"/>
        <v>≥ 175</v>
      </c>
      <c r="O12" s="18" t="str">
        <f t="shared" si="1"/>
        <v>≥ 175</v>
      </c>
      <c r="P12" s="18" t="str">
        <f t="shared" si="2"/>
        <v>N/A</v>
      </c>
      <c r="Q12" s="115" t="str">
        <f t="array" ref="Q12">IF(OR(I12="",K12=""),"",INDEX($J$21:$T$28,MATCH(1,($J$21:$J$28=I12)*($K$21:$K$28=N12), 0), 8))</f>
        <v/>
      </c>
      <c r="R12" s="115" t="str">
        <f t="array" ref="R12">IF(OR(I12="",K12=""),"",INDEX($J$33:$T$38,MATCH(1,($J$33:$J$38=I12)*($K$33:$K$38=P12), 0), 8))</f>
        <v/>
      </c>
      <c r="S12" s="18">
        <f t="shared" si="13"/>
        <v>0.93700000000000006</v>
      </c>
      <c r="T12" s="18" t="str">
        <f t="shared" si="3"/>
        <v/>
      </c>
      <c r="U12" s="6" t="str">
        <f t="shared" si="4"/>
        <v>CUSTOM</v>
      </c>
      <c r="V12" s="22" t="str">
        <f t="array" ref="V12">IFERROR(IF(OR(I12="",K12=""),"",INDEX($J$43:$T$53,MATCH(1,($J$43:$J$53=I12)*($K$43:$K$53=U12), 0), 8)), "CUSTOM")</f>
        <v/>
      </c>
      <c r="W12" s="6" t="str">
        <f t="shared" si="5"/>
        <v>CUSTOM</v>
      </c>
      <c r="X12" s="22" t="str">
        <f t="array" ref="X12">IFERROR(IF(OR(I12="",K12=""),"",INDEX($J$58:$T$67,MATCH(1,($J$58:$J$67=I12)*($K$58:$K$67=W12), 0), 8)), "CUSTOM")</f>
        <v/>
      </c>
      <c r="Y12" s="5" t="str">
        <f t="shared" si="6"/>
        <v>CUSTOM</v>
      </c>
      <c r="Z12" s="56" t="str">
        <f t="array" ref="Z12">IFERROR(IF(OR(I12="",K12=""),"",INDEX($J$72:$T$77,MATCH(1,($J$72:$J$77=I12)*($K$72:$K$77=Y12), 0), 4)), "CUSTOM")</f>
        <v/>
      </c>
      <c r="AA12" s="56" t="str">
        <f>IFERROR(VLOOKUP(I12, $J$82:$T$85, 8, FALSE), "CUSTOM")</f>
        <v>CUSTOM</v>
      </c>
      <c r="AB12" s="6" t="str">
        <f t="shared" si="14"/>
        <v>CUSTOM</v>
      </c>
      <c r="AC12" s="22" t="str">
        <f t="array" ref="AC12">IFERROR(IF(OR(I12="",K12=""),"",INDEX($J$90:$T$100,MATCH(1,($J$90:$J$100=I12)*($K$90:$K$100=AB12), 0), 4)), "CUSTOM")</f>
        <v/>
      </c>
      <c r="AD12" s="6" t="str">
        <f t="shared" si="15"/>
        <v>CUSTOM</v>
      </c>
      <c r="AE12" s="22" t="str">
        <f t="array" ref="AE12">IFERROR(IF(OR(I12="",K12=""),"",INDEX($J$105:$T$114,MATCH(1,($J$104:$J$105=I12)*($K$104:$K$105=AD12), 0), 4)), "CUSTOM")</f>
        <v/>
      </c>
      <c r="AF12" s="5" t="str">
        <f t="shared" si="16"/>
        <v>CUSTOM</v>
      </c>
      <c r="AG12" s="56" t="str">
        <f t="array" ref="AG12">IFERROR(IF(OR(I12="",K12=""),"",INDEX($J$119:$T$129,MATCH(1,($J$119:$J$129=I12)*($K$119:$K$129=AF12), 0), 4)), "CUSTOM")</f>
        <v/>
      </c>
      <c r="AH12" s="56"/>
      <c r="AI12" s="56" t="str">
        <f t="array" ref="AI12">IFERROR(IF(OR(I12="",K12=""),"",INDEX($J$134:$T$143,MATCH(1,($J$134:$J$143=I12)*($K$134:$K$143=AH12), 0), 4)), "CUSTOM")</f>
        <v/>
      </c>
      <c r="AJ12" s="56">
        <f t="shared" si="17"/>
        <v>0</v>
      </c>
      <c r="AK12" s="56" t="str">
        <f t="shared" si="18"/>
        <v/>
      </c>
      <c r="AL12" s="56" t="str">
        <f t="shared" si="7"/>
        <v/>
      </c>
      <c r="AM12" s="46" t="str">
        <f t="shared" si="8"/>
        <v/>
      </c>
      <c r="AN12" s="164" t="str">
        <f t="shared" si="9"/>
        <v/>
      </c>
      <c r="AO12" s="165" t="str">
        <f t="shared" si="10"/>
        <v/>
      </c>
      <c r="AP12">
        <f t="shared" si="11"/>
        <v>0</v>
      </c>
      <c r="AQ12" t="str">
        <f t="shared" si="12"/>
        <v>Yes</v>
      </c>
      <c r="AR12" t="s">
        <v>263</v>
      </c>
      <c r="AS12" s="98"/>
    </row>
    <row r="13" spans="1:45">
      <c r="A13" s="41"/>
      <c r="B13" s="248">
        <v>6</v>
      </c>
      <c r="C13" s="248" t="s">
        <v>262</v>
      </c>
      <c r="D13" s="43"/>
      <c r="E13" s="43"/>
      <c r="F13" s="43"/>
      <c r="G13" s="43"/>
      <c r="H13" s="43"/>
      <c r="I13" s="44"/>
      <c r="J13" s="44"/>
      <c r="K13" s="44"/>
      <c r="L13" s="99"/>
      <c r="M13" s="44"/>
      <c r="N13" s="18" t="str">
        <f t="shared" si="0"/>
        <v>≥ 175</v>
      </c>
      <c r="O13" s="18" t="str">
        <f t="shared" si="1"/>
        <v>≥ 175</v>
      </c>
      <c r="P13" s="18" t="str">
        <f t="shared" si="2"/>
        <v>N/A</v>
      </c>
      <c r="Q13" s="115" t="str">
        <f t="array" ref="Q13">IF(OR(I13="",K13=""),"",INDEX($J$21:$T$28,MATCH(1,($J$21:$J$28=I13)*($K$21:$K$28=N13), 0), 9))</f>
        <v/>
      </c>
      <c r="R13" s="115" t="str">
        <f t="array" ref="R13">IF(OR(I13="",K13=""),"",INDEX($J$33:$T$38,MATCH(1,($J$33:$J$38=I13)*($K$33:$K$38=P13), 0),9))</f>
        <v/>
      </c>
      <c r="S13" s="18">
        <f t="shared" si="13"/>
        <v>0.93700000000000006</v>
      </c>
      <c r="T13" s="18" t="str">
        <f t="shared" si="3"/>
        <v/>
      </c>
      <c r="U13" s="6" t="str">
        <f t="shared" si="4"/>
        <v>CUSTOM</v>
      </c>
      <c r="V13" s="22" t="str">
        <f t="array" ref="V13">IFERROR(IF(OR(I13="",K13=""),"",INDEX($J$43:$T$53,MATCH(1,($J$43:$J$53=I13)*($K$43:$K$53=U13), 0), 9)), "CUSTOM")</f>
        <v/>
      </c>
      <c r="W13" s="6" t="str">
        <f t="shared" si="5"/>
        <v>CUSTOM</v>
      </c>
      <c r="X13" s="22" t="str">
        <f t="array" ref="X13">IFERROR(IF(OR(I13="",K13=""),"",INDEX($J$58:$T$67,MATCH(1,($J$58:$J$67=I13)*($K$58:$K$67=W13), 0), 9)), "CUSTOM")</f>
        <v/>
      </c>
      <c r="Y13" s="5" t="str">
        <f t="shared" si="6"/>
        <v>CUSTOM</v>
      </c>
      <c r="Z13" s="56" t="str">
        <f t="array" ref="Z13">IFERROR(IF(OR(I13="",K13=""),"",INDEX($J$72:$T$77,MATCH(1,($J$72:$J$77=I13)*($K$72:$K$77=Y13), 0), 4)), "CUSTOM")</f>
        <v/>
      </c>
      <c r="AA13" s="56" t="str">
        <f>IFERROR(VLOOKUP(I13, $J$82:$T$85, 9, FALSE), "CUSTOM")</f>
        <v>CUSTOM</v>
      </c>
      <c r="AB13" s="6" t="str">
        <f t="shared" si="14"/>
        <v>CUSTOM</v>
      </c>
      <c r="AC13" s="22" t="str">
        <f t="array" ref="AC13">IFERROR(IF(OR(I13="",K13=""),"",INDEX($J$90:$T$100,MATCH(1,($J$90:$J$100=I13)*($K$90:$K$100=AB13), 0), 4)), "CUSTOM")</f>
        <v/>
      </c>
      <c r="AD13" s="6" t="str">
        <f t="shared" si="15"/>
        <v>CUSTOM</v>
      </c>
      <c r="AE13" s="22" t="str">
        <f t="array" ref="AE13">IFERROR(IF(OR(I13="",K13=""),"",INDEX($J$105:$T$114,MATCH(1,($J$104:$J$105=I13)*($K$104:$K$105=AD13), 0), 4)), "CUSTOM")</f>
        <v/>
      </c>
      <c r="AF13" s="5" t="str">
        <f t="shared" si="16"/>
        <v>CUSTOM</v>
      </c>
      <c r="AG13" s="56" t="str">
        <f t="array" ref="AG13">IFERROR(IF(OR(I13="",K13=""),"",INDEX($J$119:$T$129,MATCH(1,($J$119:$J$129=I13)*($K$119:$K$129=AF13), 0), 4)), "CUSTOM")</f>
        <v/>
      </c>
      <c r="AH13" s="56"/>
      <c r="AI13" s="56" t="str">
        <f t="array" ref="AI13">IFERROR(IF(OR(I13="",K13=""),"",INDEX($J$134:$T$143,MATCH(1,($J$134:$J$143=I13)*($K$134:$K$143=AH13), 0), 4)), "CUSTOM")</f>
        <v/>
      </c>
      <c r="AJ13" s="56">
        <f t="shared" si="17"/>
        <v>0</v>
      </c>
      <c r="AK13" s="56" t="str">
        <f t="shared" si="18"/>
        <v/>
      </c>
      <c r="AL13" s="56" t="str">
        <f t="shared" si="7"/>
        <v/>
      </c>
      <c r="AM13" s="46" t="str">
        <f t="shared" si="8"/>
        <v/>
      </c>
      <c r="AN13" s="164" t="str">
        <f t="shared" si="9"/>
        <v/>
      </c>
      <c r="AO13" s="165" t="str">
        <f t="shared" si="10"/>
        <v/>
      </c>
      <c r="AP13">
        <f t="shared" si="11"/>
        <v>0</v>
      </c>
      <c r="AQ13" t="str">
        <f t="shared" si="12"/>
        <v>Yes</v>
      </c>
      <c r="AR13" t="s">
        <v>263</v>
      </c>
      <c r="AS13" s="98"/>
    </row>
    <row r="14" spans="1:45">
      <c r="A14" s="41"/>
      <c r="B14" s="248">
        <v>7</v>
      </c>
      <c r="C14" s="248" t="s">
        <v>262</v>
      </c>
      <c r="D14" s="43"/>
      <c r="E14" s="43"/>
      <c r="F14" s="43"/>
      <c r="G14" s="43"/>
      <c r="H14" s="43"/>
      <c r="I14" s="44"/>
      <c r="J14" s="44"/>
      <c r="K14" s="44"/>
      <c r="L14" s="99"/>
      <c r="M14" s="44"/>
      <c r="N14" s="18" t="str">
        <f t="shared" si="0"/>
        <v>≥ 175</v>
      </c>
      <c r="O14" s="18" t="str">
        <f t="shared" si="1"/>
        <v>≥ 175</v>
      </c>
      <c r="P14" s="18" t="str">
        <f t="shared" si="2"/>
        <v>N/A</v>
      </c>
      <c r="Q14" s="115" t="str">
        <f t="array" ref="Q14">IF(OR(I14="",K14=""),"",INDEX($J$21:$T$28,MATCH(1,($J$21:$J$28=I14)*($K$21:$K$28=N14), 0), 10))</f>
        <v/>
      </c>
      <c r="R14" s="115" t="str">
        <f t="array" ref="R14">IF(OR(I14="",K14=""),"",INDEX($J$33:$T$38,MATCH(1,($J$33:$J$38=I14)*($K$33:$K$38=P14), 0), 10))</f>
        <v/>
      </c>
      <c r="S14" s="18">
        <f t="shared" si="13"/>
        <v>0.93700000000000006</v>
      </c>
      <c r="T14" s="18" t="str">
        <f t="shared" si="3"/>
        <v/>
      </c>
      <c r="U14" s="6" t="str">
        <f t="shared" si="4"/>
        <v>CUSTOM</v>
      </c>
      <c r="V14" s="22" t="str">
        <f t="array" ref="V14">IFERROR(IF(OR(I14="",K14=""),"",INDEX($J$43:$T$53,MATCH(1,($J$43:$J$53=I14)*($K$43:$K$53=U14), 0), 10)), "CUSTOM")</f>
        <v/>
      </c>
      <c r="W14" s="6" t="str">
        <f t="shared" si="5"/>
        <v>CUSTOM</v>
      </c>
      <c r="X14" s="22" t="str">
        <f t="array" ref="X14">IFERROR(IF(OR(I14="",K14=""),"",INDEX($J$58:$T$67,MATCH(1,($J$58:$J$67=I14)*($K$58:$K$67=W14), 0), 10)), "CUSTOM")</f>
        <v/>
      </c>
      <c r="Y14" s="5" t="str">
        <f t="shared" si="6"/>
        <v>CUSTOM</v>
      </c>
      <c r="Z14" s="56" t="str">
        <f t="array" ref="Z14">IFERROR(IF(OR(I14="",K14=""),"",INDEX($J$72:$T$77,MATCH(1,($J$72:$J$77=I14)*($K$72:$K$77=Y14), 0), 4)), "CUSTOM")</f>
        <v/>
      </c>
      <c r="AA14" s="56" t="str">
        <f>IFERROR(VLOOKUP(I14, $J$82:$T$85, 10, FALSE), "CUSTOM")</f>
        <v>CUSTOM</v>
      </c>
      <c r="AB14" s="6" t="str">
        <f t="shared" si="14"/>
        <v>CUSTOM</v>
      </c>
      <c r="AC14" s="22" t="str">
        <f t="array" ref="AC14">IFERROR(IF(OR(I14="",K14=""),"",INDEX($J$90:$T$100,MATCH(1,($J$90:$J$100=I14)*($K$90:$K$100=AB14), 0), 4)), "CUSTOM")</f>
        <v/>
      </c>
      <c r="AD14" s="6" t="str">
        <f t="shared" si="15"/>
        <v>CUSTOM</v>
      </c>
      <c r="AE14" s="22" t="str">
        <f t="array" ref="AE14">IFERROR(IF(OR(I14="",K14=""),"",INDEX($J$105:$T$114,MATCH(1,($J$104:$J$105=I14)*($K$104:$K$105=AD14), 0), 4)), "CUSTOM")</f>
        <v/>
      </c>
      <c r="AF14" s="5" t="str">
        <f t="shared" si="16"/>
        <v>CUSTOM</v>
      </c>
      <c r="AG14" s="56" t="str">
        <f t="array" ref="AG14">IFERROR(IF(OR(I14="",K14=""),"",INDEX($J$119:$T$129,MATCH(1,($J$119:$J$129=I14)*($K$119:$K$129=AF14), 0), 4)), "CUSTOM")</f>
        <v/>
      </c>
      <c r="AH14" s="56"/>
      <c r="AI14" s="56" t="str">
        <f t="array" ref="AI14">IFERROR(IF(OR(I14="",K14=""),"",INDEX($J$134:$T$143,MATCH(1,($J$134:$J$143=I14)*($K$134:$K$143=AH14), 0), 4)), "CUSTOM")</f>
        <v/>
      </c>
      <c r="AJ14" s="56">
        <f t="shared" si="17"/>
        <v>0</v>
      </c>
      <c r="AK14" s="56" t="str">
        <f t="shared" si="18"/>
        <v/>
      </c>
      <c r="AL14" s="56" t="str">
        <f t="shared" si="7"/>
        <v/>
      </c>
      <c r="AM14" s="46" t="str">
        <f t="shared" si="8"/>
        <v/>
      </c>
      <c r="AN14" s="164" t="str">
        <f t="shared" si="9"/>
        <v/>
      </c>
      <c r="AO14" s="165" t="str">
        <f t="shared" si="10"/>
        <v/>
      </c>
      <c r="AP14">
        <f t="shared" si="11"/>
        <v>0</v>
      </c>
      <c r="AQ14" t="str">
        <f t="shared" si="12"/>
        <v>Yes</v>
      </c>
      <c r="AR14" t="s">
        <v>263</v>
      </c>
      <c r="AS14" s="98"/>
    </row>
    <row r="15" spans="1:45">
      <c r="A15" s="41"/>
      <c r="B15" s="248">
        <v>8</v>
      </c>
      <c r="C15" s="248" t="s">
        <v>262</v>
      </c>
      <c r="D15" s="43"/>
      <c r="E15" s="43"/>
      <c r="F15" s="43"/>
      <c r="G15" s="43"/>
      <c r="H15" s="43"/>
      <c r="I15" s="44"/>
      <c r="J15" s="44"/>
      <c r="K15" s="44"/>
      <c r="L15" s="99"/>
      <c r="M15" s="44"/>
      <c r="N15" s="18" t="str">
        <f t="shared" si="0"/>
        <v>≥ 175</v>
      </c>
      <c r="O15" s="18" t="str">
        <f t="shared" si="1"/>
        <v>≥ 175</v>
      </c>
      <c r="P15" s="18" t="str">
        <f t="shared" si="2"/>
        <v>N/A</v>
      </c>
      <c r="Q15" s="115" t="str">
        <f t="array" ref="Q15">IF(OR(I15="",K15=""),"",INDEX($J$21:$T$28,MATCH(1,($J$21:$J$28=I15)*($K$21:$K$28=N15), 0), 11))</f>
        <v/>
      </c>
      <c r="R15" s="115" t="str">
        <f t="array" ref="R15">IF(OR(I15="",K15=""),"",INDEX($J$33:$T$38,MATCH(1,($J$33:$J$38=I15)*($K$33:$K$38=P15), 0), 11))</f>
        <v/>
      </c>
      <c r="S15" s="18">
        <f t="shared" si="13"/>
        <v>0.93700000000000006</v>
      </c>
      <c r="T15" s="18" t="str">
        <f t="shared" si="3"/>
        <v/>
      </c>
      <c r="U15" s="6" t="str">
        <f t="shared" si="4"/>
        <v>CUSTOM</v>
      </c>
      <c r="V15" s="22" t="str">
        <f t="array" ref="V15">IFERROR(IF(OR(I15="",K15=""),"",INDEX($J$43:$T$53,MATCH(1,($J$43:$J$53=I15)*($K$43:$K$53=U15), 0), 11)), "CUSTOM")</f>
        <v/>
      </c>
      <c r="W15" s="6" t="str">
        <f t="shared" si="5"/>
        <v>CUSTOM</v>
      </c>
      <c r="X15" s="22" t="str">
        <f t="array" ref="X15">IFERROR(IF(OR(I15="",K15=""),"",INDEX($J$58:$T$67,MATCH(1,($J$58:$J$67=I15)*($K$58:$K$67=W15), 0), 11)), "CUSTOM")</f>
        <v/>
      </c>
      <c r="Y15" s="5" t="str">
        <f t="shared" si="6"/>
        <v>CUSTOM</v>
      </c>
      <c r="Z15" s="56" t="str">
        <f t="array" ref="Z15">IFERROR(IF(OR(I15="",K15=""),"",INDEX($J$72:$T$77,MATCH(1,($J$72:$J$77=I15)*($K$72:$K$77=Y15), 0), 4)), "CUSTOM")</f>
        <v/>
      </c>
      <c r="AA15" s="56" t="str">
        <f>IFERROR(VLOOKUP(I15, $J$82:$T$85, 11, FALSE), "CUSTOM")</f>
        <v>CUSTOM</v>
      </c>
      <c r="AB15" s="6" t="str">
        <f t="shared" si="14"/>
        <v>CUSTOM</v>
      </c>
      <c r="AC15" s="22" t="str">
        <f t="array" ref="AC15">IFERROR(IF(OR(I15="",K15=""),"",INDEX($J$90:$T$100,MATCH(1,($J$90:$J$100=I15)*($K$90:$K$100=AB15), 0), 4)), "CUSTOM")</f>
        <v/>
      </c>
      <c r="AD15" s="6" t="str">
        <f t="shared" si="15"/>
        <v>CUSTOM</v>
      </c>
      <c r="AE15" s="22" t="str">
        <f t="array" ref="AE15">IFERROR(IF(OR(I15="",K15=""),"",INDEX($J$105:$T$114,MATCH(1,($J$104:$J$105=I15)*($K$104:$K$105=AD15), 0), 4)), "CUSTOM")</f>
        <v/>
      </c>
      <c r="AF15" s="5" t="str">
        <f t="shared" si="16"/>
        <v>CUSTOM</v>
      </c>
      <c r="AG15" s="56" t="str">
        <f t="array" ref="AG15">IFERROR(IF(OR(I15="",K15=""),"",INDEX($J$119:$T$129,MATCH(1,($J$119:$J$129=I15)*($K$119:$K$129=AF15), 0), 4)), "CUSTOM")</f>
        <v/>
      </c>
      <c r="AH15" s="56"/>
      <c r="AI15" s="56" t="str">
        <f t="array" ref="AI15">IFERROR(IF(OR(I15="",K15=""),"",INDEX($J$134:$T$143,MATCH(1,($J$134:$J$143=I15)*($K$134:$K$143=AH15), 0), 4)), "CUSTOM")</f>
        <v/>
      </c>
      <c r="AJ15" s="56">
        <f t="shared" si="17"/>
        <v>0</v>
      </c>
      <c r="AK15" s="56" t="str">
        <f t="shared" si="18"/>
        <v/>
      </c>
      <c r="AL15" s="56" t="str">
        <f t="shared" si="7"/>
        <v/>
      </c>
      <c r="AM15" s="46" t="str">
        <f t="shared" si="8"/>
        <v/>
      </c>
      <c r="AN15" s="164" t="str">
        <f t="shared" si="9"/>
        <v/>
      </c>
      <c r="AO15" s="165" t="str">
        <f t="shared" si="10"/>
        <v/>
      </c>
      <c r="AP15">
        <f t="shared" si="11"/>
        <v>0</v>
      </c>
      <c r="AQ15" t="str">
        <f t="shared" si="12"/>
        <v>Yes</v>
      </c>
      <c r="AR15" t="s">
        <v>263</v>
      </c>
      <c r="AS15" s="98"/>
    </row>
    <row r="16" spans="1:45" hidden="1">
      <c r="A16" s="28"/>
      <c r="AS16" s="98"/>
    </row>
    <row r="17" spans="1:45" hidden="1">
      <c r="A17" s="28"/>
      <c r="AS17" s="98"/>
    </row>
    <row r="18" spans="1:45" hidden="1">
      <c r="A18" s="28"/>
      <c r="J18" s="166" t="s">
        <v>264</v>
      </c>
      <c r="AS18" s="98"/>
    </row>
    <row r="19" spans="1:45" hidden="1">
      <c r="A19" s="28"/>
      <c r="J19" s="404" t="s">
        <v>265</v>
      </c>
      <c r="K19" s="404"/>
      <c r="L19" s="404"/>
      <c r="M19" s="404"/>
      <c r="N19" s="404"/>
      <c r="O19" s="404"/>
      <c r="P19" s="404"/>
      <c r="Q19" s="404"/>
      <c r="R19" s="404"/>
      <c r="S19" s="404"/>
      <c r="T19" s="404"/>
      <c r="AS19" s="98"/>
    </row>
    <row r="20" spans="1:45" ht="37.5" hidden="1" customHeight="1">
      <c r="A20" s="28"/>
      <c r="C20" s="251" t="s">
        <v>190</v>
      </c>
      <c r="J20" s="3" t="s">
        <v>266</v>
      </c>
      <c r="K20" s="2" t="s">
        <v>267</v>
      </c>
      <c r="L20" s="2" t="s">
        <v>268</v>
      </c>
      <c r="M20" s="249" t="s">
        <v>269</v>
      </c>
      <c r="N20" s="249" t="s">
        <v>270</v>
      </c>
      <c r="O20" s="249" t="s">
        <v>271</v>
      </c>
      <c r="P20" s="249" t="s">
        <v>272</v>
      </c>
      <c r="Q20" s="249" t="s">
        <v>273</v>
      </c>
      <c r="R20" s="249" t="s">
        <v>274</v>
      </c>
      <c r="S20" s="249" t="s">
        <v>275</v>
      </c>
      <c r="T20" s="249" t="s">
        <v>276</v>
      </c>
      <c r="AS20" s="98"/>
    </row>
    <row r="21" spans="1:45" hidden="1">
      <c r="A21" s="28"/>
      <c r="C21" s="22" t="str">
        <f>IF('Project Summary'!$C$12="", "PY13-PY16", IF('Project Summary'!$C$12&lt;K87, "PY10-PY12", "PY13-PY16"))</f>
        <v>PY13-PY16</v>
      </c>
      <c r="J21" s="136" t="s">
        <v>277</v>
      </c>
      <c r="K21" s="6" t="s">
        <v>278</v>
      </c>
      <c r="L21" s="6" t="s">
        <v>279</v>
      </c>
      <c r="M21" s="22">
        <f>10.26-(0.0086*$K$8)</f>
        <v>10.26</v>
      </c>
      <c r="N21" s="22">
        <f>10.26-(0.0086*$K$9)</f>
        <v>10.26</v>
      </c>
      <c r="O21" s="22">
        <f>10.26-(0.0086*$K$10)</f>
        <v>10.26</v>
      </c>
      <c r="P21" s="22">
        <f>10.26-(0.0086*$K$11)</f>
        <v>10.26</v>
      </c>
      <c r="Q21" s="22">
        <f>10.26-(0.0086*$K$12)</f>
        <v>10.26</v>
      </c>
      <c r="R21" s="22">
        <f>10.26-(0.0086*$K$13)</f>
        <v>10.26</v>
      </c>
      <c r="S21" s="22">
        <f>10.26-(0.0086*$K$14)</f>
        <v>10.26</v>
      </c>
      <c r="T21" s="22">
        <f>10.26-(0.0086*$K$15)</f>
        <v>10.26</v>
      </c>
      <c r="AS21" s="98"/>
    </row>
    <row r="22" spans="1:45" hidden="1">
      <c r="A22" s="28"/>
      <c r="J22" s="136" t="s">
        <v>277</v>
      </c>
      <c r="K22" s="6" t="s">
        <v>280</v>
      </c>
      <c r="L22" s="6" t="s">
        <v>281</v>
      </c>
      <c r="M22" s="22">
        <f>6.89-(0.0011*K8)</f>
        <v>6.89</v>
      </c>
      <c r="N22" s="22">
        <f>6.89-(0.0011*K9)</f>
        <v>6.89</v>
      </c>
      <c r="O22" s="22">
        <f>6.89-(0.0011*K10)</f>
        <v>6.89</v>
      </c>
      <c r="P22" s="22">
        <f>6.89-(0.0011*K11)</f>
        <v>6.89</v>
      </c>
      <c r="Q22" s="22">
        <f>6.89-(0.0011*K12)</f>
        <v>6.89</v>
      </c>
      <c r="R22" s="22">
        <f>6.89-(0.0011*K13)</f>
        <v>6.89</v>
      </c>
      <c r="S22" s="22">
        <f>6.89-(0.0011*M14)</f>
        <v>6.89</v>
      </c>
      <c r="T22" s="22">
        <f>6.89-(0.0011*K15)</f>
        <v>6.89</v>
      </c>
      <c r="AS22" s="98"/>
    </row>
    <row r="23" spans="1:45" hidden="1">
      <c r="A23" s="28"/>
      <c r="C23" s="19" t="s">
        <v>277</v>
      </c>
      <c r="J23" s="136" t="s">
        <v>282</v>
      </c>
      <c r="K23" s="6" t="s">
        <v>283</v>
      </c>
      <c r="L23" s="6" t="s">
        <v>284</v>
      </c>
      <c r="M23" s="22">
        <f>8.85-(0.0038*$K$8)</f>
        <v>8.85</v>
      </c>
      <c r="N23" s="22">
        <f>8.85-(0.0038*$K$9)</f>
        <v>8.85</v>
      </c>
      <c r="O23" s="22">
        <f>8.85-(0.0038*$K$10)</f>
        <v>8.85</v>
      </c>
      <c r="P23" s="22">
        <f>8.85-(0.0038*$K$11)</f>
        <v>8.85</v>
      </c>
      <c r="Q23" s="22">
        <f>8.85-(0.0038*$K$12)</f>
        <v>8.85</v>
      </c>
      <c r="R23" s="22">
        <f>8.85-(0.0038*$K$13)</f>
        <v>8.85</v>
      </c>
      <c r="S23" s="22">
        <f>8.85-(0.0038*$K$14)</f>
        <v>8.85</v>
      </c>
      <c r="T23" s="22">
        <f>8.85-(0.0038*$K$15)</f>
        <v>8.85</v>
      </c>
      <c r="AS23" s="98"/>
    </row>
    <row r="24" spans="1:45" hidden="1">
      <c r="A24" s="28"/>
      <c r="C24" s="19" t="s">
        <v>282</v>
      </c>
      <c r="J24" s="136" t="s">
        <v>282</v>
      </c>
      <c r="K24" s="6" t="s">
        <v>285</v>
      </c>
      <c r="L24" s="6">
        <v>5.0999999999999996</v>
      </c>
      <c r="M24" s="22">
        <v>5.0999999999999996</v>
      </c>
      <c r="N24" s="22">
        <v>5.0999999999999996</v>
      </c>
      <c r="O24" s="22">
        <v>5.0999999999999996</v>
      </c>
      <c r="P24" s="22">
        <v>5.0999999999999996</v>
      </c>
      <c r="Q24" s="22">
        <v>5.0999999999999996</v>
      </c>
      <c r="R24" s="22">
        <v>5.0999999999999996</v>
      </c>
      <c r="S24" s="22">
        <v>5.0999999999999996</v>
      </c>
      <c r="T24" s="22">
        <v>5.0999999999999996</v>
      </c>
      <c r="AS24" s="98"/>
    </row>
    <row r="25" spans="1:45" hidden="1">
      <c r="A25" s="28"/>
      <c r="C25" s="19" t="s">
        <v>286</v>
      </c>
      <c r="J25" s="136" t="s">
        <v>286</v>
      </c>
      <c r="K25" s="6" t="s">
        <v>287</v>
      </c>
      <c r="L25" s="6" t="s">
        <v>284</v>
      </c>
      <c r="M25" s="22">
        <f>8.85-(0.0038*$K$8)</f>
        <v>8.85</v>
      </c>
      <c r="N25" s="22">
        <f>8.85-(0.0038*$K$9)</f>
        <v>8.85</v>
      </c>
      <c r="O25" s="22">
        <f>8.85-(0.0038*$K$10)</f>
        <v>8.85</v>
      </c>
      <c r="P25" s="22">
        <f>8.85-(0.0038*$K$11)</f>
        <v>8.85</v>
      </c>
      <c r="Q25" s="22">
        <f>8.85-(0.0038*$K$12)</f>
        <v>8.85</v>
      </c>
      <c r="R25" s="22">
        <f>8.85-(0.0038*$K$13)</f>
        <v>8.85</v>
      </c>
      <c r="S25" s="22">
        <f>8.85-(0.0038*$K$14)</f>
        <v>8.85</v>
      </c>
      <c r="T25" s="22">
        <f>8.85-(0.0038*$K$15)</f>
        <v>8.85</v>
      </c>
      <c r="AS25" s="98"/>
    </row>
    <row r="26" spans="1:45" hidden="1">
      <c r="A26" s="28"/>
      <c r="C26" s="19" t="s">
        <v>288</v>
      </c>
      <c r="J26" s="136" t="s">
        <v>286</v>
      </c>
      <c r="K26" s="6" t="s">
        <v>289</v>
      </c>
      <c r="L26" s="6">
        <v>5.3</v>
      </c>
      <c r="M26" s="22">
        <v>5.3</v>
      </c>
      <c r="N26" s="22">
        <v>5.3</v>
      </c>
      <c r="O26" s="22">
        <v>5.3</v>
      </c>
      <c r="P26" s="22">
        <v>5.3</v>
      </c>
      <c r="Q26" s="22">
        <v>5.3</v>
      </c>
      <c r="R26" s="22">
        <v>5.3</v>
      </c>
      <c r="S26" s="22">
        <v>5.3</v>
      </c>
      <c r="T26" s="22">
        <v>5.3</v>
      </c>
      <c r="AS26" s="98"/>
    </row>
    <row r="27" spans="1:45" hidden="1">
      <c r="A27" s="28"/>
      <c r="J27" s="136" t="s">
        <v>288</v>
      </c>
      <c r="K27" s="6" t="s">
        <v>290</v>
      </c>
      <c r="L27" s="6" t="s">
        <v>291</v>
      </c>
      <c r="M27" s="22">
        <f>18-(0.0469*$K$8)</f>
        <v>18</v>
      </c>
      <c r="N27" s="22">
        <f>18-(0.0469*$K$9)</f>
        <v>18</v>
      </c>
      <c r="O27" s="22">
        <f>18-(0.0469*$K$10)</f>
        <v>18</v>
      </c>
      <c r="P27" s="22">
        <f>18-(0.0469*$K$11)</f>
        <v>18</v>
      </c>
      <c r="Q27" s="22">
        <f>18-(0.0469*$K$12)</f>
        <v>18</v>
      </c>
      <c r="R27" s="22">
        <f>18-(0.0469*$K$13)</f>
        <v>18</v>
      </c>
      <c r="S27" s="22">
        <f>18-(0.0469*$K$14)</f>
        <v>18</v>
      </c>
      <c r="T27" s="22">
        <f>18-(0.0469*$K$15)</f>
        <v>18</v>
      </c>
      <c r="AS27" s="98"/>
    </row>
    <row r="28" spans="1:45" hidden="1">
      <c r="A28" s="28"/>
      <c r="C28" s="167" t="s">
        <v>292</v>
      </c>
      <c r="D28" s="249" t="s">
        <v>293</v>
      </c>
      <c r="E28" s="249" t="s">
        <v>294</v>
      </c>
      <c r="J28" s="136" t="s">
        <v>288</v>
      </c>
      <c r="K28" s="6" t="s">
        <v>295</v>
      </c>
      <c r="L28" s="6">
        <v>9.8000000000000007</v>
      </c>
      <c r="M28" s="22">
        <v>9.8000000000000007</v>
      </c>
      <c r="N28" s="22">
        <v>9.8000000000000007</v>
      </c>
      <c r="O28" s="22">
        <v>9.8000000000000007</v>
      </c>
      <c r="P28" s="22">
        <v>9.8000000000000007</v>
      </c>
      <c r="Q28" s="22">
        <v>9.8000000000000007</v>
      </c>
      <c r="R28" s="22">
        <v>9.8000000000000007</v>
      </c>
      <c r="S28" s="22">
        <v>9.8000000000000007</v>
      </c>
      <c r="T28" s="22">
        <v>9.8000000000000007</v>
      </c>
      <c r="AS28" s="98"/>
    </row>
    <row r="29" spans="1:45" hidden="1">
      <c r="A29" s="28"/>
      <c r="C29" s="4" t="s">
        <v>296</v>
      </c>
      <c r="D29" s="239">
        <v>75</v>
      </c>
      <c r="E29" s="4" t="s">
        <v>96</v>
      </c>
      <c r="AS29" s="98"/>
    </row>
    <row r="30" spans="1:45" hidden="1">
      <c r="A30" s="28"/>
      <c r="C30" s="4" t="s">
        <v>297</v>
      </c>
      <c r="D30" s="239">
        <v>150</v>
      </c>
      <c r="E30" s="4" t="s">
        <v>100</v>
      </c>
      <c r="J30" s="166" t="s">
        <v>298</v>
      </c>
      <c r="AS30" s="98"/>
    </row>
    <row r="31" spans="1:45" hidden="1">
      <c r="A31" s="28"/>
      <c r="C31" s="4" t="s">
        <v>299</v>
      </c>
      <c r="D31" s="239">
        <v>200</v>
      </c>
      <c r="E31" s="4" t="s">
        <v>98</v>
      </c>
      <c r="J31" s="404" t="s">
        <v>300</v>
      </c>
      <c r="K31" s="404"/>
      <c r="L31" s="404"/>
      <c r="M31" s="404"/>
      <c r="N31" s="404"/>
      <c r="O31" s="404"/>
      <c r="P31" s="404"/>
      <c r="Q31" s="404"/>
      <c r="R31" s="404"/>
      <c r="S31" s="404"/>
      <c r="T31" s="404"/>
      <c r="AS31" s="98"/>
    </row>
    <row r="32" spans="1:45" ht="30" hidden="1">
      <c r="A32" s="28"/>
      <c r="J32" s="3" t="s">
        <v>266</v>
      </c>
      <c r="K32" s="2" t="s">
        <v>267</v>
      </c>
      <c r="L32" s="2" t="s">
        <v>301</v>
      </c>
      <c r="M32" s="249" t="s">
        <v>269</v>
      </c>
      <c r="N32" s="249" t="s">
        <v>270</v>
      </c>
      <c r="O32" s="249" t="s">
        <v>271</v>
      </c>
      <c r="P32" s="249" t="s">
        <v>272</v>
      </c>
      <c r="Q32" s="249" t="s">
        <v>273</v>
      </c>
      <c r="R32" s="249" t="s">
        <v>274</v>
      </c>
      <c r="S32" s="249" t="s">
        <v>275</v>
      </c>
      <c r="T32" s="249" t="s">
        <v>276</v>
      </c>
      <c r="AS32" s="98"/>
    </row>
    <row r="33" spans="1:45" ht="17.25" hidden="1">
      <c r="A33" s="28"/>
      <c r="C33" s="14" t="s">
        <v>123</v>
      </c>
      <c r="J33" s="136" t="s">
        <v>277</v>
      </c>
      <c r="K33" s="6" t="s">
        <v>302</v>
      </c>
      <c r="L33" s="168" t="s">
        <v>303</v>
      </c>
      <c r="M33" s="22" t="e">
        <f>37.72*($K$8^-0.298)</f>
        <v>#DIV/0!</v>
      </c>
      <c r="N33" s="22" t="e">
        <f>37.72*($K$9^-0.298)</f>
        <v>#DIV/0!</v>
      </c>
      <c r="O33" s="22" t="e">
        <f>37.72*($K$10^-0.298)</f>
        <v>#DIV/0!</v>
      </c>
      <c r="P33" s="22" t="e">
        <f>37.72*($K$11^-0.298)</f>
        <v>#DIV/0!</v>
      </c>
      <c r="Q33" s="22" t="e">
        <f>37.72*($K$12^-0.298)</f>
        <v>#DIV/0!</v>
      </c>
      <c r="R33" s="22" t="e">
        <f>37.72*($K$13^-0.298)</f>
        <v>#DIV/0!</v>
      </c>
      <c r="S33" s="22" t="e">
        <f>37.72*($K$14^-0.298)</f>
        <v>#DIV/0!</v>
      </c>
      <c r="T33" s="22" t="e">
        <f>37.72*($K$15^-0.298)</f>
        <v>#DIV/0!</v>
      </c>
      <c r="AS33" s="98"/>
    </row>
    <row r="34" spans="1:45" ht="17.25" hidden="1">
      <c r="A34" s="28"/>
      <c r="C34" s="19" t="s">
        <v>164</v>
      </c>
      <c r="J34" s="136" t="s">
        <v>282</v>
      </c>
      <c r="K34" s="6" t="s">
        <v>304</v>
      </c>
      <c r="L34" s="6" t="s">
        <v>305</v>
      </c>
      <c r="M34" s="22" t="e">
        <f>22.95*(K8^-0.258)+1</f>
        <v>#DIV/0!</v>
      </c>
      <c r="N34" s="22" t="e">
        <f>22.95*(K9^-0.258)+1</f>
        <v>#DIV/0!</v>
      </c>
      <c r="O34" s="22" t="e">
        <f>22.95*(K10^-0.258)+1</f>
        <v>#DIV/0!</v>
      </c>
      <c r="P34" s="22" t="e">
        <f>22.95*(K11^-0.258)+1</f>
        <v>#DIV/0!</v>
      </c>
      <c r="Q34" s="22" t="e">
        <f>22.95*(K12^-0.258)+1</f>
        <v>#DIV/0!</v>
      </c>
      <c r="R34" s="22" t="e">
        <f>22.95*(K13^-0.258)+1</f>
        <v>#DIV/0!</v>
      </c>
      <c r="S34" s="22" t="e">
        <f>22.95*(K14^-0.258)+1</f>
        <v>#DIV/0!</v>
      </c>
      <c r="T34" s="22" t="e">
        <f>22.95*(K15^-0.258)+1</f>
        <v>#DIV/0!</v>
      </c>
      <c r="AS34" s="98"/>
    </row>
    <row r="35" spans="1:45" hidden="1">
      <c r="A35" s="28"/>
      <c r="C35" s="19" t="s">
        <v>170</v>
      </c>
      <c r="J35" s="136" t="s">
        <v>282</v>
      </c>
      <c r="K35" s="6" t="s">
        <v>306</v>
      </c>
      <c r="L35" s="6" t="s">
        <v>307</v>
      </c>
      <c r="M35" s="22">
        <f>-0.00011*$K$8+4.6</f>
        <v>4.5999999999999996</v>
      </c>
      <c r="N35" s="22">
        <f>-0.00011*$K$9+4.6</f>
        <v>4.5999999999999996</v>
      </c>
      <c r="O35" s="22">
        <f>-0.00011*$K$10+4.6</f>
        <v>4.5999999999999996</v>
      </c>
      <c r="P35" s="22">
        <f>-0.00011*$K$11+4.6</f>
        <v>4.5999999999999996</v>
      </c>
      <c r="Q35" s="22">
        <f>-0.00011*$K$12+4.6</f>
        <v>4.5999999999999996</v>
      </c>
      <c r="R35" s="22">
        <f>-0.00011*$K$13+4.6</f>
        <v>4.5999999999999996</v>
      </c>
      <c r="S35" s="22">
        <f>-0.00011*$K$14+4.6</f>
        <v>4.5999999999999996</v>
      </c>
      <c r="T35" s="22">
        <f>-0.00011*$K$15+4.6</f>
        <v>4.5999999999999996</v>
      </c>
      <c r="AS35" s="98"/>
    </row>
    <row r="36" spans="1:45" ht="17.25" hidden="1">
      <c r="A36" s="28"/>
      <c r="J36" s="136" t="s">
        <v>286</v>
      </c>
      <c r="K36" s="6" t="s">
        <v>304</v>
      </c>
      <c r="L36" s="6" t="s">
        <v>305</v>
      </c>
      <c r="M36" s="22" t="e">
        <f>22.95*(K8^-0.258)+1</f>
        <v>#DIV/0!</v>
      </c>
      <c r="N36" s="22" t="e">
        <f>22.95*(K9^-0.258)+1</f>
        <v>#DIV/0!</v>
      </c>
      <c r="O36" s="22" t="e">
        <f>22.95*(K10^-0.258)+1</f>
        <v>#DIV/0!</v>
      </c>
      <c r="P36" s="22" t="e">
        <f>22.95*(K11^-0.258)+1</f>
        <v>#DIV/0!</v>
      </c>
      <c r="Q36" s="22" t="e">
        <f>22.95*(K12^-0.258)+1</f>
        <v>#DIV/0!</v>
      </c>
      <c r="R36" s="22" t="e">
        <f>22.95*(K13^-0.258)+1</f>
        <v>#DIV/0!</v>
      </c>
      <c r="S36" s="22" t="e">
        <f>22.95*(K14^-0.258)+1</f>
        <v>#DIV/0!</v>
      </c>
      <c r="T36" s="22" t="e">
        <f>22.95*(K15^-0.258)+1</f>
        <v>#DIV/0!</v>
      </c>
      <c r="AS36" s="98"/>
    </row>
    <row r="37" spans="1:45" hidden="1">
      <c r="A37" s="28"/>
      <c r="C37" s="169" t="s">
        <v>308</v>
      </c>
      <c r="J37" s="136" t="s">
        <v>286</v>
      </c>
      <c r="K37" s="6" t="s">
        <v>306</v>
      </c>
      <c r="L37" s="6" t="s">
        <v>307</v>
      </c>
      <c r="M37" s="22">
        <f>-0.00011*$K$8+4.6</f>
        <v>4.5999999999999996</v>
      </c>
      <c r="N37" s="22">
        <f>-0.00011*$K$9+4.6</f>
        <v>4.5999999999999996</v>
      </c>
      <c r="O37" s="22">
        <f>-0.00011*$K$10+4.6</f>
        <v>4.5999999999999996</v>
      </c>
      <c r="P37" s="22">
        <f>-0.00011*$K$11+4.6</f>
        <v>4.5999999999999996</v>
      </c>
      <c r="Q37" s="22">
        <f>-0.00011*$K$12+4.6</f>
        <v>4.5999999999999996</v>
      </c>
      <c r="R37" s="22">
        <f>-0.00011*$K$13+4.6</f>
        <v>4.5999999999999996</v>
      </c>
      <c r="S37" s="22">
        <f>-0.00011*$K$14+4.6</f>
        <v>4.5999999999999996</v>
      </c>
      <c r="T37" s="22">
        <f>-0.00011*$K$15+4.6</f>
        <v>4.5999999999999996</v>
      </c>
      <c r="AS37" s="98"/>
    </row>
    <row r="38" spans="1:45" ht="17.25" hidden="1">
      <c r="A38" s="28"/>
      <c r="C38" s="252">
        <v>8</v>
      </c>
      <c r="J38" s="136" t="s">
        <v>288</v>
      </c>
      <c r="K38" s="6" t="s">
        <v>309</v>
      </c>
      <c r="L38" s="6" t="s">
        <v>310</v>
      </c>
      <c r="M38" s="22" t="e">
        <f>48.66*($K$8^-0.326)+0.08</f>
        <v>#DIV/0!</v>
      </c>
      <c r="N38" s="22" t="e">
        <f>48.66*($K$9^-0.326)+0.08</f>
        <v>#DIV/0!</v>
      </c>
      <c r="O38" s="22" t="e">
        <f>48.66*($K$10^-0.326)+0.08</f>
        <v>#DIV/0!</v>
      </c>
      <c r="P38" s="22" t="e">
        <f>48.66*($K$11^-0.326)+0.08</f>
        <v>#DIV/0!</v>
      </c>
      <c r="Q38" s="22" t="e">
        <f>48.66*($K$12^-0.326)+0.08</f>
        <v>#DIV/0!</v>
      </c>
      <c r="R38" s="22" t="e">
        <f>48.66*($K$13^-0.326)+0.08</f>
        <v>#DIV/0!</v>
      </c>
      <c r="S38" s="22" t="e">
        <f>48.66*($K$14^-0.326)+0.08</f>
        <v>#DIV/0!</v>
      </c>
      <c r="T38" s="22" t="e">
        <f>48.66*($K$15^-0.326)+0.08</f>
        <v>#DIV/0!</v>
      </c>
      <c r="AS38" s="98"/>
    </row>
    <row r="39" spans="1:45" hidden="1">
      <c r="A39" s="28"/>
      <c r="J39" s="170"/>
      <c r="K39" s="34"/>
      <c r="L39" s="34"/>
      <c r="M39" s="36"/>
      <c r="N39" s="36"/>
      <c r="O39" s="36"/>
      <c r="P39" s="36"/>
      <c r="Q39" s="36"/>
      <c r="R39" s="36"/>
      <c r="S39" s="36"/>
      <c r="T39" s="36"/>
      <c r="AS39" s="98"/>
    </row>
    <row r="40" spans="1:45" hidden="1">
      <c r="A40" s="28"/>
      <c r="C40" s="82" t="s">
        <v>311</v>
      </c>
      <c r="J40" s="166" t="s">
        <v>312</v>
      </c>
      <c r="K40" s="171">
        <v>43252</v>
      </c>
      <c r="AS40" s="98"/>
    </row>
    <row r="41" spans="1:45" hidden="1">
      <c r="A41" s="28"/>
      <c r="C41" s="4" t="s">
        <v>313</v>
      </c>
      <c r="J41" s="404" t="s">
        <v>265</v>
      </c>
      <c r="K41" s="404"/>
      <c r="L41" s="404"/>
      <c r="M41" s="404"/>
      <c r="N41" s="404"/>
      <c r="O41" s="404"/>
      <c r="P41" s="404"/>
      <c r="Q41" s="404"/>
      <c r="R41" s="404"/>
      <c r="S41" s="404"/>
      <c r="T41" s="404"/>
      <c r="AS41" s="98"/>
    </row>
    <row r="42" spans="1:45" ht="30" hidden="1">
      <c r="A42" s="28"/>
      <c r="C42" s="4" t="s">
        <v>314</v>
      </c>
      <c r="J42" s="3" t="s">
        <v>266</v>
      </c>
      <c r="K42" s="2" t="s">
        <v>267</v>
      </c>
      <c r="L42" s="2" t="s">
        <v>268</v>
      </c>
      <c r="M42" s="249" t="s">
        <v>269</v>
      </c>
      <c r="N42" s="249" t="s">
        <v>270</v>
      </c>
      <c r="O42" s="249" t="s">
        <v>271</v>
      </c>
      <c r="P42" s="249" t="s">
        <v>272</v>
      </c>
      <c r="Q42" s="249" t="s">
        <v>273</v>
      </c>
      <c r="R42" s="249" t="s">
        <v>274</v>
      </c>
      <c r="S42" s="249" t="s">
        <v>275</v>
      </c>
      <c r="T42" s="249" t="s">
        <v>276</v>
      </c>
      <c r="AS42" s="98"/>
    </row>
    <row r="43" spans="1:45" hidden="1">
      <c r="A43" s="28"/>
      <c r="J43" s="136" t="s">
        <v>277</v>
      </c>
      <c r="K43" s="6" t="s">
        <v>315</v>
      </c>
      <c r="L43" s="6" t="s">
        <v>316</v>
      </c>
      <c r="M43" s="22">
        <f>10-0.01233*K8</f>
        <v>10</v>
      </c>
      <c r="N43" s="22">
        <f>10-0.01233*K9</f>
        <v>10</v>
      </c>
      <c r="O43" s="22">
        <f>10-0.01233*K10</f>
        <v>10</v>
      </c>
      <c r="P43" s="22">
        <f>10-0.01233*K11</f>
        <v>10</v>
      </c>
      <c r="Q43" s="22">
        <f>10-0.01233*K12</f>
        <v>10</v>
      </c>
      <c r="R43" s="22">
        <f>10-0.01233*K13</f>
        <v>10</v>
      </c>
      <c r="S43" s="22">
        <f>10-0.01233*K14</f>
        <v>10</v>
      </c>
      <c r="T43" s="22">
        <f>10-0.01233*K15</f>
        <v>10</v>
      </c>
      <c r="AS43" s="98"/>
    </row>
    <row r="44" spans="1:45" hidden="1">
      <c r="A44" s="28"/>
      <c r="C44" s="169" t="s">
        <v>317</v>
      </c>
      <c r="J44" s="136" t="s">
        <v>277</v>
      </c>
      <c r="K44" s="6" t="s">
        <v>318</v>
      </c>
      <c r="L44" s="6" t="s">
        <v>319</v>
      </c>
      <c r="M44" s="22">
        <f>7.05-0.0025*K8</f>
        <v>7.05</v>
      </c>
      <c r="N44" s="22">
        <f>7.05-0.0025*K9</f>
        <v>7.05</v>
      </c>
      <c r="O44" s="22">
        <f>7.05-0.0025*K10</f>
        <v>7.05</v>
      </c>
      <c r="P44" s="22">
        <f>7.05-0.0025*K11</f>
        <v>7.05</v>
      </c>
      <c r="Q44" s="22">
        <f>7.05-0.0025*K12</f>
        <v>7.05</v>
      </c>
      <c r="R44" s="22">
        <f>7.05-0.0025*K13</f>
        <v>7.05</v>
      </c>
      <c r="S44" s="22">
        <f>7.05-0.0025*K14</f>
        <v>7.05</v>
      </c>
      <c r="T44" s="22">
        <f>7.05-0.0025*K15</f>
        <v>7.05</v>
      </c>
      <c r="AS44" s="98"/>
    </row>
    <row r="45" spans="1:45" hidden="1">
      <c r="A45" s="28"/>
      <c r="C45" s="252">
        <v>0.56999999999999995</v>
      </c>
      <c r="J45" s="136" t="s">
        <v>277</v>
      </c>
      <c r="K45" s="6" t="s">
        <v>320</v>
      </c>
      <c r="L45" s="6" t="s">
        <v>321</v>
      </c>
      <c r="M45" s="22">
        <f>5.55-0.00063*K8</f>
        <v>5.55</v>
      </c>
      <c r="N45" s="22">
        <f>5.55-0.00063*K9</f>
        <v>5.55</v>
      </c>
      <c r="O45" s="22">
        <f>5.55-0.00063*K10</f>
        <v>5.55</v>
      </c>
      <c r="P45" s="22">
        <f>5.55-0.00063*K11</f>
        <v>5.55</v>
      </c>
      <c r="Q45" s="22">
        <f>5.55-0.00063*K12</f>
        <v>5.55</v>
      </c>
      <c r="R45" s="22">
        <f>5.55-0.00063*K13</f>
        <v>5.55</v>
      </c>
      <c r="S45" s="22">
        <f>5.55-0.00063*K14</f>
        <v>5.55</v>
      </c>
      <c r="T45" s="22">
        <f>5.55-0.00063*K15</f>
        <v>5.55</v>
      </c>
      <c r="AS45" s="98"/>
    </row>
    <row r="46" spans="1:45" hidden="1">
      <c r="A46" s="28"/>
      <c r="J46" s="136" t="s">
        <v>277</v>
      </c>
      <c r="K46" s="6" t="s">
        <v>322</v>
      </c>
      <c r="L46" s="6">
        <v>4.6100000000000003</v>
      </c>
      <c r="M46" s="22">
        <v>4.6100000000000003</v>
      </c>
      <c r="N46" s="22">
        <v>4.6100000000000003</v>
      </c>
      <c r="O46" s="22">
        <v>4.6100000000000003</v>
      </c>
      <c r="P46" s="22">
        <v>4.6100000000000003</v>
      </c>
      <c r="Q46" s="22">
        <v>4.6100000000000003</v>
      </c>
      <c r="R46" s="22">
        <v>4.6100000000000003</v>
      </c>
      <c r="S46" s="22">
        <v>4.6100000000000003</v>
      </c>
      <c r="T46" s="22">
        <v>4.6100000000000003</v>
      </c>
      <c r="AS46" s="98"/>
    </row>
    <row r="47" spans="1:45" hidden="1">
      <c r="A47" s="28"/>
      <c r="C47" s="169" t="s">
        <v>133</v>
      </c>
      <c r="J47" s="136" t="s">
        <v>282</v>
      </c>
      <c r="K47" s="6" t="s">
        <v>323</v>
      </c>
      <c r="L47" s="6" t="s">
        <v>324</v>
      </c>
      <c r="M47" s="22">
        <f>7.97-0.00342*K8</f>
        <v>7.97</v>
      </c>
      <c r="N47" s="22">
        <f>7.97-0.00342*K9</f>
        <v>7.97</v>
      </c>
      <c r="O47" s="22">
        <f>7.97-0.00342*K10</f>
        <v>7.97</v>
      </c>
      <c r="P47" s="22">
        <f>7.97-0.00342*K11</f>
        <v>7.97</v>
      </c>
      <c r="Q47" s="22">
        <f>7.97-0.00342*K12</f>
        <v>7.97</v>
      </c>
      <c r="R47" s="22">
        <f>7.97-0.00342*K13</f>
        <v>7.97</v>
      </c>
      <c r="S47" s="22">
        <f>7.97-0.00342*K14</f>
        <v>7.97</v>
      </c>
      <c r="T47" s="22">
        <f>7.97-0.00342*K15</f>
        <v>7.97</v>
      </c>
      <c r="AS47" s="98"/>
    </row>
    <row r="48" spans="1:45" hidden="1">
      <c r="A48" s="28"/>
      <c r="C48" s="252">
        <v>0.93700000000000006</v>
      </c>
      <c r="J48" s="136" t="s">
        <v>282</v>
      </c>
      <c r="K48" s="6" t="s">
        <v>325</v>
      </c>
      <c r="L48" s="6">
        <v>4.55</v>
      </c>
      <c r="M48" s="22">
        <v>4.55</v>
      </c>
      <c r="N48" s="22">
        <v>4.55</v>
      </c>
      <c r="O48" s="22">
        <v>4.55</v>
      </c>
      <c r="P48" s="22">
        <v>4.55</v>
      </c>
      <c r="Q48" s="22">
        <v>4.55</v>
      </c>
      <c r="R48" s="22">
        <v>4.55</v>
      </c>
      <c r="S48" s="22">
        <v>4.55</v>
      </c>
      <c r="T48" s="22">
        <v>4.55</v>
      </c>
      <c r="AS48" s="98"/>
    </row>
    <row r="49" spans="1:45" hidden="1">
      <c r="A49" s="28"/>
      <c r="J49" s="136" t="s">
        <v>286</v>
      </c>
      <c r="K49" s="6" t="s">
        <v>326</v>
      </c>
      <c r="L49" s="6" t="s">
        <v>324</v>
      </c>
      <c r="M49" s="22">
        <f>7.97-0.00342*K8</f>
        <v>7.97</v>
      </c>
      <c r="N49" s="22">
        <f>7.97-0.00342*K9</f>
        <v>7.97</v>
      </c>
      <c r="O49" s="22">
        <f>7.97-0.00342*K10</f>
        <v>7.97</v>
      </c>
      <c r="P49" s="22">
        <f>7.97-0.00342*K11</f>
        <v>7.97</v>
      </c>
      <c r="Q49" s="22">
        <f>7.97-0.00342*K12</f>
        <v>7.97</v>
      </c>
      <c r="R49" s="22">
        <f>7.97-0.00342*K13</f>
        <v>7.97</v>
      </c>
      <c r="S49" s="22">
        <f>7.97-0.00342*K14</f>
        <v>7.97</v>
      </c>
      <c r="T49" s="22">
        <f>7.97-0.00342*K15</f>
        <v>7.97</v>
      </c>
      <c r="AS49" s="98"/>
    </row>
    <row r="50" spans="1:45" hidden="1">
      <c r="A50" s="28"/>
      <c r="J50" s="136" t="s">
        <v>286</v>
      </c>
      <c r="K50" s="6" t="s">
        <v>327</v>
      </c>
      <c r="L50" s="6">
        <v>4.75</v>
      </c>
      <c r="M50" s="22">
        <v>4.75</v>
      </c>
      <c r="N50" s="22">
        <v>4.75</v>
      </c>
      <c r="O50" s="22">
        <v>4.75</v>
      </c>
      <c r="P50" s="22">
        <v>4.75</v>
      </c>
      <c r="Q50" s="22">
        <v>4.75</v>
      </c>
      <c r="R50" s="22">
        <v>4.75</v>
      </c>
      <c r="S50" s="22">
        <v>4.75</v>
      </c>
      <c r="T50" s="22">
        <v>4.75</v>
      </c>
      <c r="AS50" s="98"/>
    </row>
    <row r="51" spans="1:45" hidden="1">
      <c r="A51" s="28"/>
      <c r="J51" s="136" t="s">
        <v>288</v>
      </c>
      <c r="K51" s="6" t="s">
        <v>328</v>
      </c>
      <c r="L51" s="6" t="s">
        <v>329</v>
      </c>
      <c r="M51" s="22">
        <f>14.79-0.0469*K8</f>
        <v>14.79</v>
      </c>
      <c r="N51" s="22">
        <f>14.79-0.0469*K9</f>
        <v>14.79</v>
      </c>
      <c r="O51" s="22">
        <f>14.79-0.0469*K10</f>
        <v>14.79</v>
      </c>
      <c r="P51" s="22">
        <f>14.79-0.0469*K11</f>
        <v>14.79</v>
      </c>
      <c r="Q51" s="22">
        <f>14.79-0.0469*K12</f>
        <v>14.79</v>
      </c>
      <c r="R51" s="22">
        <f>14.79-0.0469*K13</f>
        <v>14.79</v>
      </c>
      <c r="S51" s="22">
        <f>14.79-0.0469*K14</f>
        <v>14.79</v>
      </c>
      <c r="T51" s="22">
        <f>14.79-0.0469*K15</f>
        <v>14.79</v>
      </c>
      <c r="AS51" s="98"/>
    </row>
    <row r="52" spans="1:45" hidden="1">
      <c r="A52" s="28"/>
      <c r="J52" s="136" t="s">
        <v>288</v>
      </c>
      <c r="K52" s="6" t="s">
        <v>330</v>
      </c>
      <c r="L52" s="6" t="s">
        <v>331</v>
      </c>
      <c r="M52" s="22">
        <f>12.42-0.02533*K8</f>
        <v>12.42</v>
      </c>
      <c r="N52" s="22">
        <f>12.42-0.02533*K9</f>
        <v>12.42</v>
      </c>
      <c r="O52" s="22">
        <f>12.42-0.02533*K10</f>
        <v>12.42</v>
      </c>
      <c r="P52" s="22">
        <f>12.42-0.02533*K11</f>
        <v>12.42</v>
      </c>
      <c r="Q52" s="22">
        <f>12.42-0.02533*K12</f>
        <v>12.42</v>
      </c>
      <c r="R52" s="22">
        <f>12.42-0.02533*K13</f>
        <v>12.42</v>
      </c>
      <c r="S52" s="22">
        <f>12.42-0.02533*K14</f>
        <v>12.42</v>
      </c>
      <c r="T52" s="22">
        <f>12.42-0.02533*K15</f>
        <v>12.42</v>
      </c>
      <c r="AS52" s="98"/>
    </row>
    <row r="53" spans="1:45" hidden="1">
      <c r="A53" s="28"/>
      <c r="J53" s="136" t="s">
        <v>288</v>
      </c>
      <c r="K53" s="6" t="s">
        <v>332</v>
      </c>
      <c r="L53" s="6">
        <v>7.35</v>
      </c>
      <c r="M53" s="22">
        <v>7.35</v>
      </c>
      <c r="N53" s="22">
        <v>7.35</v>
      </c>
      <c r="O53" s="22">
        <v>7.35</v>
      </c>
      <c r="P53" s="22">
        <v>7.35</v>
      </c>
      <c r="Q53" s="22">
        <v>7.35</v>
      </c>
      <c r="R53" s="22">
        <v>7.35</v>
      </c>
      <c r="S53" s="22">
        <v>7.35</v>
      </c>
      <c r="T53" s="22">
        <v>7.35</v>
      </c>
      <c r="AS53" s="98"/>
    </row>
    <row r="54" spans="1:45" hidden="1">
      <c r="A54" s="28"/>
      <c r="J54" s="170"/>
      <c r="K54" s="34"/>
      <c r="L54" s="34"/>
      <c r="M54" s="36"/>
      <c r="N54" s="36"/>
      <c r="O54" s="36"/>
      <c r="P54" s="36"/>
      <c r="Q54" s="36"/>
      <c r="R54" s="36"/>
      <c r="S54" s="36"/>
      <c r="T54" s="36"/>
      <c r="AS54" s="98"/>
    </row>
    <row r="55" spans="1:45" hidden="1">
      <c r="A55" s="28"/>
      <c r="J55" s="166" t="s">
        <v>312</v>
      </c>
      <c r="K55" s="171">
        <v>43252</v>
      </c>
      <c r="AS55" s="98"/>
    </row>
    <row r="56" spans="1:45" hidden="1">
      <c r="A56" s="28"/>
      <c r="J56" s="404" t="s">
        <v>333</v>
      </c>
      <c r="K56" s="404"/>
      <c r="L56" s="404"/>
      <c r="M56" s="404"/>
      <c r="N56" s="404"/>
      <c r="O56" s="404"/>
      <c r="P56" s="404"/>
      <c r="Q56" s="404"/>
      <c r="R56" s="404"/>
      <c r="S56" s="404"/>
      <c r="T56" s="404"/>
      <c r="AS56" s="98"/>
    </row>
    <row r="57" spans="1:45" ht="30" hidden="1">
      <c r="A57" s="28"/>
      <c r="J57" s="3" t="s">
        <v>266</v>
      </c>
      <c r="K57" s="2" t="s">
        <v>267</v>
      </c>
      <c r="L57" s="2" t="s">
        <v>301</v>
      </c>
      <c r="M57" s="249" t="s">
        <v>269</v>
      </c>
      <c r="N57" s="249" t="s">
        <v>270</v>
      </c>
      <c r="O57" s="249" t="s">
        <v>271</v>
      </c>
      <c r="P57" s="249" t="s">
        <v>272</v>
      </c>
      <c r="Q57" s="249" t="s">
        <v>273</v>
      </c>
      <c r="R57" s="249" t="s">
        <v>274</v>
      </c>
      <c r="S57" s="249" t="s">
        <v>275</v>
      </c>
      <c r="T57" s="249" t="s">
        <v>276</v>
      </c>
      <c r="AS57" s="98"/>
    </row>
    <row r="58" spans="1:45" hidden="1">
      <c r="A58" s="28"/>
      <c r="J58" s="4" t="s">
        <v>277</v>
      </c>
      <c r="K58" s="6" t="s">
        <v>334</v>
      </c>
      <c r="L58" s="168" t="s">
        <v>335</v>
      </c>
      <c r="M58" s="22">
        <f>9.19-0.00629*K8</f>
        <v>9.19</v>
      </c>
      <c r="N58" s="22">
        <f>9.19-0.00629*K9</f>
        <v>9.19</v>
      </c>
      <c r="O58" s="22">
        <f>9.19-0.00629*K10</f>
        <v>9.19</v>
      </c>
      <c r="P58" s="22">
        <f>9.19-0.00629*K11</f>
        <v>9.19</v>
      </c>
      <c r="Q58" s="22">
        <f>9.19-0.00629*K12</f>
        <v>9.19</v>
      </c>
      <c r="R58" s="22">
        <f>9.19-0.00629*K13</f>
        <v>9.19</v>
      </c>
      <c r="S58" s="22">
        <f>9.19-0.00629*K14</f>
        <v>9.19</v>
      </c>
      <c r="T58" s="22">
        <f>9.19-0.00629*K15</f>
        <v>9.19</v>
      </c>
      <c r="AS58" s="98"/>
    </row>
    <row r="59" spans="1:45" hidden="1">
      <c r="A59" s="28"/>
      <c r="J59" s="4" t="s">
        <v>277</v>
      </c>
      <c r="K59" s="6" t="s">
        <v>336</v>
      </c>
      <c r="L59" s="6" t="s">
        <v>337</v>
      </c>
      <c r="M59" s="22">
        <f>8.23-0.0032*K8</f>
        <v>8.23</v>
      </c>
      <c r="N59" s="22">
        <f>8.23-0.0032*K9</f>
        <v>8.23</v>
      </c>
      <c r="O59" s="22">
        <f>8.23-0.0032*K10</f>
        <v>8.23</v>
      </c>
      <c r="P59" s="22">
        <f>8.23-0.0032*K11</f>
        <v>8.23</v>
      </c>
      <c r="Q59" s="22">
        <f>8.23-0.0032*K12</f>
        <v>8.23</v>
      </c>
      <c r="R59" s="22">
        <f>8.23-0.0032*K13</f>
        <v>8.23</v>
      </c>
      <c r="S59" s="22">
        <f>8.23-0.0032*K14</f>
        <v>8.23</v>
      </c>
      <c r="T59" s="22">
        <f>8.23-0.0032*K15</f>
        <v>8.23</v>
      </c>
      <c r="AS59" s="98"/>
    </row>
    <row r="60" spans="1:45" hidden="1">
      <c r="A60" s="28"/>
      <c r="J60" s="4" t="s">
        <v>277</v>
      </c>
      <c r="K60" s="6" t="s">
        <v>338</v>
      </c>
      <c r="L60" s="6">
        <v>5.61</v>
      </c>
      <c r="M60" s="22">
        <v>5.61</v>
      </c>
      <c r="N60" s="22">
        <v>5.61</v>
      </c>
      <c r="O60" s="22">
        <v>5.61</v>
      </c>
      <c r="P60" s="22">
        <v>5.61</v>
      </c>
      <c r="Q60" s="22">
        <v>5.61</v>
      </c>
      <c r="R60" s="22">
        <v>5.61</v>
      </c>
      <c r="S60" s="22">
        <v>5.61</v>
      </c>
      <c r="T60" s="22">
        <v>5.61</v>
      </c>
      <c r="AS60" s="98"/>
    </row>
    <row r="61" spans="1:45" hidden="1">
      <c r="A61" s="28"/>
      <c r="J61" s="4" t="s">
        <v>282</v>
      </c>
      <c r="K61" s="6" t="s">
        <v>339</v>
      </c>
      <c r="L61" s="6" t="s">
        <v>340</v>
      </c>
      <c r="M61" s="22">
        <f>9.7-0.0058*K8</f>
        <v>9.6999999999999993</v>
      </c>
      <c r="N61" s="22">
        <f>9.7-0.0058*K9</f>
        <v>9.6999999999999993</v>
      </c>
      <c r="O61" s="22">
        <f>9.7-0.0058*K10</f>
        <v>9.6999999999999993</v>
      </c>
      <c r="P61" s="22">
        <f>9.7-0.0058*K11</f>
        <v>9.6999999999999993</v>
      </c>
      <c r="Q61" s="22">
        <f>9.7-0.0058*K12</f>
        <v>9.6999999999999993</v>
      </c>
      <c r="R61" s="22">
        <f>9.7-0.0058*K13</f>
        <v>9.6999999999999993</v>
      </c>
      <c r="S61" s="22">
        <f>9.7-0.0058*K14</f>
        <v>9.6999999999999993</v>
      </c>
      <c r="T61" s="22">
        <f>9.7-0.0058*K15</f>
        <v>9.6999999999999993</v>
      </c>
      <c r="AS61" s="98"/>
    </row>
    <row r="62" spans="1:45" hidden="1">
      <c r="A62" s="28"/>
      <c r="J62" s="4" t="s">
        <v>282</v>
      </c>
      <c r="K62" s="6" t="s">
        <v>341</v>
      </c>
      <c r="L62" s="6">
        <v>5.0599999999999996</v>
      </c>
      <c r="M62" s="22">
        <v>5.0599999999999996</v>
      </c>
      <c r="N62" s="22">
        <v>5.0599999999999996</v>
      </c>
      <c r="O62" s="22">
        <v>5.0599999999999996</v>
      </c>
      <c r="P62" s="22">
        <v>5.0599999999999996</v>
      </c>
      <c r="Q62" s="22">
        <v>5.0599999999999996</v>
      </c>
      <c r="R62" s="22">
        <v>5.0599999999999996</v>
      </c>
      <c r="S62" s="22">
        <v>5.0599999999999996</v>
      </c>
      <c r="T62" s="22">
        <v>5.0599999999999996</v>
      </c>
      <c r="AS62" s="98"/>
    </row>
    <row r="63" spans="1:45" hidden="1">
      <c r="A63" s="28"/>
      <c r="J63" s="4" t="s">
        <v>286</v>
      </c>
      <c r="K63" s="6" t="s">
        <v>339</v>
      </c>
      <c r="L63" s="6" t="s">
        <v>342</v>
      </c>
      <c r="M63" s="22">
        <f>9.9-0.0058*K8</f>
        <v>9.9</v>
      </c>
      <c r="N63" s="22">
        <f>9.9-0.0058*K9</f>
        <v>9.9</v>
      </c>
      <c r="O63" s="22">
        <f>9.9-0.0058*K10</f>
        <v>9.9</v>
      </c>
      <c r="P63" s="22">
        <f>9.9-0.0058*K11</f>
        <v>9.9</v>
      </c>
      <c r="Q63" s="22">
        <f>9.9-0.0058*K12</f>
        <v>9.9</v>
      </c>
      <c r="R63" s="22">
        <f>9.9-0.0058*K13</f>
        <v>9.9</v>
      </c>
      <c r="S63" s="22">
        <f>9.9-0.0058*K14</f>
        <v>9.9</v>
      </c>
      <c r="T63" s="22">
        <f>9.9-0.0058*K15</f>
        <v>9.9</v>
      </c>
      <c r="AS63" s="98"/>
    </row>
    <row r="64" spans="1:45" hidden="1">
      <c r="A64" s="28"/>
      <c r="J64" s="136" t="s">
        <v>286</v>
      </c>
      <c r="K64" s="6" t="s">
        <v>341</v>
      </c>
      <c r="L64" s="6">
        <v>5.26</v>
      </c>
      <c r="M64" s="22">
        <v>5.26</v>
      </c>
      <c r="N64" s="22">
        <v>5.26</v>
      </c>
      <c r="O64" s="22">
        <v>5.26</v>
      </c>
      <c r="P64" s="22">
        <v>5.26</v>
      </c>
      <c r="Q64" s="22">
        <v>5.26</v>
      </c>
      <c r="R64" s="22">
        <v>5.26</v>
      </c>
      <c r="S64" s="22">
        <v>5.26</v>
      </c>
      <c r="T64" s="22">
        <v>5.26</v>
      </c>
      <c r="AS64" s="98"/>
    </row>
    <row r="65" spans="1:45" hidden="1">
      <c r="A65" s="28"/>
      <c r="J65" s="136" t="s">
        <v>288</v>
      </c>
      <c r="K65" s="6" t="s">
        <v>343</v>
      </c>
      <c r="L65" s="6" t="s">
        <v>344</v>
      </c>
      <c r="M65" s="22">
        <f>14.22-0.03*K8</f>
        <v>14.22</v>
      </c>
      <c r="N65" s="22">
        <f>14.22-0.03*K9</f>
        <v>14.22</v>
      </c>
      <c r="O65" s="22">
        <f>14.22-0.03*K10</f>
        <v>14.22</v>
      </c>
      <c r="P65" s="22">
        <f>14.22-0.03*K11</f>
        <v>14.22</v>
      </c>
      <c r="Q65" s="22">
        <f>14.22-0.03*K12</f>
        <v>14.22</v>
      </c>
      <c r="R65" s="22">
        <f>14.22-0.03*K13</f>
        <v>14.22</v>
      </c>
      <c r="S65" s="22">
        <f>14.22-0.03*K14</f>
        <v>14.22</v>
      </c>
      <c r="T65" s="22">
        <f>14.22-0.03*K15</f>
        <v>14.22</v>
      </c>
      <c r="AS65" s="98"/>
    </row>
    <row r="66" spans="1:45" hidden="1">
      <c r="A66" s="28"/>
      <c r="J66" s="136" t="s">
        <v>288</v>
      </c>
      <c r="K66" s="6" t="s">
        <v>345</v>
      </c>
      <c r="L66" s="6" t="s">
        <v>346</v>
      </c>
      <c r="M66" s="22">
        <f>9.47-0.00624*K8</f>
        <v>9.4700000000000006</v>
      </c>
      <c r="N66" s="22">
        <f>9.47-0.00624*K9</f>
        <v>9.4700000000000006</v>
      </c>
      <c r="O66" s="22">
        <f>9.47-0.00624*K10</f>
        <v>9.4700000000000006</v>
      </c>
      <c r="P66" s="22">
        <f>9.47-0.00624*K11</f>
        <v>9.4700000000000006</v>
      </c>
      <c r="Q66" s="22">
        <f>9.47-0.00624*K12</f>
        <v>9.4700000000000006</v>
      </c>
      <c r="R66" s="22">
        <f>9.47-0.00624*K13</f>
        <v>9.4700000000000006</v>
      </c>
      <c r="S66" s="22">
        <f>9.47-0.00624*K14</f>
        <v>9.4700000000000006</v>
      </c>
      <c r="T66" s="22">
        <f>9.47-0.00624*K15</f>
        <v>9.4700000000000006</v>
      </c>
      <c r="AS66" s="98"/>
    </row>
    <row r="67" spans="1:45" hidden="1">
      <c r="A67" s="28"/>
      <c r="J67" s="136" t="s">
        <v>288</v>
      </c>
      <c r="K67" s="6" t="s">
        <v>347</v>
      </c>
      <c r="L67" s="6">
        <v>5.0999999999999996</v>
      </c>
      <c r="M67" s="22">
        <v>5.0999999999999996</v>
      </c>
      <c r="N67" s="22">
        <v>5.0999999999999996</v>
      </c>
      <c r="O67" s="22">
        <v>5.0999999999999996</v>
      </c>
      <c r="P67" s="22">
        <v>5.0999999999999996</v>
      </c>
      <c r="Q67" s="22">
        <v>5.0999999999999996</v>
      </c>
      <c r="R67" s="22">
        <v>5.0999999999999996</v>
      </c>
      <c r="S67" s="22">
        <v>5.0999999999999996</v>
      </c>
      <c r="T67" s="22">
        <v>5.0999999999999996</v>
      </c>
      <c r="AS67" s="98"/>
    </row>
    <row r="68" spans="1:45" hidden="1">
      <c r="A68" s="28"/>
      <c r="J68" s="170"/>
      <c r="K68" s="34"/>
      <c r="L68" s="34"/>
      <c r="M68" s="36"/>
      <c r="N68" s="36"/>
      <c r="O68" s="36"/>
      <c r="P68" s="36"/>
      <c r="Q68" s="36"/>
      <c r="R68" s="36"/>
      <c r="S68" s="36"/>
      <c r="T68" s="36"/>
      <c r="AS68" s="98"/>
    </row>
    <row r="69" spans="1:45" hidden="1">
      <c r="A69" s="28"/>
      <c r="J69" s="166" t="s">
        <v>312</v>
      </c>
      <c r="K69" s="171">
        <v>43252</v>
      </c>
      <c r="AS69" s="98"/>
    </row>
    <row r="70" spans="1:45" hidden="1">
      <c r="A70" s="28"/>
      <c r="J70" s="404" t="s">
        <v>300</v>
      </c>
      <c r="K70" s="404"/>
      <c r="L70" s="404"/>
      <c r="M70" s="404"/>
      <c r="N70" s="404"/>
      <c r="O70" s="404"/>
      <c r="P70" s="404"/>
      <c r="Q70" s="404"/>
      <c r="R70" s="404"/>
      <c r="S70" s="404"/>
      <c r="T70" s="404"/>
      <c r="AS70" s="98"/>
    </row>
    <row r="71" spans="1:45" ht="30" hidden="1">
      <c r="A71" s="28"/>
      <c r="J71" s="3" t="s">
        <v>266</v>
      </c>
      <c r="K71" s="2" t="s">
        <v>267</v>
      </c>
      <c r="L71" s="2" t="s">
        <v>301</v>
      </c>
      <c r="M71" s="249" t="s">
        <v>269</v>
      </c>
      <c r="N71" s="249" t="s">
        <v>270</v>
      </c>
      <c r="O71" s="249" t="s">
        <v>271</v>
      </c>
      <c r="P71" s="249" t="s">
        <v>272</v>
      </c>
      <c r="Q71" s="249" t="s">
        <v>273</v>
      </c>
      <c r="R71" s="249" t="s">
        <v>274</v>
      </c>
      <c r="S71" s="249" t="s">
        <v>275</v>
      </c>
      <c r="T71" s="249" t="s">
        <v>276</v>
      </c>
      <c r="AS71" s="98"/>
    </row>
    <row r="72" spans="1:45" ht="17.25" hidden="1">
      <c r="A72" s="28"/>
      <c r="J72" s="4" t="s">
        <v>277</v>
      </c>
      <c r="K72" s="6" t="s">
        <v>348</v>
      </c>
      <c r="L72" s="168" t="s">
        <v>349</v>
      </c>
      <c r="M72" s="22" t="e">
        <f>37.72*K8^-0.298</f>
        <v>#DIV/0!</v>
      </c>
      <c r="N72" s="22" t="e">
        <f>37.72*K9^-0.298</f>
        <v>#DIV/0!</v>
      </c>
      <c r="O72" s="22" t="e">
        <f>37.72*K10^-0.298</f>
        <v>#DIV/0!</v>
      </c>
      <c r="P72" s="22" t="e">
        <f>37.72*K11^-0.298</f>
        <v>#DIV/0!</v>
      </c>
      <c r="Q72" s="22" t="e">
        <f>37.72*K12^-0.298</f>
        <v>#DIV/0!</v>
      </c>
      <c r="R72" s="22" t="e">
        <f>37.72*K13^-0.298</f>
        <v>#DIV/0!</v>
      </c>
      <c r="S72" s="22" t="e">
        <f>37.72*K14^-0.298</f>
        <v>#DIV/0!</v>
      </c>
      <c r="T72" s="22" t="e">
        <f>37.72*K15^-0.298</f>
        <v>#DIV/0!</v>
      </c>
      <c r="AS72" s="98"/>
    </row>
    <row r="73" spans="1:45" ht="17.25" hidden="1">
      <c r="A73" s="28"/>
      <c r="J73" s="4" t="s">
        <v>282</v>
      </c>
      <c r="K73" s="6" t="s">
        <v>350</v>
      </c>
      <c r="L73" s="6" t="s">
        <v>351</v>
      </c>
      <c r="M73" s="22" t="e">
        <f>1+ 22.95*K8^-0.258</f>
        <v>#DIV/0!</v>
      </c>
      <c r="N73" s="22" t="e">
        <f>1+ 22.95*K9^-0.258</f>
        <v>#DIV/0!</v>
      </c>
      <c r="O73" s="22" t="e">
        <f>1+ 22.95*K10^-0.258</f>
        <v>#DIV/0!</v>
      </c>
      <c r="P73" s="22" t="e">
        <f>1+ 22.95*K11^-0.258</f>
        <v>#DIV/0!</v>
      </c>
      <c r="Q73" s="22" t="e">
        <f>1+ 22.95*K12^-0.258</f>
        <v>#DIV/0!</v>
      </c>
      <c r="R73" s="22" t="e">
        <f>1+ 22.95*K13^-0.258</f>
        <v>#DIV/0!</v>
      </c>
      <c r="S73" s="22" t="e">
        <f>1+ 22.95*K14^-0.258</f>
        <v>#DIV/0!</v>
      </c>
      <c r="T73" s="22" t="e">
        <f>1+ 22.95*K15^-0.258</f>
        <v>#DIV/0!</v>
      </c>
      <c r="AS73" s="98"/>
    </row>
    <row r="74" spans="1:45" hidden="1">
      <c r="A74" s="28"/>
      <c r="J74" s="4" t="s">
        <v>282</v>
      </c>
      <c r="K74" s="6" t="s">
        <v>350</v>
      </c>
      <c r="L74" s="172" t="s">
        <v>352</v>
      </c>
      <c r="M74" s="22">
        <f>-0.00011*K8 +4.6</f>
        <v>4.5999999999999996</v>
      </c>
      <c r="N74" s="22">
        <f>-0.00011*K9 +4.6</f>
        <v>4.5999999999999996</v>
      </c>
      <c r="O74" s="22">
        <f>-0.00011*K10 +4.6</f>
        <v>4.5999999999999996</v>
      </c>
      <c r="P74" s="22">
        <f>-0.00011*K11 +4.6</f>
        <v>4.5999999999999996</v>
      </c>
      <c r="Q74" s="22">
        <f>-0.00011*K12 +4.6</f>
        <v>4.5999999999999996</v>
      </c>
      <c r="R74" s="22">
        <f>-0.00011*K13 +4.6</f>
        <v>4.5999999999999996</v>
      </c>
      <c r="S74" s="22">
        <f>-0.00011*K14 +4.6</f>
        <v>4.5999999999999996</v>
      </c>
      <c r="T74" s="22">
        <f>-0.00011*K15 +4.6</f>
        <v>4.5999999999999996</v>
      </c>
      <c r="AS74" s="98"/>
    </row>
    <row r="75" spans="1:45" ht="17.25" hidden="1">
      <c r="A75" s="28"/>
      <c r="J75" s="4" t="s">
        <v>286</v>
      </c>
      <c r="K75" s="6" t="s">
        <v>353</v>
      </c>
      <c r="L75" s="6" t="s">
        <v>351</v>
      </c>
      <c r="M75" s="22" t="e">
        <f>1+22.95*K8^-0.258</f>
        <v>#DIV/0!</v>
      </c>
      <c r="N75" s="22" t="e">
        <f>1+22.95*K9^-0.258</f>
        <v>#DIV/0!</v>
      </c>
      <c r="O75" s="22" t="e">
        <f>1+22.95*K10^-0.258</f>
        <v>#DIV/0!</v>
      </c>
      <c r="P75" s="22" t="e">
        <f>1+22.95*K11^-0.258</f>
        <v>#DIV/0!</v>
      </c>
      <c r="Q75" s="22" t="e">
        <f>1+22.95*K12^-0.258</f>
        <v>#DIV/0!</v>
      </c>
      <c r="R75" s="22" t="e">
        <f>1+22.95*K13^-0.258</f>
        <v>#DIV/0!</v>
      </c>
      <c r="S75" s="22" t="e">
        <f>1+22.95*K14^-0.258</f>
        <v>#DIV/0!</v>
      </c>
      <c r="T75" s="22" t="e">
        <f>1+22.95*K15^-0.258</f>
        <v>#DIV/0!</v>
      </c>
      <c r="AS75" s="98"/>
    </row>
    <row r="76" spans="1:45" hidden="1">
      <c r="A76" s="28"/>
      <c r="J76" s="4" t="s">
        <v>286</v>
      </c>
      <c r="K76" s="6" t="s">
        <v>353</v>
      </c>
      <c r="L76" s="6" t="s">
        <v>352</v>
      </c>
      <c r="M76" s="22">
        <f>-0.00011*K8 + 4.6</f>
        <v>4.5999999999999996</v>
      </c>
      <c r="N76" s="22">
        <f>-0.00011*K9 + 4.6</f>
        <v>4.5999999999999996</v>
      </c>
      <c r="O76" s="22">
        <f>-0.00011*K10 + 4.6</f>
        <v>4.5999999999999996</v>
      </c>
      <c r="P76" s="22">
        <f>-0.00011*K11 + 4.6</f>
        <v>4.5999999999999996</v>
      </c>
      <c r="Q76" s="22">
        <f>-0.00011*K12 + 4.6</f>
        <v>4.5999999999999996</v>
      </c>
      <c r="R76" s="22">
        <f>-0.00011*K13 + 4.6</f>
        <v>4.5999999999999996</v>
      </c>
      <c r="S76" s="22">
        <f>-0.00011*K14 + 4.6</f>
        <v>4.5999999999999996</v>
      </c>
      <c r="T76" s="22">
        <f>-0.00011*K15 + 4.6</f>
        <v>4.5999999999999996</v>
      </c>
      <c r="AS76" s="98"/>
    </row>
    <row r="77" spans="1:45" ht="17.25" hidden="1">
      <c r="A77" s="28"/>
      <c r="J77" s="4" t="s">
        <v>288</v>
      </c>
      <c r="K77" s="6" t="s">
        <v>354</v>
      </c>
      <c r="L77" s="6" t="s">
        <v>355</v>
      </c>
      <c r="M77" s="22" t="e">
        <f>0.08+48.66*K8^-0.326</f>
        <v>#DIV/0!</v>
      </c>
      <c r="N77" s="22" t="e">
        <f>0.08+48.66*K9^-0.326</f>
        <v>#DIV/0!</v>
      </c>
      <c r="O77" s="22" t="e">
        <f>0.08+48.66*K10^-0.326</f>
        <v>#DIV/0!</v>
      </c>
      <c r="P77" s="22" t="e">
        <f>0.08+48.66*K11^-0.326</f>
        <v>#DIV/0!</v>
      </c>
      <c r="Q77" s="22" t="e">
        <f>0.08+48.66*K12^-0.326</f>
        <v>#DIV/0!</v>
      </c>
      <c r="R77" s="22" t="e">
        <f>0.08+48.66*K13^-0.326</f>
        <v>#DIV/0!</v>
      </c>
      <c r="S77" s="22" t="e">
        <f>0.08+48.66*K14^-0.326</f>
        <v>#DIV/0!</v>
      </c>
      <c r="T77" s="22" t="e">
        <f>0.08+48.66*K15^-0.326</f>
        <v>#DIV/0!</v>
      </c>
      <c r="AS77" s="98"/>
    </row>
    <row r="78" spans="1:45" hidden="1">
      <c r="A78" s="28"/>
      <c r="K78" s="34"/>
      <c r="L78" s="34"/>
      <c r="M78" s="36"/>
      <c r="N78" s="36"/>
      <c r="O78" s="36"/>
      <c r="P78" s="36"/>
      <c r="Q78" s="36"/>
      <c r="R78" s="36"/>
      <c r="S78" s="36"/>
      <c r="T78" s="36"/>
      <c r="AS78" s="98"/>
    </row>
    <row r="79" spans="1:45" hidden="1">
      <c r="A79" s="28"/>
      <c r="J79" s="166" t="s">
        <v>312</v>
      </c>
      <c r="K79" s="171">
        <v>43252</v>
      </c>
      <c r="AS79" s="98"/>
    </row>
    <row r="80" spans="1:45" hidden="1">
      <c r="A80" s="28"/>
      <c r="J80" s="404" t="s">
        <v>356</v>
      </c>
      <c r="K80" s="404"/>
      <c r="L80" s="404"/>
      <c r="M80" s="404"/>
      <c r="N80" s="404"/>
      <c r="O80" s="404"/>
      <c r="P80" s="404"/>
      <c r="Q80" s="404"/>
      <c r="R80" s="404"/>
      <c r="S80" s="404"/>
      <c r="T80" s="404"/>
      <c r="AS80" s="98"/>
    </row>
    <row r="81" spans="1:45" ht="30" hidden="1">
      <c r="A81" s="28"/>
      <c r="J81" s="3" t="s">
        <v>266</v>
      </c>
      <c r="K81" s="2" t="s">
        <v>267</v>
      </c>
      <c r="L81" s="2" t="s">
        <v>301</v>
      </c>
      <c r="M81" s="249" t="s">
        <v>269</v>
      </c>
      <c r="N81" s="249" t="s">
        <v>270</v>
      </c>
      <c r="O81" s="249" t="s">
        <v>271</v>
      </c>
      <c r="P81" s="249" t="s">
        <v>272</v>
      </c>
      <c r="Q81" s="249" t="s">
        <v>273</v>
      </c>
      <c r="R81" s="249" t="s">
        <v>274</v>
      </c>
      <c r="S81" s="249" t="s">
        <v>275</v>
      </c>
      <c r="T81" s="249" t="s">
        <v>276</v>
      </c>
      <c r="AS81" s="98"/>
    </row>
    <row r="82" spans="1:45" ht="17.25" hidden="1">
      <c r="A82" s="28"/>
      <c r="J82" s="4" t="s">
        <v>277</v>
      </c>
      <c r="K82" s="6" t="s">
        <v>357</v>
      </c>
      <c r="L82" s="168" t="s">
        <v>358</v>
      </c>
      <c r="M82" s="22" t="e">
        <f>9.18*K8^-0.057</f>
        <v>#DIV/0!</v>
      </c>
      <c r="N82" s="22" t="e">
        <f>9.18*K9^-0.057</f>
        <v>#DIV/0!</v>
      </c>
      <c r="O82" s="22" t="e">
        <f>9.18*K10^-0.057</f>
        <v>#DIV/0!</v>
      </c>
      <c r="P82" s="22" t="e">
        <f>9.18*K11^-0.057</f>
        <v>#DIV/0!</v>
      </c>
      <c r="Q82" s="22" t="e">
        <f>9.18*K12^-0.057</f>
        <v>#DIV/0!</v>
      </c>
      <c r="R82" s="22" t="e">
        <f>9.18*K13^-0.057</f>
        <v>#DIV/0!</v>
      </c>
      <c r="S82" s="22" t="e">
        <f>9.18*K14^-0.057</f>
        <v>#DIV/0!</v>
      </c>
      <c r="T82" s="22" t="e">
        <f>9.18*K15^-0.057</f>
        <v>#DIV/0!</v>
      </c>
      <c r="AS82" s="98"/>
    </row>
    <row r="83" spans="1:45" ht="17.25" hidden="1">
      <c r="A83" s="28"/>
      <c r="J83" s="4" t="s">
        <v>282</v>
      </c>
      <c r="K83" s="6" t="s">
        <v>357</v>
      </c>
      <c r="L83" s="168" t="s">
        <v>359</v>
      </c>
      <c r="M83" s="22" t="e">
        <f>3.5+6*K8^-0.162</f>
        <v>#DIV/0!</v>
      </c>
      <c r="N83" s="22" t="e">
        <f>3.5+6*K9^-0.162</f>
        <v>#DIV/0!</v>
      </c>
      <c r="O83" s="22" t="e">
        <f>3.5+6*K10^-0.162</f>
        <v>#DIV/0!</v>
      </c>
      <c r="P83" s="22" t="e">
        <f>3.5+6*K11^-0.162</f>
        <v>#DIV/0!</v>
      </c>
      <c r="Q83" s="22" t="e">
        <f>3.5+6*K12^-0.162</f>
        <v>#DIV/0!</v>
      </c>
      <c r="R83" s="22" t="e">
        <f>3.5+6*K13^-0.162</f>
        <v>#DIV/0!</v>
      </c>
      <c r="S83" s="22" t="e">
        <f>3.5+6*K14^-0.162</f>
        <v>#DIV/0!</v>
      </c>
      <c r="T83" s="22" t="e">
        <f>3.5+6*K15^-0.162</f>
        <v>#DIV/0!</v>
      </c>
      <c r="AS83" s="98"/>
    </row>
    <row r="84" spans="1:45" ht="17.25" hidden="1">
      <c r="A84" s="28"/>
      <c r="J84" s="4" t="s">
        <v>286</v>
      </c>
      <c r="K84" s="6" t="s">
        <v>357</v>
      </c>
      <c r="L84" s="168" t="s">
        <v>359</v>
      </c>
      <c r="M84" s="22" t="e">
        <f>3.5+6*K8^-0.162</f>
        <v>#DIV/0!</v>
      </c>
      <c r="N84" s="22" t="e">
        <f>3.5+6*K9^-0.162</f>
        <v>#DIV/0!</v>
      </c>
      <c r="O84" s="22" t="e">
        <f>3.5+6*K10^-0.162</f>
        <v>#DIV/0!</v>
      </c>
      <c r="P84" s="22" t="e">
        <f>3.5+6*K11^-0.162</f>
        <v>#DIV/0!</v>
      </c>
      <c r="Q84" s="22" t="e">
        <f>3.5+6*K12^-0.162</f>
        <v>#DIV/0!</v>
      </c>
      <c r="R84" s="22" t="e">
        <f>3.5+6*K13^-0.162</f>
        <v>#DIV/0!</v>
      </c>
      <c r="S84" s="22" t="e">
        <f>3.5+6*K14^-0.162</f>
        <v>#DIV/0!</v>
      </c>
      <c r="T84" s="22" t="e">
        <f>3.5+6*K15^-0.162</f>
        <v>#DIV/0!</v>
      </c>
      <c r="AS84" s="98"/>
    </row>
    <row r="85" spans="1:45" ht="17.25" hidden="1">
      <c r="A85" s="28"/>
      <c r="C85" s="247"/>
      <c r="J85" s="4" t="s">
        <v>288</v>
      </c>
      <c r="K85" s="6" t="s">
        <v>357</v>
      </c>
      <c r="L85" s="168" t="s">
        <v>360</v>
      </c>
      <c r="M85" s="22" t="e">
        <f>0.08+59.45*K8^-0.349</f>
        <v>#DIV/0!</v>
      </c>
      <c r="N85" s="22" t="e">
        <f>0.08+59.45*K9^-0.349</f>
        <v>#DIV/0!</v>
      </c>
      <c r="O85" s="22" t="e">
        <f>0.08+59.45*K10^-0.349</f>
        <v>#DIV/0!</v>
      </c>
      <c r="P85" s="22" t="e">
        <f>0.08+59.45*K11^-0.349</f>
        <v>#DIV/0!</v>
      </c>
      <c r="Q85" s="22" t="e">
        <f>0.08+59.45*K12^-0.349</f>
        <v>#DIV/0!</v>
      </c>
      <c r="R85" s="22" t="e">
        <f>0.08+59.45*K13^-0.349</f>
        <v>#DIV/0!</v>
      </c>
      <c r="S85" s="22" t="e">
        <f>0.08+59.45*K14^-0.349</f>
        <v>#DIV/0!</v>
      </c>
      <c r="T85" s="22" t="e">
        <f>0.08+59.45*K15^-0.349</f>
        <v>#DIV/0!</v>
      </c>
      <c r="U85" s="36"/>
      <c r="AB85" s="36"/>
      <c r="AS85" s="98"/>
    </row>
    <row r="86" spans="1:45" hidden="1">
      <c r="A86" s="28"/>
      <c r="K86" s="34"/>
      <c r="L86" s="173"/>
      <c r="M86" s="36"/>
      <c r="N86" s="36"/>
      <c r="O86" s="36"/>
      <c r="P86" s="36"/>
      <c r="Q86" s="36"/>
      <c r="R86" s="36"/>
      <c r="S86" s="36"/>
      <c r="T86" s="36"/>
      <c r="U86" s="36"/>
      <c r="AB86" s="36"/>
      <c r="AS86" s="98"/>
    </row>
    <row r="87" spans="1:45" hidden="1">
      <c r="A87" s="28"/>
      <c r="C87" s="141"/>
      <c r="J87" s="166" t="s">
        <v>361</v>
      </c>
      <c r="K87" s="171">
        <v>44348</v>
      </c>
      <c r="AS87" s="98"/>
    </row>
    <row r="88" spans="1:45" hidden="1">
      <c r="A88" s="28"/>
      <c r="J88" s="404" t="s">
        <v>265</v>
      </c>
      <c r="K88" s="404"/>
      <c r="L88" s="404"/>
      <c r="M88" s="404"/>
      <c r="N88" s="404"/>
      <c r="O88" s="404"/>
      <c r="P88" s="404"/>
      <c r="Q88" s="404"/>
      <c r="R88" s="404"/>
      <c r="S88" s="404"/>
      <c r="T88" s="404"/>
      <c r="AS88" s="98"/>
    </row>
    <row r="89" spans="1:45" ht="30" hidden="1">
      <c r="A89" s="28"/>
      <c r="J89" s="3" t="s">
        <v>266</v>
      </c>
      <c r="K89" s="2" t="s">
        <v>267</v>
      </c>
      <c r="L89" s="2" t="s">
        <v>268</v>
      </c>
      <c r="M89" s="249" t="s">
        <v>269</v>
      </c>
      <c r="N89" s="249" t="s">
        <v>270</v>
      </c>
      <c r="O89" s="249" t="s">
        <v>271</v>
      </c>
      <c r="P89" s="249" t="s">
        <v>272</v>
      </c>
      <c r="Q89" s="249" t="s">
        <v>273</v>
      </c>
      <c r="R89" s="249" t="s">
        <v>274</v>
      </c>
      <c r="S89" s="249" t="s">
        <v>275</v>
      </c>
      <c r="T89" s="249" t="s">
        <v>276</v>
      </c>
      <c r="AS89" s="98"/>
    </row>
    <row r="90" spans="1:45" hidden="1">
      <c r="A90" s="28"/>
      <c r="J90" s="136" t="s">
        <v>277</v>
      </c>
      <c r="K90" s="6" t="s">
        <v>315</v>
      </c>
      <c r="L90" s="6" t="s">
        <v>316</v>
      </c>
      <c r="M90" s="22">
        <f>10-0.01233*K8</f>
        <v>10</v>
      </c>
      <c r="N90" s="22">
        <f>10-0.01233*K9</f>
        <v>10</v>
      </c>
      <c r="O90" s="22">
        <f>10-0.01233*K10</f>
        <v>10</v>
      </c>
      <c r="P90" s="187">
        <f>10-0.01233*K11</f>
        <v>10</v>
      </c>
      <c r="Q90" s="22">
        <f>10-0.01233*K12</f>
        <v>10</v>
      </c>
      <c r="R90" s="22">
        <f>10-0.01233*K13</f>
        <v>10</v>
      </c>
      <c r="S90" s="22">
        <f>10-0.01233*K14</f>
        <v>10</v>
      </c>
      <c r="T90" s="22">
        <f>10-0.01233*K15</f>
        <v>10</v>
      </c>
      <c r="AS90" s="98"/>
    </row>
    <row r="91" spans="1:45" hidden="1">
      <c r="A91" s="28"/>
      <c r="J91" s="136" t="s">
        <v>277</v>
      </c>
      <c r="K91" s="6" t="s">
        <v>318</v>
      </c>
      <c r="L91" s="6" t="s">
        <v>319</v>
      </c>
      <c r="M91" s="22">
        <f>7.05-0.0025*K8</f>
        <v>7.05</v>
      </c>
      <c r="N91" s="22">
        <f>7.05-0.0025*K9</f>
        <v>7.05</v>
      </c>
      <c r="O91" s="22">
        <f>7.05-0.0025*K10</f>
        <v>7.05</v>
      </c>
      <c r="P91" s="22">
        <f>7.05-0.0025*K11</f>
        <v>7.05</v>
      </c>
      <c r="Q91" s="22">
        <f>7.05-0.0025*K12</f>
        <v>7.05</v>
      </c>
      <c r="R91" s="22">
        <f>7.05-0.0025*K13</f>
        <v>7.05</v>
      </c>
      <c r="S91" s="22">
        <f>7.05-0.0025*K14</f>
        <v>7.05</v>
      </c>
      <c r="T91" s="22">
        <f>7.05-0.0025*K15</f>
        <v>7.05</v>
      </c>
      <c r="AS91" s="98"/>
    </row>
    <row r="92" spans="1:45" hidden="1">
      <c r="A92" s="28"/>
      <c r="J92" s="136" t="s">
        <v>277</v>
      </c>
      <c r="K92" s="6" t="s">
        <v>320</v>
      </c>
      <c r="L92" s="6" t="s">
        <v>321</v>
      </c>
      <c r="M92" s="22">
        <f>5.55-0.00063*K8</f>
        <v>5.55</v>
      </c>
      <c r="N92" s="22">
        <f>5.55-0.00063*K9</f>
        <v>5.55</v>
      </c>
      <c r="O92" s="22">
        <f>5.55-0.00063*K10</f>
        <v>5.55</v>
      </c>
      <c r="P92" s="22">
        <f>5.55-0.00063*K11</f>
        <v>5.55</v>
      </c>
      <c r="Q92" s="22">
        <f>5.55-0.00063*K12</f>
        <v>5.55</v>
      </c>
      <c r="R92" s="22">
        <f>5.55-0.00063*K13</f>
        <v>5.55</v>
      </c>
      <c r="S92" s="22">
        <f>5.55-0.00063*K14</f>
        <v>5.55</v>
      </c>
      <c r="T92" s="22">
        <f>5.55-0.00063*K15</f>
        <v>5.55</v>
      </c>
      <c r="AS92" s="98"/>
    </row>
    <row r="93" spans="1:45" hidden="1">
      <c r="A93" s="28"/>
      <c r="J93" s="136" t="s">
        <v>277</v>
      </c>
      <c r="K93" s="6" t="s">
        <v>322</v>
      </c>
      <c r="L93" s="6">
        <v>4.6100000000000003</v>
      </c>
      <c r="M93" s="22">
        <v>4.6100000000000003</v>
      </c>
      <c r="N93" s="22">
        <v>4.6100000000000003</v>
      </c>
      <c r="O93" s="22">
        <v>4.6100000000000003</v>
      </c>
      <c r="P93" s="22">
        <v>4.6100000000000003</v>
      </c>
      <c r="Q93" s="22">
        <v>4.6100000000000003</v>
      </c>
      <c r="R93" s="22">
        <v>4.6100000000000003</v>
      </c>
      <c r="S93" s="22">
        <v>4.6100000000000003</v>
      </c>
      <c r="T93" s="22">
        <v>4.6100000000000003</v>
      </c>
      <c r="AS93" s="98"/>
    </row>
    <row r="94" spans="1:45" hidden="1">
      <c r="A94" s="28"/>
      <c r="J94" s="136" t="s">
        <v>282</v>
      </c>
      <c r="K94" s="6" t="s">
        <v>323</v>
      </c>
      <c r="L94" s="6" t="s">
        <v>324</v>
      </c>
      <c r="M94" s="22">
        <f>7.97-0.00342*K8</f>
        <v>7.97</v>
      </c>
      <c r="N94" s="22">
        <f>7.97-0.00342*K9</f>
        <v>7.97</v>
      </c>
      <c r="O94" s="22">
        <f>7.97-0.00342*K10</f>
        <v>7.97</v>
      </c>
      <c r="P94" s="22">
        <f>7.97-0.00342*K11</f>
        <v>7.97</v>
      </c>
      <c r="Q94" s="22">
        <f>7.97-0.00342*K12</f>
        <v>7.97</v>
      </c>
      <c r="R94" s="22">
        <f>7.97-0.00342*K13</f>
        <v>7.97</v>
      </c>
      <c r="S94" s="22">
        <f>7.97-0.00342*K14</f>
        <v>7.97</v>
      </c>
      <c r="T94" s="22">
        <f>7.97-0.00342*K15</f>
        <v>7.97</v>
      </c>
      <c r="AS94" s="98"/>
    </row>
    <row r="95" spans="1:45" hidden="1">
      <c r="A95" s="28"/>
      <c r="J95" s="136" t="s">
        <v>282</v>
      </c>
      <c r="K95" s="6" t="s">
        <v>325</v>
      </c>
      <c r="L95" s="6">
        <v>4.55</v>
      </c>
      <c r="M95" s="22">
        <v>4.55</v>
      </c>
      <c r="N95" s="22">
        <v>4.55</v>
      </c>
      <c r="O95" s="22">
        <v>4.55</v>
      </c>
      <c r="P95" s="22">
        <v>4.55</v>
      </c>
      <c r="Q95" s="22">
        <v>4.55</v>
      </c>
      <c r="R95" s="22">
        <v>4.55</v>
      </c>
      <c r="S95" s="22">
        <v>4.55</v>
      </c>
      <c r="T95" s="22">
        <v>4.55</v>
      </c>
      <c r="AS95" s="98"/>
    </row>
    <row r="96" spans="1:45" hidden="1">
      <c r="A96" s="28"/>
      <c r="J96" s="136" t="s">
        <v>286</v>
      </c>
      <c r="K96" s="6" t="s">
        <v>326</v>
      </c>
      <c r="L96" s="6" t="s">
        <v>324</v>
      </c>
      <c r="M96" s="22">
        <f>7.97-0.00342*7</f>
        <v>7.9460600000000001</v>
      </c>
      <c r="N96" s="22">
        <f>7.97-0.00342*K9</f>
        <v>7.97</v>
      </c>
      <c r="O96" s="22">
        <f>7.97-0.00342*K10</f>
        <v>7.97</v>
      </c>
      <c r="P96" s="22">
        <f>7.97-0.00342*K11</f>
        <v>7.97</v>
      </c>
      <c r="Q96" s="22">
        <f>7.97-0.00342*K12</f>
        <v>7.97</v>
      </c>
      <c r="R96" s="22">
        <f>7.97-0.00342*K13</f>
        <v>7.97</v>
      </c>
      <c r="S96" s="22">
        <f>7.97-0.00342*K14</f>
        <v>7.97</v>
      </c>
      <c r="T96" s="22">
        <f>7.97-0.00342*K15</f>
        <v>7.97</v>
      </c>
      <c r="AS96" s="98"/>
    </row>
    <row r="97" spans="1:45" hidden="1">
      <c r="A97" s="28"/>
      <c r="J97" s="136" t="s">
        <v>286</v>
      </c>
      <c r="K97" s="6" t="s">
        <v>327</v>
      </c>
      <c r="L97" s="6">
        <v>4.75</v>
      </c>
      <c r="M97" s="22">
        <v>4.75</v>
      </c>
      <c r="N97" s="22">
        <v>4.75</v>
      </c>
      <c r="O97" s="22">
        <v>4.75</v>
      </c>
      <c r="P97" s="22">
        <v>4.75</v>
      </c>
      <c r="Q97" s="22">
        <v>4.75</v>
      </c>
      <c r="R97" s="22">
        <v>4.75</v>
      </c>
      <c r="S97" s="22">
        <v>4.75</v>
      </c>
      <c r="T97" s="22">
        <v>4.75</v>
      </c>
      <c r="AS97" s="98"/>
    </row>
    <row r="98" spans="1:45" hidden="1">
      <c r="A98" s="28"/>
      <c r="J98" s="136" t="s">
        <v>288</v>
      </c>
      <c r="K98" s="6" t="s">
        <v>328</v>
      </c>
      <c r="L98" s="6" t="s">
        <v>329</v>
      </c>
      <c r="M98" s="22">
        <f>14.79-0.0469*K8</f>
        <v>14.79</v>
      </c>
      <c r="N98" s="22">
        <f>14.79-0.0469*K9</f>
        <v>14.79</v>
      </c>
      <c r="O98" s="22">
        <f>14.79-0.0469*K10</f>
        <v>14.79</v>
      </c>
      <c r="P98" s="22">
        <f>14.79-0.0469*K11</f>
        <v>14.79</v>
      </c>
      <c r="Q98" s="22">
        <f>14.79-0.0469*K12</f>
        <v>14.79</v>
      </c>
      <c r="R98" s="22">
        <f>14.79-0.0469*K13</f>
        <v>14.79</v>
      </c>
      <c r="S98" s="22">
        <f>14.79-0.0469*K14</f>
        <v>14.79</v>
      </c>
      <c r="T98" s="22">
        <f>14.79-0.0469*K15</f>
        <v>14.79</v>
      </c>
      <c r="AS98" s="98"/>
    </row>
    <row r="99" spans="1:45" hidden="1">
      <c r="A99" s="28"/>
      <c r="J99" s="136" t="s">
        <v>288</v>
      </c>
      <c r="K99" s="6" t="s">
        <v>330</v>
      </c>
      <c r="L99" s="6" t="s">
        <v>331</v>
      </c>
      <c r="M99" s="22">
        <f>12.42-0.02533*K8</f>
        <v>12.42</v>
      </c>
      <c r="N99" s="22">
        <f>12.42-0.02533*K9</f>
        <v>12.42</v>
      </c>
      <c r="O99" s="22">
        <f>12.42-0.02533*K10</f>
        <v>12.42</v>
      </c>
      <c r="P99" s="22">
        <f>12.42-0.02533*K11</f>
        <v>12.42</v>
      </c>
      <c r="Q99" s="22">
        <f>12.42-0.02533*K1</f>
        <v>12.42</v>
      </c>
      <c r="R99" s="22">
        <f>12.42-0.02533*K13</f>
        <v>12.42</v>
      </c>
      <c r="S99" s="22">
        <f>12.42-0.02533*K14</f>
        <v>12.42</v>
      </c>
      <c r="T99" s="22">
        <f>12.42-0.02533*K15</f>
        <v>12.42</v>
      </c>
      <c r="AS99" s="98"/>
    </row>
    <row r="100" spans="1:45" hidden="1">
      <c r="A100" s="28"/>
      <c r="J100" s="136" t="s">
        <v>288</v>
      </c>
      <c r="K100" s="6" t="s">
        <v>332</v>
      </c>
      <c r="L100" s="6">
        <v>7.35</v>
      </c>
      <c r="M100" s="22">
        <v>7.35</v>
      </c>
      <c r="N100" s="22">
        <v>7.35</v>
      </c>
      <c r="O100" s="22">
        <v>7.35</v>
      </c>
      <c r="P100" s="22">
        <v>7.35</v>
      </c>
      <c r="Q100" s="22">
        <v>7.35</v>
      </c>
      <c r="R100" s="22">
        <v>7.35</v>
      </c>
      <c r="S100" s="22">
        <v>7.35</v>
      </c>
      <c r="T100" s="22">
        <v>7.35</v>
      </c>
      <c r="AS100" s="98"/>
    </row>
    <row r="101" spans="1:45" hidden="1">
      <c r="A101" s="28"/>
      <c r="J101" s="170"/>
      <c r="K101" s="34"/>
      <c r="L101" s="34"/>
      <c r="M101" s="36"/>
      <c r="N101" s="36"/>
      <c r="O101" s="36"/>
      <c r="P101" s="36"/>
      <c r="Q101" s="36"/>
      <c r="R101" s="36"/>
      <c r="S101" s="36"/>
      <c r="T101" s="36"/>
      <c r="AS101" s="98"/>
    </row>
    <row r="102" spans="1:45" hidden="1">
      <c r="A102" s="28"/>
      <c r="J102" s="166" t="s">
        <v>361</v>
      </c>
      <c r="K102" s="171">
        <v>44348</v>
      </c>
      <c r="AS102" s="98"/>
    </row>
    <row r="103" spans="1:45" hidden="1">
      <c r="A103" s="28"/>
      <c r="J103" s="404" t="s">
        <v>333</v>
      </c>
      <c r="K103" s="404"/>
      <c r="L103" s="404"/>
      <c r="M103" s="404"/>
      <c r="N103" s="404"/>
      <c r="O103" s="404"/>
      <c r="P103" s="404"/>
      <c r="Q103" s="404"/>
      <c r="R103" s="404"/>
      <c r="S103" s="404"/>
      <c r="T103" s="404"/>
      <c r="AS103" s="98"/>
    </row>
    <row r="104" spans="1:45" ht="30" hidden="1">
      <c r="A104" s="28"/>
      <c r="J104" s="3" t="s">
        <v>266</v>
      </c>
      <c r="K104" s="2" t="s">
        <v>267</v>
      </c>
      <c r="L104" s="2" t="s">
        <v>301</v>
      </c>
      <c r="M104" s="249" t="s">
        <v>269</v>
      </c>
      <c r="N104" s="249" t="s">
        <v>270</v>
      </c>
      <c r="O104" s="249" t="s">
        <v>271</v>
      </c>
      <c r="P104" s="249" t="s">
        <v>272</v>
      </c>
      <c r="Q104" s="249" t="s">
        <v>273</v>
      </c>
      <c r="R104" s="249" t="s">
        <v>274</v>
      </c>
      <c r="S104" s="249" t="s">
        <v>275</v>
      </c>
      <c r="T104" s="249" t="s">
        <v>276</v>
      </c>
      <c r="AS104" s="98"/>
    </row>
    <row r="105" spans="1:45" hidden="1">
      <c r="A105" s="28"/>
      <c r="J105" s="4" t="s">
        <v>277</v>
      </c>
      <c r="K105" s="6" t="s">
        <v>334</v>
      </c>
      <c r="L105" s="168" t="s">
        <v>335</v>
      </c>
      <c r="M105" s="22">
        <f>9.19-0.00629*K8</f>
        <v>9.19</v>
      </c>
      <c r="N105" s="22">
        <f>9.19-0.00629*K9</f>
        <v>9.19</v>
      </c>
      <c r="O105" s="22">
        <f>9.19-0.00629*K10</f>
        <v>9.19</v>
      </c>
      <c r="P105" s="22">
        <f>9.19-0.00629*K11</f>
        <v>9.19</v>
      </c>
      <c r="Q105" s="22">
        <f>9.19-0.00629*K12</f>
        <v>9.19</v>
      </c>
      <c r="R105" s="22">
        <f>9.19-0.00629*K13</f>
        <v>9.19</v>
      </c>
      <c r="S105" s="22">
        <f>9.19-0.00629*K14</f>
        <v>9.19</v>
      </c>
      <c r="T105" s="22">
        <f>9.19-0.00629*K15</f>
        <v>9.19</v>
      </c>
      <c r="AS105" s="98"/>
    </row>
    <row r="106" spans="1:45" hidden="1">
      <c r="A106" s="28"/>
      <c r="J106" s="4" t="s">
        <v>277</v>
      </c>
      <c r="K106" s="6" t="s">
        <v>336</v>
      </c>
      <c r="L106" s="6" t="s">
        <v>337</v>
      </c>
      <c r="M106" s="22">
        <f>8.23-0.0032*K8</f>
        <v>8.23</v>
      </c>
      <c r="N106" s="22">
        <f>8.23-0.0032*K9</f>
        <v>8.23</v>
      </c>
      <c r="O106" s="22">
        <f>8.23-0.0032*K10</f>
        <v>8.23</v>
      </c>
      <c r="P106" s="22">
        <f>8.23-0.0032*K11</f>
        <v>8.23</v>
      </c>
      <c r="Q106" s="22">
        <f>8.23-0.0032*K1</f>
        <v>8.23</v>
      </c>
      <c r="R106" s="22">
        <f>8.23-0.0032*K13</f>
        <v>8.23</v>
      </c>
      <c r="S106" s="22">
        <f>8.23-0.0032*K14</f>
        <v>8.23</v>
      </c>
      <c r="T106" s="22">
        <f>8.23-0.0032*K15</f>
        <v>8.23</v>
      </c>
      <c r="AS106" s="98"/>
    </row>
    <row r="107" spans="1:45" hidden="1">
      <c r="A107" s="28"/>
      <c r="J107" s="4" t="s">
        <v>277</v>
      </c>
      <c r="K107" s="6" t="s">
        <v>338</v>
      </c>
      <c r="L107" s="6">
        <v>5.61</v>
      </c>
      <c r="M107" s="22">
        <v>5.61</v>
      </c>
      <c r="N107" s="22">
        <v>5.61</v>
      </c>
      <c r="O107" s="22">
        <v>5.61</v>
      </c>
      <c r="P107" s="22">
        <v>5.61</v>
      </c>
      <c r="Q107" s="22">
        <v>5.61</v>
      </c>
      <c r="R107" s="22">
        <v>5.61</v>
      </c>
      <c r="S107" s="22">
        <v>5.61</v>
      </c>
      <c r="T107" s="22">
        <v>5.61</v>
      </c>
      <c r="AS107" s="98"/>
    </row>
    <row r="108" spans="1:45" hidden="1">
      <c r="A108" s="28"/>
      <c r="J108" s="4" t="s">
        <v>282</v>
      </c>
      <c r="K108" s="6" t="s">
        <v>339</v>
      </c>
      <c r="L108" s="6" t="s">
        <v>340</v>
      </c>
      <c r="M108" s="22">
        <f>9.7-0.0058*K8</f>
        <v>9.6999999999999993</v>
      </c>
      <c r="N108" s="22">
        <f>9.7-0.0058*K9</f>
        <v>9.6999999999999993</v>
      </c>
      <c r="O108" s="22">
        <f>9.7-0.0058*K10</f>
        <v>9.6999999999999993</v>
      </c>
      <c r="P108" s="22">
        <f>9.7-0.0058*K11</f>
        <v>9.6999999999999993</v>
      </c>
      <c r="Q108" s="22">
        <f>9.7-0.0058*K12</f>
        <v>9.6999999999999993</v>
      </c>
      <c r="R108" s="22">
        <f>9.7-0.0058*K13</f>
        <v>9.6999999999999993</v>
      </c>
      <c r="S108" s="22">
        <f>9.7-0.0058*K14</f>
        <v>9.6999999999999993</v>
      </c>
      <c r="T108" s="22">
        <f>9.7-0.0058*K15</f>
        <v>9.6999999999999993</v>
      </c>
      <c r="AS108" s="98"/>
    </row>
    <row r="109" spans="1:45" hidden="1">
      <c r="A109" s="28"/>
      <c r="J109" s="4" t="s">
        <v>282</v>
      </c>
      <c r="K109" s="6" t="s">
        <v>341</v>
      </c>
      <c r="L109" s="6">
        <v>5.0599999999999996</v>
      </c>
      <c r="M109" s="22">
        <v>5.0599999999999996</v>
      </c>
      <c r="N109" s="22">
        <v>5.0599999999999996</v>
      </c>
      <c r="O109" s="22">
        <v>5.0599999999999996</v>
      </c>
      <c r="P109" s="22">
        <v>5.0599999999999996</v>
      </c>
      <c r="Q109" s="22">
        <v>5.0599999999999996</v>
      </c>
      <c r="R109" s="22">
        <v>5.0599999999999996</v>
      </c>
      <c r="S109" s="22">
        <v>5.0599999999999996</v>
      </c>
      <c r="T109" s="22">
        <v>5.0599999999999996</v>
      </c>
      <c r="AS109" s="98"/>
    </row>
    <row r="110" spans="1:45" hidden="1">
      <c r="A110" s="28"/>
      <c r="J110" s="4" t="s">
        <v>286</v>
      </c>
      <c r="K110" s="6" t="s">
        <v>339</v>
      </c>
      <c r="L110" s="6" t="s">
        <v>342</v>
      </c>
      <c r="M110" s="22">
        <f>9.9-0.0058*K8</f>
        <v>9.9</v>
      </c>
      <c r="N110" s="22">
        <f>9.9-0.0058*K9</f>
        <v>9.9</v>
      </c>
      <c r="O110" s="22">
        <f>9.9-0.0058*K10</f>
        <v>9.9</v>
      </c>
      <c r="P110" s="22">
        <f>9.9-0.0058*K11</f>
        <v>9.9</v>
      </c>
      <c r="Q110" s="22">
        <f>9.9-0.0058*K12</f>
        <v>9.9</v>
      </c>
      <c r="R110" s="22">
        <f>9.9-0.0058*K13</f>
        <v>9.9</v>
      </c>
      <c r="S110" s="22">
        <f>9.9-0.0058*K14</f>
        <v>9.9</v>
      </c>
      <c r="T110" s="22">
        <f>9.9-0.0058*K15</f>
        <v>9.9</v>
      </c>
      <c r="AS110" s="98"/>
    </row>
    <row r="111" spans="1:45" hidden="1">
      <c r="A111" s="28"/>
      <c r="J111" s="136" t="s">
        <v>286</v>
      </c>
      <c r="K111" s="6" t="s">
        <v>341</v>
      </c>
      <c r="L111" s="6">
        <v>5.26</v>
      </c>
      <c r="M111" s="22">
        <v>5.26</v>
      </c>
      <c r="N111" s="22">
        <v>5.26</v>
      </c>
      <c r="O111" s="22">
        <v>5.26</v>
      </c>
      <c r="P111" s="22">
        <v>5.26</v>
      </c>
      <c r="Q111" s="22">
        <v>5.26</v>
      </c>
      <c r="R111" s="22">
        <v>5.26</v>
      </c>
      <c r="S111" s="22">
        <v>5.26</v>
      </c>
      <c r="T111" s="22">
        <v>5.26</v>
      </c>
      <c r="AS111" s="98"/>
    </row>
    <row r="112" spans="1:45" hidden="1">
      <c r="A112" s="28"/>
      <c r="J112" s="136" t="s">
        <v>288</v>
      </c>
      <c r="K112" s="6" t="s">
        <v>343</v>
      </c>
      <c r="L112" s="6" t="s">
        <v>344</v>
      </c>
      <c r="M112" s="22">
        <f>14.22-0.03*K8</f>
        <v>14.22</v>
      </c>
      <c r="N112" s="22">
        <f>14.22-0.03*K9</f>
        <v>14.22</v>
      </c>
      <c r="O112" s="22">
        <f>14.22-0.03*K10</f>
        <v>14.22</v>
      </c>
      <c r="P112" s="22">
        <f>14.22-0.03*K11</f>
        <v>14.22</v>
      </c>
      <c r="Q112" s="22">
        <f>14.22-0.03*K12</f>
        <v>14.22</v>
      </c>
      <c r="R112" s="22">
        <f>14.22-0.03*K13</f>
        <v>14.22</v>
      </c>
      <c r="S112" s="22">
        <f>14.22-0.03*K14</f>
        <v>14.22</v>
      </c>
      <c r="T112" s="22">
        <f>14.22-0.03*K15</f>
        <v>14.22</v>
      </c>
      <c r="AS112" s="98"/>
    </row>
    <row r="113" spans="1:45" hidden="1">
      <c r="A113" s="28"/>
      <c r="J113" s="136" t="s">
        <v>288</v>
      </c>
      <c r="K113" s="6" t="s">
        <v>345</v>
      </c>
      <c r="L113" s="6" t="s">
        <v>346</v>
      </c>
      <c r="M113" s="22">
        <f>9.47-0.00624*K8</f>
        <v>9.4700000000000006</v>
      </c>
      <c r="N113" s="22">
        <f>9.47-0.00624*K9</f>
        <v>9.4700000000000006</v>
      </c>
      <c r="O113" s="22">
        <f>9.47-0.00624*K10</f>
        <v>9.4700000000000006</v>
      </c>
      <c r="P113" s="22">
        <f>9.47-0.00624*K11</f>
        <v>9.4700000000000006</v>
      </c>
      <c r="Q113" s="22">
        <f>9.47-0.00624*K12</f>
        <v>9.4700000000000006</v>
      </c>
      <c r="R113" s="22">
        <f>9.47-0.00624*K13</f>
        <v>9.4700000000000006</v>
      </c>
      <c r="S113" s="22">
        <f>9.47-0.00624*K14</f>
        <v>9.4700000000000006</v>
      </c>
      <c r="T113" s="22">
        <f>9.47-0.00624*K15</f>
        <v>9.4700000000000006</v>
      </c>
      <c r="AS113" s="98"/>
    </row>
    <row r="114" spans="1:45" hidden="1">
      <c r="A114" s="28"/>
      <c r="J114" s="136" t="s">
        <v>288</v>
      </c>
      <c r="K114" s="6" t="s">
        <v>347</v>
      </c>
      <c r="L114" s="6">
        <v>5.0999999999999996</v>
      </c>
      <c r="M114" s="22">
        <v>5.0999999999999996</v>
      </c>
      <c r="N114" s="22">
        <v>5.0999999999999996</v>
      </c>
      <c r="O114" s="22">
        <v>5.0999999999999996</v>
      </c>
      <c r="P114" s="22">
        <v>5.0999999999999996</v>
      </c>
      <c r="Q114" s="22">
        <v>5.0999999999999996</v>
      </c>
      <c r="R114" s="22">
        <v>5.0999999999999996</v>
      </c>
      <c r="S114" s="22">
        <v>5.0999999999999996</v>
      </c>
      <c r="T114" s="22">
        <v>5.0999999999999996</v>
      </c>
      <c r="AS114" s="98"/>
    </row>
    <row r="115" spans="1:45" hidden="1">
      <c r="A115" s="28"/>
      <c r="J115" s="170"/>
      <c r="K115" s="34"/>
      <c r="L115" s="34"/>
      <c r="M115" s="36"/>
      <c r="N115" s="36"/>
      <c r="O115" s="36"/>
      <c r="P115" s="36"/>
      <c r="Q115" s="36"/>
      <c r="R115" s="36"/>
      <c r="S115" s="36"/>
      <c r="T115" s="36"/>
      <c r="AS115" s="98"/>
    </row>
    <row r="116" spans="1:45" hidden="1">
      <c r="A116" s="28"/>
      <c r="J116" s="166" t="s">
        <v>361</v>
      </c>
      <c r="K116" s="171">
        <v>44348</v>
      </c>
      <c r="AS116" s="98"/>
    </row>
    <row r="117" spans="1:45" hidden="1">
      <c r="A117" s="28"/>
      <c r="J117" s="404" t="s">
        <v>300</v>
      </c>
      <c r="K117" s="404"/>
      <c r="L117" s="404"/>
      <c r="M117" s="404"/>
      <c r="N117" s="404"/>
      <c r="O117" s="404"/>
      <c r="P117" s="404"/>
      <c r="Q117" s="404"/>
      <c r="R117" s="404"/>
      <c r="S117" s="404"/>
      <c r="T117" s="404"/>
      <c r="AS117" s="98"/>
    </row>
    <row r="118" spans="1:45" ht="30" hidden="1">
      <c r="A118" s="28"/>
      <c r="J118" s="3" t="s">
        <v>266</v>
      </c>
      <c r="K118" s="2" t="s">
        <v>267</v>
      </c>
      <c r="L118" s="2" t="s">
        <v>268</v>
      </c>
      <c r="M118" s="249" t="s">
        <v>269</v>
      </c>
      <c r="N118" s="249" t="s">
        <v>270</v>
      </c>
      <c r="O118" s="249" t="s">
        <v>271</v>
      </c>
      <c r="P118" s="249" t="s">
        <v>272</v>
      </c>
      <c r="Q118" s="249" t="s">
        <v>273</v>
      </c>
      <c r="R118" s="249" t="s">
        <v>274</v>
      </c>
      <c r="S118" s="249" t="s">
        <v>275</v>
      </c>
      <c r="T118" s="249" t="s">
        <v>276</v>
      </c>
      <c r="AS118" s="98"/>
    </row>
    <row r="119" spans="1:45" ht="17.25" hidden="1" customHeight="1">
      <c r="A119" s="28"/>
      <c r="J119" s="136" t="s">
        <v>277</v>
      </c>
      <c r="K119" s="6" t="s">
        <v>315</v>
      </c>
      <c r="L119" s="6" t="s">
        <v>362</v>
      </c>
      <c r="M119" s="22">
        <f>9.2-0.01134*K8</f>
        <v>9.1999999999999993</v>
      </c>
      <c r="N119" s="22">
        <f>9.2-0.01134*K9</f>
        <v>9.1999999999999993</v>
      </c>
      <c r="O119" s="22">
        <f>9.2-0.01134*K10</f>
        <v>9.1999999999999993</v>
      </c>
      <c r="P119" s="22">
        <f>9.2-0.01134*K11</f>
        <v>9.1999999999999993</v>
      </c>
      <c r="Q119" s="22">
        <f>9.2-0.01134*K12</f>
        <v>9.1999999999999993</v>
      </c>
      <c r="R119" s="22">
        <f>9.2-0.01134*K13</f>
        <v>9.1999999999999993</v>
      </c>
      <c r="S119" s="22">
        <f>9.2-0.01134*K14</f>
        <v>9.1999999999999993</v>
      </c>
      <c r="T119" s="22">
        <f>9.2-0.01134*K15</f>
        <v>9.1999999999999993</v>
      </c>
      <c r="AS119" s="98"/>
    </row>
    <row r="120" spans="1:45" ht="17.25" hidden="1" customHeight="1">
      <c r="A120" s="28"/>
      <c r="J120" s="136" t="s">
        <v>277</v>
      </c>
      <c r="K120" s="6" t="s">
        <v>318</v>
      </c>
      <c r="L120" s="6" t="s">
        <v>363</v>
      </c>
      <c r="M120" s="22">
        <f>6.49-0.0023*K8</f>
        <v>6.49</v>
      </c>
      <c r="N120" s="22">
        <f>6.49-0.0023*K9</f>
        <v>6.49</v>
      </c>
      <c r="O120" s="22">
        <f>6.49-0.0023*K10</f>
        <v>6.49</v>
      </c>
      <c r="P120" s="22">
        <f>6.49-0.0023*K11</f>
        <v>6.49</v>
      </c>
      <c r="Q120" s="22">
        <f>6.49-0.0023*K12</f>
        <v>6.49</v>
      </c>
      <c r="R120" s="22">
        <f>6.49-0.0023*K13</f>
        <v>6.49</v>
      </c>
      <c r="S120" s="22">
        <f>6.49-0.0023*K14</f>
        <v>6.49</v>
      </c>
      <c r="T120" s="22">
        <f>6.49-0.0023*K15</f>
        <v>6.49</v>
      </c>
      <c r="AS120" s="98"/>
    </row>
    <row r="121" spans="1:45" hidden="1">
      <c r="A121" s="28"/>
      <c r="J121" s="136" t="s">
        <v>277</v>
      </c>
      <c r="K121" s="6" t="s">
        <v>320</v>
      </c>
      <c r="L121" s="6" t="s">
        <v>364</v>
      </c>
      <c r="M121" s="22">
        <f>5.11-0.00058*K8</f>
        <v>5.1100000000000003</v>
      </c>
      <c r="N121" s="22">
        <f>5.11-0.00058*K9</f>
        <v>5.1100000000000003</v>
      </c>
      <c r="O121" s="22">
        <f>5.11-0.00058*K10</f>
        <v>5.1100000000000003</v>
      </c>
      <c r="P121" s="22">
        <f>5.11-0.00058*K11</f>
        <v>5.1100000000000003</v>
      </c>
      <c r="Q121" s="22">
        <f>5.11-0.00058*K12</f>
        <v>5.1100000000000003</v>
      </c>
      <c r="R121" s="22">
        <f>5.11-0.00058*K13</f>
        <v>5.1100000000000003</v>
      </c>
      <c r="S121" s="22">
        <f>5.11-0.00058*K14</f>
        <v>5.1100000000000003</v>
      </c>
      <c r="T121" s="22">
        <f>5.11-0.00058*K15</f>
        <v>5.1100000000000003</v>
      </c>
      <c r="AS121" s="98"/>
    </row>
    <row r="122" spans="1:45" hidden="1">
      <c r="A122" s="28"/>
      <c r="J122" s="136" t="s">
        <v>277</v>
      </c>
      <c r="K122" s="6" t="s">
        <v>322</v>
      </c>
      <c r="L122" s="6">
        <v>4.24</v>
      </c>
      <c r="M122" s="6">
        <v>4.24</v>
      </c>
      <c r="N122" s="6">
        <v>4.24</v>
      </c>
      <c r="O122" s="6">
        <v>4.24</v>
      </c>
      <c r="P122" s="6">
        <v>4.24</v>
      </c>
      <c r="Q122" s="6">
        <v>4.24</v>
      </c>
      <c r="R122" s="6">
        <v>4.24</v>
      </c>
      <c r="S122" s="6">
        <v>4.24</v>
      </c>
      <c r="T122" s="6">
        <v>4.24</v>
      </c>
      <c r="AS122" s="98"/>
    </row>
    <row r="123" spans="1:45" hidden="1">
      <c r="A123" s="28"/>
      <c r="J123" s="136" t="s">
        <v>282</v>
      </c>
      <c r="K123" s="6" t="s">
        <v>365</v>
      </c>
      <c r="L123" s="6" t="s">
        <v>366</v>
      </c>
      <c r="M123" s="22">
        <f>7.14-0.00308*K8</f>
        <v>7.14</v>
      </c>
      <c r="N123" s="22">
        <f>7.14-0.00308*K9</f>
        <v>7.14</v>
      </c>
      <c r="O123" s="22">
        <f>7.14-0.00308*K10</f>
        <v>7.14</v>
      </c>
      <c r="P123" s="22">
        <f>7.14-0.00308*K11</f>
        <v>7.14</v>
      </c>
      <c r="Q123" s="22">
        <f>7.14-0.00308*K12</f>
        <v>7.14</v>
      </c>
      <c r="R123" s="22">
        <f>7.14-0.00308*K13</f>
        <v>7.14</v>
      </c>
      <c r="S123" s="22">
        <f>7.14-0.00308*K14</f>
        <v>7.14</v>
      </c>
      <c r="T123" s="22">
        <f>7.14-0.00308*K15</f>
        <v>7.14</v>
      </c>
      <c r="AS123" s="98"/>
    </row>
    <row r="124" spans="1:45" hidden="1">
      <c r="A124" s="28"/>
      <c r="J124" s="136" t="s">
        <v>282</v>
      </c>
      <c r="K124" s="6" t="s">
        <v>367</v>
      </c>
      <c r="L124" s="6">
        <v>4.13</v>
      </c>
      <c r="M124" s="6">
        <v>4.13</v>
      </c>
      <c r="N124" s="6">
        <v>4.13</v>
      </c>
      <c r="O124" s="6">
        <v>4.13</v>
      </c>
      <c r="P124" s="6">
        <v>4.13</v>
      </c>
      <c r="Q124" s="6">
        <v>4.13</v>
      </c>
      <c r="R124" s="6">
        <v>4.13</v>
      </c>
      <c r="S124" s="6">
        <v>4.13</v>
      </c>
      <c r="T124" s="6">
        <v>4.13</v>
      </c>
      <c r="AS124" s="98"/>
    </row>
    <row r="125" spans="1:45" hidden="1">
      <c r="A125" s="28"/>
      <c r="J125" s="136" t="s">
        <v>286</v>
      </c>
      <c r="K125" s="6" t="s">
        <v>365</v>
      </c>
      <c r="L125" s="6" t="s">
        <v>366</v>
      </c>
      <c r="M125" s="22">
        <f>7.14-0.00308*K8</f>
        <v>7.14</v>
      </c>
      <c r="N125" s="22">
        <f>7.14-0.00308*K9</f>
        <v>7.14</v>
      </c>
      <c r="O125" s="22">
        <f>7.14-0.00308*K10</f>
        <v>7.14</v>
      </c>
      <c r="P125" s="22">
        <f>7.14-0.00308*K11</f>
        <v>7.14</v>
      </c>
      <c r="Q125" s="22">
        <f>7.14-0.00308*K12</f>
        <v>7.14</v>
      </c>
      <c r="R125" s="22">
        <f>7.14-0.00308*K13</f>
        <v>7.14</v>
      </c>
      <c r="S125" s="22">
        <f>7.14-0.00308*K14</f>
        <v>7.14</v>
      </c>
      <c r="T125" s="22">
        <f>7.14-0.00308*K15</f>
        <v>7.14</v>
      </c>
      <c r="AS125" s="98"/>
    </row>
    <row r="126" spans="1:45" hidden="1">
      <c r="A126" s="28"/>
      <c r="J126" s="136" t="s">
        <v>286</v>
      </c>
      <c r="K126" s="6" t="s">
        <v>367</v>
      </c>
      <c r="L126" s="6">
        <v>4.13</v>
      </c>
      <c r="M126" s="6">
        <v>4.13</v>
      </c>
      <c r="N126" s="6">
        <v>4.13</v>
      </c>
      <c r="O126" s="6">
        <v>4.13</v>
      </c>
      <c r="P126" s="6">
        <v>4.13</v>
      </c>
      <c r="Q126" s="6">
        <v>4.13</v>
      </c>
      <c r="R126" s="6">
        <v>4.13</v>
      </c>
      <c r="S126" s="6">
        <v>4.13</v>
      </c>
      <c r="T126" s="6">
        <v>4.13</v>
      </c>
      <c r="AS126" s="98"/>
    </row>
    <row r="127" spans="1:45" hidden="1">
      <c r="A127" s="28"/>
      <c r="J127" s="136" t="s">
        <v>288</v>
      </c>
      <c r="K127" s="6" t="s">
        <v>328</v>
      </c>
      <c r="L127" s="6" t="s">
        <v>368</v>
      </c>
      <c r="M127" s="22">
        <f>12.57-0.0399*K8</f>
        <v>12.57</v>
      </c>
      <c r="N127" s="22">
        <f>12.57-0.0399*K9</f>
        <v>12.57</v>
      </c>
      <c r="O127" s="22">
        <f>12.57-0.0399*K10</f>
        <v>12.57</v>
      </c>
      <c r="P127" s="22">
        <f>12.57-0.0399*K11</f>
        <v>12.57</v>
      </c>
      <c r="Q127" s="22">
        <f>12.57-0.0399*K12</f>
        <v>12.57</v>
      </c>
      <c r="R127" s="22">
        <f>12.57-0.0399*K13</f>
        <v>12.57</v>
      </c>
      <c r="S127" s="22">
        <f>12.57-0.0399*K14</f>
        <v>12.57</v>
      </c>
      <c r="T127" s="22">
        <f>12.57-0.0399*K15</f>
        <v>12.57</v>
      </c>
      <c r="AS127" s="98"/>
    </row>
    <row r="128" spans="1:45" hidden="1">
      <c r="A128" s="28"/>
      <c r="J128" s="136" t="s">
        <v>288</v>
      </c>
      <c r="K128" s="6" t="s">
        <v>330</v>
      </c>
      <c r="L128" s="6" t="s">
        <v>369</v>
      </c>
      <c r="M128" s="22">
        <f>10.56-0.0215*K8</f>
        <v>10.56</v>
      </c>
      <c r="N128" s="22">
        <f>10.56-0.0215*K9</f>
        <v>10.56</v>
      </c>
      <c r="O128" s="22">
        <f>10.56-0.0215*K10</f>
        <v>10.56</v>
      </c>
      <c r="P128" s="22">
        <f>10.56-0.0215*K11</f>
        <v>10.56</v>
      </c>
      <c r="Q128" s="22">
        <f>10.56-0.0215*K12</f>
        <v>10.56</v>
      </c>
      <c r="R128" s="22">
        <f>10.56-0.0215*K13</f>
        <v>10.56</v>
      </c>
      <c r="S128" s="22">
        <f>10.56-0.0215*K14</f>
        <v>10.56</v>
      </c>
      <c r="T128" s="22">
        <f>10.56-0.0215*K15</f>
        <v>10.56</v>
      </c>
      <c r="AS128" s="98"/>
    </row>
    <row r="129" spans="1:45" hidden="1">
      <c r="A129" s="28"/>
      <c r="J129" s="136" t="s">
        <v>288</v>
      </c>
      <c r="K129" s="6" t="s">
        <v>332</v>
      </c>
      <c r="L129" s="6">
        <v>6.25</v>
      </c>
      <c r="M129" s="6">
        <v>6.25</v>
      </c>
      <c r="N129" s="6">
        <v>6.25</v>
      </c>
      <c r="O129" s="6">
        <v>6.25</v>
      </c>
      <c r="P129" s="6">
        <v>6.25</v>
      </c>
      <c r="Q129" s="6">
        <v>6.25</v>
      </c>
      <c r="R129" s="6">
        <v>6.25</v>
      </c>
      <c r="S129" s="6">
        <v>6.25</v>
      </c>
      <c r="T129" s="6">
        <v>6.25</v>
      </c>
      <c r="AS129" s="98"/>
    </row>
    <row r="130" spans="1:45" hidden="1">
      <c r="A130" s="28"/>
      <c r="K130" s="34"/>
      <c r="L130" s="173"/>
      <c r="M130" s="36"/>
      <c r="N130" s="36"/>
      <c r="O130" s="36"/>
      <c r="P130" s="36"/>
      <c r="Q130" s="36"/>
      <c r="R130" s="36"/>
      <c r="S130" s="36"/>
      <c r="T130" s="36"/>
      <c r="AS130" s="98"/>
    </row>
    <row r="131" spans="1:45" hidden="1">
      <c r="A131" s="28"/>
      <c r="J131" s="166" t="s">
        <v>361</v>
      </c>
      <c r="K131" s="171">
        <v>44348</v>
      </c>
      <c r="AS131" s="98"/>
    </row>
    <row r="132" spans="1:45" hidden="1">
      <c r="A132" s="28"/>
      <c r="J132" s="404" t="s">
        <v>356</v>
      </c>
      <c r="K132" s="404"/>
      <c r="L132" s="404"/>
      <c r="M132" s="404"/>
      <c r="N132" s="404"/>
      <c r="O132" s="404"/>
      <c r="P132" s="404"/>
      <c r="Q132" s="404"/>
      <c r="R132" s="404"/>
      <c r="S132" s="404"/>
      <c r="T132" s="404"/>
      <c r="AS132" s="98"/>
    </row>
    <row r="133" spans="1:45" ht="30" hidden="1">
      <c r="A133" s="28"/>
      <c r="J133" s="3" t="s">
        <v>266</v>
      </c>
      <c r="K133" s="2" t="s">
        <v>267</v>
      </c>
      <c r="L133" s="2" t="s">
        <v>301</v>
      </c>
      <c r="M133" s="249" t="s">
        <v>269</v>
      </c>
      <c r="N133" s="249" t="s">
        <v>270</v>
      </c>
      <c r="O133" s="249" t="s">
        <v>271</v>
      </c>
      <c r="P133" s="249" t="s">
        <v>272</v>
      </c>
      <c r="Q133" s="249" t="s">
        <v>273</v>
      </c>
      <c r="R133" s="249" t="s">
        <v>274</v>
      </c>
      <c r="S133" s="249" t="s">
        <v>275</v>
      </c>
      <c r="T133" s="249" t="s">
        <v>276</v>
      </c>
      <c r="AS133" s="98"/>
    </row>
    <row r="134" spans="1:45" hidden="1">
      <c r="A134" s="28"/>
      <c r="J134" s="4" t="s">
        <v>277</v>
      </c>
      <c r="K134" s="6" t="s">
        <v>334</v>
      </c>
      <c r="L134" s="168" t="s">
        <v>370</v>
      </c>
      <c r="M134" s="22">
        <f>7.9-0.005409*K8</f>
        <v>7.9</v>
      </c>
      <c r="N134" s="22">
        <f>7.9-0.005409*K9</f>
        <v>7.9</v>
      </c>
      <c r="O134" s="22">
        <f>7.9-0.005409*K10</f>
        <v>7.9</v>
      </c>
      <c r="P134" s="22">
        <f>7.9-0.005409*K11</f>
        <v>7.9</v>
      </c>
      <c r="Q134" s="22">
        <f>7.9-0.005409*K12</f>
        <v>7.9</v>
      </c>
      <c r="R134" s="22">
        <f>7.9-0.005409*K13</f>
        <v>7.9</v>
      </c>
      <c r="S134" s="22">
        <f>7.9-0.005409*K14</f>
        <v>7.9</v>
      </c>
      <c r="T134" s="22">
        <f>7.9-0.005409*K15</f>
        <v>7.9</v>
      </c>
      <c r="AS134" s="98"/>
    </row>
    <row r="135" spans="1:45" hidden="1">
      <c r="A135" s="28"/>
      <c r="J135" s="4" t="s">
        <v>277</v>
      </c>
      <c r="K135" s="6" t="s">
        <v>336</v>
      </c>
      <c r="L135" s="6" t="s">
        <v>371</v>
      </c>
      <c r="M135" s="22">
        <f>7.08-0.002752*K8</f>
        <v>7.08</v>
      </c>
      <c r="N135" s="22">
        <f>7.08-0.002752*K9</f>
        <v>7.08</v>
      </c>
      <c r="O135" s="22">
        <f>7.08-0.002752*K10</f>
        <v>7.08</v>
      </c>
      <c r="P135" s="22">
        <f>7.08-0.002752*K11</f>
        <v>7.08</v>
      </c>
      <c r="Q135" s="22">
        <f>7.08-0.002752*K12</f>
        <v>7.08</v>
      </c>
      <c r="R135" s="22">
        <f>7.08-0.002752*K13</f>
        <v>7.08</v>
      </c>
      <c r="S135" s="22">
        <f>7.08-0.002752*K14</f>
        <v>7.08</v>
      </c>
      <c r="T135" s="22">
        <f>7.08-0.002752*K15</f>
        <v>7.08</v>
      </c>
      <c r="AS135" s="98"/>
    </row>
    <row r="136" spans="1:45" hidden="1">
      <c r="A136" s="28"/>
      <c r="J136" s="4" t="s">
        <v>277</v>
      </c>
      <c r="K136" s="6" t="s">
        <v>338</v>
      </c>
      <c r="L136" s="6">
        <v>4.82</v>
      </c>
      <c r="M136" s="6">
        <v>4.82</v>
      </c>
      <c r="N136" s="6">
        <v>4.82</v>
      </c>
      <c r="O136" s="6">
        <v>4.82</v>
      </c>
      <c r="P136" s="6">
        <v>4.82</v>
      </c>
      <c r="Q136" s="6">
        <v>4.82</v>
      </c>
      <c r="R136" s="6">
        <v>4.82</v>
      </c>
      <c r="S136" s="6">
        <v>4.82</v>
      </c>
      <c r="T136" s="6">
        <v>4.82</v>
      </c>
      <c r="AS136" s="98"/>
    </row>
    <row r="137" spans="1:45" hidden="1">
      <c r="A137" s="28"/>
      <c r="J137" s="4" t="s">
        <v>282</v>
      </c>
      <c r="K137" s="6" t="s">
        <v>339</v>
      </c>
      <c r="L137" s="6" t="s">
        <v>372</v>
      </c>
      <c r="M137" s="22">
        <f>7.76-0.00464*K8</f>
        <v>7.76</v>
      </c>
      <c r="N137" s="22">
        <f>7.76-0.00464*K9</f>
        <v>7.76</v>
      </c>
      <c r="O137" s="22">
        <f>7.76-0.00464*K10</f>
        <v>7.76</v>
      </c>
      <c r="P137" s="22">
        <f>7.76-0.00464*K11</f>
        <v>7.76</v>
      </c>
      <c r="Q137" s="22">
        <f>7.76-0.00464*K12</f>
        <v>7.76</v>
      </c>
      <c r="R137" s="22">
        <f>7.76-0.00464*K13</f>
        <v>7.76</v>
      </c>
      <c r="S137" s="22">
        <f>7.76-0.00464*K14</f>
        <v>7.76</v>
      </c>
      <c r="T137" s="22">
        <f>7.76-0.00464*K15</f>
        <v>7.76</v>
      </c>
      <c r="AS137" s="98"/>
    </row>
    <row r="138" spans="1:45" hidden="1">
      <c r="A138" s="28"/>
      <c r="J138" s="4" t="s">
        <v>282</v>
      </c>
      <c r="K138" s="6" t="s">
        <v>341</v>
      </c>
      <c r="L138" s="6">
        <v>4.05</v>
      </c>
      <c r="M138" s="6">
        <v>4.05</v>
      </c>
      <c r="N138" s="6">
        <v>4.05</v>
      </c>
      <c r="O138" s="6">
        <v>4.05</v>
      </c>
      <c r="P138" s="6">
        <v>4.05</v>
      </c>
      <c r="Q138" s="6">
        <v>4.05</v>
      </c>
      <c r="R138" s="6">
        <v>4.05</v>
      </c>
      <c r="S138" s="6">
        <v>4.05</v>
      </c>
      <c r="T138" s="6">
        <v>4.05</v>
      </c>
      <c r="AS138" s="98"/>
    </row>
    <row r="139" spans="1:45" hidden="1">
      <c r="A139" s="28"/>
      <c r="J139" s="4" t="s">
        <v>286</v>
      </c>
      <c r="K139" s="6" t="s">
        <v>339</v>
      </c>
      <c r="L139" s="6" t="s">
        <v>372</v>
      </c>
      <c r="M139" s="22">
        <f>7.76-0.00464*K8</f>
        <v>7.76</v>
      </c>
      <c r="N139" s="22">
        <f>7.76-0.00464*K9</f>
        <v>7.76</v>
      </c>
      <c r="O139" s="22">
        <f>7.76-0.00464*K10</f>
        <v>7.76</v>
      </c>
      <c r="P139" s="22">
        <f>7.76-0.00464*K11</f>
        <v>7.76</v>
      </c>
      <c r="Q139" s="22">
        <f>7.76-0.00464*K12</f>
        <v>7.76</v>
      </c>
      <c r="R139" s="22">
        <f>7.76-0.00464*K13</f>
        <v>7.76</v>
      </c>
      <c r="S139" s="22">
        <f>7.76-0.00464*K14</f>
        <v>7.76</v>
      </c>
      <c r="T139" s="22">
        <f>7.76-0.00464*K15</f>
        <v>7.76</v>
      </c>
      <c r="AS139" s="98"/>
    </row>
    <row r="140" spans="1:45" hidden="1">
      <c r="A140" s="28"/>
      <c r="J140" s="136" t="s">
        <v>286</v>
      </c>
      <c r="K140" s="6" t="s">
        <v>341</v>
      </c>
      <c r="L140" s="6">
        <v>4.05</v>
      </c>
      <c r="M140" s="6">
        <v>4.05</v>
      </c>
      <c r="N140" s="6">
        <v>4.05</v>
      </c>
      <c r="O140" s="6">
        <v>4.05</v>
      </c>
      <c r="P140" s="6">
        <v>4.05</v>
      </c>
      <c r="Q140" s="6">
        <v>4.05</v>
      </c>
      <c r="R140" s="6">
        <v>4.05</v>
      </c>
      <c r="S140" s="6">
        <v>4.05</v>
      </c>
      <c r="T140" s="6">
        <v>4.05</v>
      </c>
      <c r="AS140" s="98"/>
    </row>
    <row r="141" spans="1:45" hidden="1">
      <c r="A141" s="28"/>
      <c r="J141" s="136" t="s">
        <v>288</v>
      </c>
      <c r="K141" s="6" t="s">
        <v>343</v>
      </c>
      <c r="L141" s="6" t="s">
        <v>373</v>
      </c>
      <c r="M141" s="22">
        <f>12.37-0.0261*K8</f>
        <v>12.37</v>
      </c>
      <c r="N141" s="22">
        <f>12.37-0.0261*K9</f>
        <v>12.37</v>
      </c>
      <c r="O141" s="22">
        <f>12.37-0.0261*K10</f>
        <v>12.37</v>
      </c>
      <c r="P141" s="22">
        <f>12.37-0.0261*K11</f>
        <v>12.37</v>
      </c>
      <c r="Q141" s="22">
        <f>12.37-0.0261*K12</f>
        <v>12.37</v>
      </c>
      <c r="R141" s="22">
        <f>12.37-0.0261*K13</f>
        <v>12.37</v>
      </c>
      <c r="S141" s="22">
        <f>12.37-0.0261*K14</f>
        <v>12.37</v>
      </c>
      <c r="T141" s="22">
        <f>12.37-0.0261*K15</f>
        <v>12.37</v>
      </c>
      <c r="AS141" s="98"/>
    </row>
    <row r="142" spans="1:45" hidden="1">
      <c r="A142" s="28"/>
      <c r="J142" s="136" t="s">
        <v>288</v>
      </c>
      <c r="K142" s="6" t="s">
        <v>345</v>
      </c>
      <c r="L142" s="6" t="s">
        <v>374</v>
      </c>
      <c r="M142" s="22">
        <f>8.24-0.005492*K8</f>
        <v>8.24</v>
      </c>
      <c r="N142" s="22">
        <f>8.24-0.005492*K9</f>
        <v>8.24</v>
      </c>
      <c r="O142" s="22">
        <f>8.24-0.005492*K10</f>
        <v>8.24</v>
      </c>
      <c r="P142" s="22">
        <f>8.24-0.005492*K11</f>
        <v>8.24</v>
      </c>
      <c r="Q142" s="22">
        <f>8.24-0.005492*K12</f>
        <v>8.24</v>
      </c>
      <c r="R142" s="22">
        <f>8.24-0.005492*K13</f>
        <v>8.24</v>
      </c>
      <c r="S142" s="22">
        <f>8.24-0.005492*K14</f>
        <v>8.24</v>
      </c>
      <c r="T142" s="22">
        <f>8.24-0.005492*K15</f>
        <v>8.24</v>
      </c>
      <c r="AS142" s="98"/>
    </row>
    <row r="143" spans="1:45" hidden="1">
      <c r="A143" s="28"/>
      <c r="J143" s="136" t="s">
        <v>288</v>
      </c>
      <c r="K143" s="6" t="s">
        <v>347</v>
      </c>
      <c r="L143" s="6">
        <v>4.4400000000000004</v>
      </c>
      <c r="M143" s="6">
        <v>4.4400000000000004</v>
      </c>
      <c r="N143" s="6">
        <v>4.4400000000000004</v>
      </c>
      <c r="O143" s="6">
        <v>4.4400000000000004</v>
      </c>
      <c r="P143" s="6">
        <v>4.4400000000000004</v>
      </c>
      <c r="Q143" s="6">
        <v>4.4400000000000004</v>
      </c>
      <c r="R143" s="6">
        <v>4.4400000000000004</v>
      </c>
      <c r="S143" s="6">
        <v>4.4400000000000004</v>
      </c>
      <c r="T143" s="6">
        <v>4.4400000000000004</v>
      </c>
      <c r="AS143" s="98"/>
    </row>
    <row r="144" spans="1:45" hidden="1">
      <c r="A144" s="28"/>
      <c r="K144" s="34"/>
      <c r="L144" s="173"/>
      <c r="M144" s="36"/>
      <c r="N144" s="36"/>
      <c r="O144" s="36"/>
      <c r="P144" s="36"/>
      <c r="Q144" s="36"/>
      <c r="R144" s="36"/>
      <c r="S144" s="36"/>
      <c r="T144" s="36"/>
      <c r="AS144" s="98"/>
    </row>
    <row r="145" spans="1:45" hidden="1">
      <c r="A145" s="28"/>
      <c r="K145" s="34"/>
      <c r="L145" s="173"/>
      <c r="M145" s="36"/>
      <c r="N145" s="36"/>
      <c r="O145" s="36"/>
      <c r="P145" s="36"/>
      <c r="Q145" s="36"/>
      <c r="R145" s="36"/>
      <c r="S145" s="36"/>
      <c r="T145" s="36"/>
      <c r="U145" s="36"/>
      <c r="AB145" s="36"/>
      <c r="AS145" s="98"/>
    </row>
    <row r="146" spans="1:45">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c r="AC146" s="98"/>
      <c r="AD146" s="98"/>
      <c r="AE146" s="98"/>
      <c r="AF146" s="98"/>
      <c r="AG146" s="98"/>
      <c r="AH146" s="98"/>
      <c r="AI146" s="98"/>
      <c r="AJ146" s="98"/>
      <c r="AK146" s="98"/>
      <c r="AL146" s="98"/>
      <c r="AM146" s="98"/>
      <c r="AN146" s="98"/>
      <c r="AO146" s="98"/>
      <c r="AP146" s="98"/>
      <c r="AQ146" s="98"/>
      <c r="AR146" s="98"/>
      <c r="AS146" s="98"/>
    </row>
    <row r="147" spans="1:45">
      <c r="A147" s="98"/>
      <c r="B147" s="98"/>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98"/>
      <c r="AD147" s="98"/>
      <c r="AE147" s="98"/>
      <c r="AF147" s="98"/>
      <c r="AG147" s="98"/>
      <c r="AH147" s="98"/>
      <c r="AI147" s="98"/>
      <c r="AJ147" s="98"/>
      <c r="AK147" s="98"/>
      <c r="AL147" s="98"/>
      <c r="AM147" s="98"/>
      <c r="AN147" s="98"/>
      <c r="AO147" s="98"/>
      <c r="AP147" s="98"/>
      <c r="AQ147" s="98"/>
      <c r="AR147" s="98"/>
      <c r="AS147" s="98"/>
    </row>
    <row r="148" spans="1:45" s="97" customFormat="1"/>
    <row r="149" spans="1:45" s="97" customFormat="1"/>
    <row r="150" spans="1:45" s="97" customFormat="1"/>
    <row r="151" spans="1:45" s="97" customFormat="1"/>
    <row r="152" spans="1:45" s="97" customFormat="1"/>
    <row r="153" spans="1:45" s="97" customFormat="1"/>
    <row r="154" spans="1:45" s="97" customFormat="1"/>
    <row r="155" spans="1:45" s="97" customFormat="1"/>
    <row r="156" spans="1:45" s="97" customFormat="1"/>
    <row r="157" spans="1:45" s="97" customFormat="1"/>
    <row r="158" spans="1:45" s="97" customFormat="1"/>
    <row r="159" spans="1:45" s="97" customFormat="1"/>
    <row r="160" spans="1:45"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row r="1079" s="97" customFormat="1"/>
    <row r="1080" s="97" customFormat="1"/>
    <row r="1081" s="97" customFormat="1"/>
    <row r="1082" s="97" customFormat="1"/>
    <row r="1083" s="97" customFormat="1"/>
    <row r="1084" s="97" customFormat="1"/>
    <row r="1085" s="97" customFormat="1"/>
    <row r="1086" s="97" customFormat="1"/>
    <row r="1087" s="97" customFormat="1"/>
    <row r="1088" s="97" customFormat="1"/>
    <row r="1089" s="97" customFormat="1"/>
    <row r="1090" s="97" customFormat="1"/>
    <row r="1091" s="97" customFormat="1"/>
    <row r="1092" s="97" customFormat="1"/>
    <row r="1093" s="97" customFormat="1"/>
    <row r="1094" s="97" customFormat="1"/>
    <row r="1095" s="97" customFormat="1"/>
    <row r="1096" s="97" customFormat="1"/>
    <row r="1097" s="97" customFormat="1"/>
    <row r="1098" s="97" customFormat="1"/>
    <row r="1099" s="97" customFormat="1"/>
    <row r="1100" s="97" customFormat="1"/>
    <row r="1101" s="97" customFormat="1"/>
    <row r="1102" s="97" customFormat="1"/>
    <row r="1103" s="97" customFormat="1"/>
    <row r="1104" s="97" customFormat="1"/>
    <row r="1105" s="97" customFormat="1"/>
    <row r="1106" s="97" customFormat="1"/>
    <row r="1107" s="97" customFormat="1"/>
    <row r="1108" s="97" customFormat="1"/>
    <row r="1109" s="97" customFormat="1"/>
    <row r="1110" s="97" customFormat="1"/>
    <row r="1111" s="97" customFormat="1"/>
    <row r="1112" s="97" customFormat="1"/>
    <row r="1113" s="97" customFormat="1"/>
    <row r="1114" s="97" customFormat="1"/>
    <row r="1115" s="97" customFormat="1"/>
    <row r="1116" s="97" customFormat="1"/>
    <row r="1117" s="97" customFormat="1"/>
    <row r="1118" s="97" customFormat="1"/>
    <row r="1119" s="97" customFormat="1"/>
    <row r="1120" s="97" customFormat="1"/>
    <row r="1121" s="97" customFormat="1"/>
    <row r="1122" s="97" customFormat="1"/>
    <row r="1123" s="97" customFormat="1"/>
    <row r="1124" s="97" customFormat="1"/>
    <row r="1125" s="97" customFormat="1"/>
    <row r="1126" s="97" customFormat="1"/>
    <row r="1127" s="97" customFormat="1"/>
    <row r="1128" s="97" customFormat="1"/>
    <row r="1129" s="97" customFormat="1"/>
    <row r="1130" s="97" customFormat="1"/>
    <row r="1131" s="97" customFormat="1"/>
    <row r="1132" s="97" customFormat="1"/>
    <row r="1133" s="97" customFormat="1"/>
    <row r="1134" s="97" customFormat="1"/>
    <row r="1135" s="97" customFormat="1"/>
    <row r="1136" s="97" customFormat="1"/>
    <row r="1137" s="97" customFormat="1"/>
    <row r="1138" s="97" customFormat="1"/>
    <row r="1139" s="97" customFormat="1"/>
    <row r="1140" s="97" customFormat="1"/>
    <row r="1141" s="97" customFormat="1"/>
    <row r="1142" s="97" customFormat="1"/>
    <row r="1143" s="97" customFormat="1"/>
    <row r="1144" s="97" customFormat="1"/>
    <row r="1145" s="97" customFormat="1"/>
    <row r="1146" s="97" customFormat="1"/>
    <row r="1147" s="97" customFormat="1"/>
    <row r="1148" s="97" customFormat="1"/>
    <row r="1149" s="97" customFormat="1"/>
    <row r="1150" s="97" customFormat="1"/>
    <row r="1151" s="97" customFormat="1"/>
    <row r="1152" s="97" customFormat="1"/>
    <row r="1153" s="97" customFormat="1"/>
    <row r="1154" s="97" customFormat="1"/>
    <row r="1155" s="97" customFormat="1"/>
    <row r="1156" s="97" customFormat="1"/>
    <row r="1157" s="97" customFormat="1"/>
    <row r="1158" s="97" customFormat="1"/>
    <row r="1159" s="97" customFormat="1"/>
    <row r="1160" s="97" customFormat="1"/>
    <row r="1161" s="97" customFormat="1"/>
    <row r="1162" s="97" customFormat="1"/>
    <row r="1163" s="97" customFormat="1"/>
    <row r="1164" s="97" customFormat="1"/>
    <row r="1165" s="97" customFormat="1"/>
    <row r="1166" s="97" customFormat="1"/>
    <row r="1167" s="97" customFormat="1"/>
    <row r="1168" s="97" customFormat="1"/>
    <row r="1169" s="97" customFormat="1"/>
    <row r="1170" s="97" customFormat="1"/>
    <row r="1171" s="97" customFormat="1"/>
    <row r="1172" s="97" customFormat="1"/>
    <row r="1173" s="97" customFormat="1"/>
    <row r="1174" s="97" customFormat="1"/>
    <row r="1175" s="97" customFormat="1"/>
    <row r="1176" s="97" customFormat="1"/>
    <row r="1177" s="97" customFormat="1"/>
    <row r="1178" s="97" customFormat="1"/>
    <row r="1179" s="97" customFormat="1"/>
    <row r="1180" s="97" customFormat="1"/>
    <row r="1181" s="97" customFormat="1"/>
    <row r="1182" s="97" customFormat="1"/>
    <row r="1183" s="97" customFormat="1"/>
    <row r="1184" s="97" customFormat="1"/>
    <row r="1185" s="97" customFormat="1"/>
    <row r="1186" s="97" customFormat="1"/>
    <row r="1187" s="97" customFormat="1"/>
    <row r="1188" s="97" customFormat="1"/>
    <row r="1189" s="97" customFormat="1"/>
    <row r="1190" s="97" customFormat="1"/>
    <row r="1191" s="97" customFormat="1"/>
    <row r="1192" s="97" customFormat="1"/>
    <row r="1193" s="97" customFormat="1"/>
    <row r="1194" s="97" customFormat="1"/>
    <row r="1195" s="97" customFormat="1"/>
    <row r="1196" s="97" customFormat="1"/>
    <row r="1197" s="97" customFormat="1"/>
    <row r="1198" s="97" customFormat="1"/>
    <row r="1199" s="97" customFormat="1"/>
    <row r="1200" s="97" customFormat="1"/>
    <row r="1201" s="97" customFormat="1"/>
    <row r="1202" s="97" customFormat="1"/>
    <row r="1203" s="97" customFormat="1"/>
    <row r="1204" s="97" customFormat="1"/>
    <row r="1205" s="97" customFormat="1"/>
    <row r="1206" s="97" customFormat="1"/>
    <row r="1207" s="97" customFormat="1"/>
    <row r="1208" s="97" customFormat="1"/>
    <row r="1209" s="97" customFormat="1"/>
    <row r="1210" s="97" customFormat="1"/>
    <row r="1211" s="97" customFormat="1"/>
    <row r="1212" s="97" customFormat="1"/>
    <row r="1213" s="97" customFormat="1"/>
    <row r="1214" s="97" customFormat="1"/>
    <row r="1215" s="97" customFormat="1"/>
    <row r="1216" s="97" customFormat="1"/>
    <row r="1217" s="97" customFormat="1"/>
    <row r="1218" s="97" customFormat="1"/>
    <row r="1219" s="97" customFormat="1"/>
    <row r="1220" s="97" customFormat="1"/>
    <row r="1221" s="97" customFormat="1"/>
    <row r="1222" s="97" customFormat="1"/>
    <row r="1223" s="97" customFormat="1"/>
    <row r="1224" s="97" customFormat="1"/>
    <row r="1225" s="97" customFormat="1"/>
    <row r="1226" s="97" customFormat="1"/>
    <row r="1227" s="97" customFormat="1"/>
    <row r="1228" s="97" customFormat="1"/>
    <row r="1229" s="97" customFormat="1"/>
    <row r="1230" s="97" customFormat="1"/>
    <row r="1231" s="97" customFormat="1"/>
    <row r="1232" s="97" customFormat="1"/>
    <row r="1233" s="97" customFormat="1"/>
    <row r="1234" s="97" customFormat="1"/>
    <row r="1235" s="97" customFormat="1"/>
    <row r="1236" s="97" customFormat="1"/>
    <row r="1237" s="97" customFormat="1"/>
    <row r="1238" s="97" customFormat="1"/>
    <row r="1239" s="97" customFormat="1"/>
    <row r="1240" s="97" customFormat="1"/>
    <row r="1241" s="97" customFormat="1"/>
    <row r="1242" s="97" customFormat="1"/>
    <row r="1243" s="97" customFormat="1"/>
    <row r="1244" s="97" customFormat="1"/>
    <row r="1245" s="97" customFormat="1"/>
    <row r="1246" s="97" customFormat="1"/>
    <row r="1247" s="97" customFormat="1"/>
    <row r="1248" s="97" customFormat="1"/>
    <row r="1249" s="97" customFormat="1"/>
    <row r="1250" s="97" customFormat="1"/>
    <row r="1251" s="97" customFormat="1"/>
    <row r="1252" s="97" customFormat="1"/>
    <row r="1253" s="97" customFormat="1"/>
    <row r="1254" s="97" customFormat="1"/>
    <row r="1255" s="97" customFormat="1"/>
    <row r="1256" s="97" customFormat="1"/>
    <row r="1257" s="97" customFormat="1"/>
    <row r="1258" s="97" customFormat="1"/>
    <row r="1259" s="97" customFormat="1"/>
    <row r="1260" s="97" customFormat="1"/>
    <row r="1261" s="97" customFormat="1"/>
    <row r="1262" s="97" customFormat="1"/>
    <row r="1263" s="97" customFormat="1"/>
    <row r="1264" s="97" customFormat="1"/>
    <row r="1265" s="97" customFormat="1"/>
    <row r="1266" s="97" customFormat="1"/>
    <row r="1267" s="97" customFormat="1"/>
    <row r="1268" s="97" customFormat="1"/>
    <row r="1269" s="97" customFormat="1"/>
    <row r="1270" s="97" customFormat="1"/>
    <row r="1271" s="97" customFormat="1"/>
    <row r="1272" s="97" customFormat="1"/>
    <row r="1273" s="97" customFormat="1"/>
    <row r="1274" s="97" customFormat="1"/>
    <row r="1275" s="97" customFormat="1"/>
    <row r="1276" s="97" customFormat="1"/>
    <row r="1277" s="97" customFormat="1"/>
    <row r="1278" s="97" customFormat="1"/>
    <row r="1279" s="97" customFormat="1"/>
    <row r="1280" s="97" customFormat="1"/>
    <row r="1281" s="97" customFormat="1"/>
    <row r="1282" s="97" customFormat="1"/>
    <row r="1283" s="97" customFormat="1"/>
    <row r="1284" s="97" customFormat="1"/>
    <row r="1285" s="97" customFormat="1"/>
    <row r="1286" s="97" customFormat="1"/>
    <row r="1287" s="97" customFormat="1"/>
    <row r="1288" s="97" customFormat="1"/>
    <row r="1289" s="97" customFormat="1"/>
    <row r="1290" s="97" customFormat="1"/>
    <row r="1291" s="97" customFormat="1"/>
    <row r="1292" s="97" customFormat="1"/>
    <row r="1293" s="97" customFormat="1"/>
    <row r="1294" s="97" customFormat="1"/>
    <row r="1295" s="97" customFormat="1"/>
    <row r="1296" s="97" customFormat="1"/>
    <row r="1297" s="97" customFormat="1"/>
    <row r="1298" s="97" customFormat="1"/>
    <row r="1299" s="97" customFormat="1"/>
    <row r="1300" s="97" customFormat="1"/>
    <row r="1301" s="97" customFormat="1"/>
    <row r="1302" s="97" customFormat="1"/>
    <row r="1303" s="97" customFormat="1"/>
    <row r="1304" s="97" customFormat="1"/>
    <row r="1305" s="97" customFormat="1"/>
    <row r="1306" s="97" customFormat="1"/>
    <row r="1307" s="97" customFormat="1"/>
    <row r="1308" s="97" customFormat="1"/>
    <row r="1309" s="97" customFormat="1"/>
    <row r="1310" s="97" customFormat="1"/>
    <row r="1311" s="97" customFormat="1"/>
    <row r="1312" s="97" customFormat="1"/>
    <row r="1313" s="97" customFormat="1"/>
    <row r="1314" s="97" customFormat="1"/>
    <row r="1315" s="97" customFormat="1"/>
    <row r="1316" s="97" customFormat="1"/>
    <row r="1317" s="97" customFormat="1"/>
    <row r="1318" s="97" customFormat="1"/>
    <row r="1319" s="97" customFormat="1"/>
    <row r="1320" s="97" customFormat="1"/>
    <row r="1321" s="97" customFormat="1"/>
    <row r="1322" s="97" customFormat="1"/>
    <row r="1323" s="97" customFormat="1"/>
    <row r="1324" s="97" customFormat="1"/>
    <row r="1325" s="97" customFormat="1"/>
    <row r="1326" s="97" customFormat="1"/>
    <row r="1327" s="97" customFormat="1"/>
    <row r="1328" s="97" customFormat="1"/>
    <row r="1329" s="97" customFormat="1"/>
    <row r="1330" s="97" customFormat="1"/>
    <row r="1331" s="97" customFormat="1"/>
    <row r="1332" s="97" customFormat="1"/>
    <row r="1333" s="97" customFormat="1"/>
    <row r="1334" s="97" customFormat="1"/>
    <row r="1335" s="97" customFormat="1"/>
    <row r="1336" s="97" customFormat="1"/>
    <row r="1337" s="97" customFormat="1"/>
    <row r="1338" s="97" customFormat="1"/>
    <row r="1339" s="97" customFormat="1"/>
    <row r="1340" s="97" customFormat="1"/>
    <row r="1341" s="97" customFormat="1"/>
    <row r="1342" s="97" customFormat="1"/>
    <row r="1343" s="97" customFormat="1"/>
    <row r="1344" s="97" customFormat="1"/>
    <row r="1345" s="97" customFormat="1"/>
    <row r="1346" s="97" customFormat="1"/>
    <row r="1347" s="97" customFormat="1"/>
    <row r="1348" s="97" customFormat="1"/>
    <row r="1349" s="97" customFormat="1"/>
    <row r="1350" s="97" customFormat="1"/>
    <row r="1351" s="97" customFormat="1"/>
    <row r="1352" s="97" customFormat="1"/>
    <row r="1353" s="97" customFormat="1"/>
    <row r="1354" s="97" customFormat="1"/>
    <row r="1355" s="97" customFormat="1"/>
    <row r="1356" s="97" customFormat="1"/>
    <row r="1357" s="97" customFormat="1"/>
    <row r="1358" s="97" customFormat="1"/>
    <row r="1359" s="97" customFormat="1"/>
    <row r="1360" s="97" customFormat="1"/>
    <row r="1361" s="97" customFormat="1"/>
    <row r="1362" s="97" customFormat="1"/>
    <row r="1363" s="97" customFormat="1"/>
    <row r="1364" s="97" customFormat="1"/>
    <row r="1365" s="97" customFormat="1"/>
    <row r="1366" s="97" customFormat="1"/>
    <row r="1367" s="97" customFormat="1"/>
    <row r="1368" s="97" customFormat="1"/>
    <row r="1369" s="97" customFormat="1"/>
    <row r="1370" s="97" customFormat="1"/>
    <row r="1371" s="97" customFormat="1"/>
    <row r="1372" s="97" customFormat="1"/>
    <row r="1373" s="97" customFormat="1"/>
    <row r="1374" s="97" customFormat="1"/>
    <row r="1375" s="97" customFormat="1"/>
    <row r="1376" s="97" customFormat="1"/>
    <row r="1377" s="97" customFormat="1"/>
    <row r="1378" s="97" customFormat="1"/>
    <row r="1379" s="97" customFormat="1"/>
    <row r="1380" s="97" customFormat="1"/>
    <row r="1381" s="97" customFormat="1"/>
    <row r="1382" s="97" customFormat="1"/>
    <row r="1383" s="97" customFormat="1"/>
    <row r="1384" s="97" customFormat="1"/>
    <row r="1385" s="97" customFormat="1"/>
    <row r="1386" s="97" customFormat="1"/>
    <row r="1387" s="97" customFormat="1"/>
    <row r="1388" s="97" customFormat="1"/>
    <row r="1389" s="97" customFormat="1"/>
    <row r="1390" s="97" customFormat="1"/>
    <row r="1391" s="97" customFormat="1"/>
    <row r="1392" s="97" customFormat="1"/>
    <row r="1393" s="97" customFormat="1"/>
    <row r="1394" s="97" customFormat="1"/>
    <row r="1395" s="97" customFormat="1"/>
    <row r="1396" s="97" customFormat="1"/>
    <row r="1397" s="97" customFormat="1"/>
    <row r="1398" s="97" customFormat="1"/>
    <row r="1399" s="97" customFormat="1"/>
    <row r="1400" s="97" customFormat="1"/>
    <row r="1401" s="97" customFormat="1"/>
    <row r="1402" s="97" customFormat="1"/>
    <row r="1403" s="97" customFormat="1"/>
    <row r="1404" s="97" customFormat="1"/>
    <row r="1405" s="97" customFormat="1"/>
    <row r="1406" s="97" customFormat="1"/>
    <row r="1407" s="97" customFormat="1"/>
    <row r="1408" s="97" customFormat="1"/>
    <row r="1409" s="97" customFormat="1"/>
    <row r="1410" s="97" customFormat="1"/>
    <row r="1411" s="97" customFormat="1"/>
    <row r="1412" s="97" customFormat="1"/>
    <row r="1413" s="97" customFormat="1"/>
    <row r="1414" s="97" customFormat="1"/>
    <row r="1415" s="97" customFormat="1"/>
    <row r="1416" s="97" customFormat="1"/>
    <row r="1417" s="97" customFormat="1"/>
    <row r="1418" s="97" customFormat="1"/>
    <row r="1419" s="97" customFormat="1"/>
    <row r="1420" s="97" customFormat="1"/>
    <row r="1421" s="97" customFormat="1"/>
    <row r="1422" s="97" customFormat="1"/>
    <row r="1423" s="97" customFormat="1"/>
    <row r="1424" s="97" customFormat="1"/>
    <row r="1425" spans="3:5" s="97" customFormat="1"/>
    <row r="1426" spans="3:5" s="97" customFormat="1"/>
    <row r="1427" spans="3:5" s="97" customFormat="1"/>
    <row r="1428" spans="3:5" s="97" customFormat="1">
      <c r="C1428"/>
      <c r="D1428"/>
      <c r="E1428"/>
    </row>
    <row r="1429" spans="3:5" s="97" customFormat="1">
      <c r="C1429"/>
      <c r="D1429"/>
      <c r="E1429"/>
    </row>
  </sheetData>
  <sheetProtection algorithmName="SHA-512" hashValue="OqZib1s5YhrWbEtfgrhTJjFvkXwiCds4q2JzWNwJQTyxM6Snj3Yc9S3hj4H/TnM5+1/5YijuN0y7qxtHRc4Kwg==" saltValue="XW+6Wsa/lc9f+mBrOYIROg==" spinCount="100000" sheet="1" selectLockedCells="1"/>
  <mergeCells count="20">
    <mergeCell ref="N5:R5"/>
    <mergeCell ref="U5:V5"/>
    <mergeCell ref="J56:T56"/>
    <mergeCell ref="B2:AO2"/>
    <mergeCell ref="B3:C3"/>
    <mergeCell ref="J19:T19"/>
    <mergeCell ref="J31:T31"/>
    <mergeCell ref="J41:T41"/>
    <mergeCell ref="D3:I4"/>
    <mergeCell ref="W5:X5"/>
    <mergeCell ref="Y5:AA5"/>
    <mergeCell ref="AB5:AC5"/>
    <mergeCell ref="AD5:AE5"/>
    <mergeCell ref="AF5:AI5"/>
    <mergeCell ref="J88:T88"/>
    <mergeCell ref="J103:T103"/>
    <mergeCell ref="J117:T117"/>
    <mergeCell ref="J132:T132"/>
    <mergeCell ref="J70:T70"/>
    <mergeCell ref="J80:T80"/>
  </mergeCells>
  <conditionalFormatting sqref="AM8:AO15">
    <cfRule type="expression" dxfId="0" priority="5">
      <formula>IF($AO8="DNQ", TRUE, FALSE)</formula>
    </cfRule>
  </conditionalFormatting>
  <dataValidations disablePrompts="1" count="3">
    <dataValidation type="list" allowBlank="1" showInputMessage="1" showErrorMessage="1" sqref="I8:I15" xr:uid="{00000000-0002-0000-0400-000000000000}">
      <formula1>$C$23:$C$26</formula1>
    </dataValidation>
    <dataValidation type="list" allowBlank="1" showInputMessage="1" showErrorMessage="1" sqref="D8:D15" xr:uid="{00000000-0002-0000-0400-000001000000}">
      <formula1>$C$34:$C$35</formula1>
    </dataValidation>
    <dataValidation type="list" allowBlank="1" showInputMessage="1" showErrorMessage="1" sqref="J8:J15" xr:uid="{56E154E4-D026-49EB-9A55-AADD230FB460}">
      <formula1>$C$41:$C$42</formula1>
    </dataValidation>
  </dataValidations>
  <hyperlinks>
    <hyperlink ref="B3" location="'Calculator Index'!A1" display="Return to Index" xr:uid="{00000000-0004-0000-0400-000000000000}"/>
    <hyperlink ref="B3:C3" location="'Project Summary'!A1" display="Return to Project Summary" xr:uid="{00000000-0004-0000-0400-000001000000}"/>
  </hyperlink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C1078"/>
  <sheetViews>
    <sheetView zoomScale="90" zoomScaleNormal="90" workbookViewId="0">
      <selection activeCell="B3" sqref="B3:C3"/>
    </sheetView>
  </sheetViews>
  <sheetFormatPr defaultRowHeight="15"/>
  <cols>
    <col min="1" max="1" width="3.7109375" customWidth="1"/>
    <col min="2" max="2" width="7.42578125" customWidth="1"/>
    <col min="3" max="3" width="19.85546875" customWidth="1"/>
    <col min="4" max="5" width="19.42578125" customWidth="1"/>
    <col min="6" max="6" width="23.7109375" customWidth="1"/>
    <col min="7" max="7" width="20.85546875" bestFit="1" customWidth="1"/>
    <col min="8" max="8" width="30.28515625" customWidth="1"/>
    <col min="9" max="9" width="29.85546875" customWidth="1"/>
    <col min="10" max="10" width="25.5703125" customWidth="1"/>
    <col min="11" max="11" width="16.28515625" hidden="1" customWidth="1"/>
    <col min="12" max="12" width="21.7109375" hidden="1" customWidth="1"/>
    <col min="13" max="13" width="17.28515625" customWidth="1"/>
    <col min="14" max="14" width="18.5703125" customWidth="1"/>
    <col min="15" max="15" width="13.28515625" customWidth="1"/>
    <col min="16" max="16" width="19" hidden="1" customWidth="1"/>
    <col min="17" max="17" width="18.5703125" hidden="1" customWidth="1"/>
    <col min="18" max="18" width="31.85546875" hidden="1" customWidth="1"/>
    <col min="19" max="19" width="6.85546875" customWidth="1"/>
    <col min="20" max="133" width="9.140625" style="97"/>
  </cols>
  <sheetData>
    <row r="1" spans="1:19" ht="19.5" customHeight="1">
      <c r="A1" s="41"/>
      <c r="B1" s="41"/>
      <c r="C1" s="41"/>
      <c r="D1" s="41"/>
      <c r="E1" s="41"/>
      <c r="F1" s="41"/>
      <c r="G1" s="41"/>
      <c r="H1" s="41"/>
      <c r="I1" s="41"/>
      <c r="J1" s="41"/>
      <c r="K1" s="28"/>
      <c r="L1" s="28"/>
      <c r="M1" s="41"/>
      <c r="N1" s="41"/>
      <c r="O1" s="41"/>
      <c r="P1" s="41"/>
      <c r="Q1" s="28" t="s">
        <v>375</v>
      </c>
      <c r="R1" s="28" t="s">
        <v>376</v>
      </c>
      <c r="S1" s="98"/>
    </row>
    <row r="2" spans="1:19" ht="27" customHeight="1">
      <c r="A2" s="41"/>
      <c r="B2" s="415" t="s">
        <v>377</v>
      </c>
      <c r="C2" s="416"/>
      <c r="D2" s="416"/>
      <c r="E2" s="416"/>
      <c r="F2" s="416"/>
      <c r="G2" s="416"/>
      <c r="H2" s="416"/>
      <c r="I2" s="416"/>
      <c r="J2" s="416"/>
      <c r="K2" s="416"/>
      <c r="L2" s="416"/>
      <c r="M2" s="416"/>
      <c r="N2" s="416"/>
      <c r="O2" s="416"/>
      <c r="P2" s="260"/>
      <c r="Q2" s="28"/>
      <c r="R2" s="28"/>
      <c r="S2" s="98"/>
    </row>
    <row r="3" spans="1:19" ht="23.25" customHeight="1">
      <c r="A3" s="41"/>
      <c r="B3" s="393" t="s">
        <v>119</v>
      </c>
      <c r="C3" s="394"/>
      <c r="D3" s="401" t="s">
        <v>378</v>
      </c>
      <c r="E3" s="401"/>
      <c r="F3" s="401"/>
      <c r="G3" s="401"/>
      <c r="H3" s="401"/>
      <c r="I3" s="41"/>
      <c r="J3" s="41"/>
      <c r="K3" s="28"/>
      <c r="L3" s="28"/>
      <c r="M3" s="41"/>
      <c r="N3" s="41"/>
      <c r="O3" s="41"/>
      <c r="P3" s="41"/>
      <c r="Q3" s="28"/>
      <c r="R3" s="28"/>
      <c r="S3" s="98"/>
    </row>
    <row r="4" spans="1:19" ht="12.75" customHeight="1">
      <c r="A4" s="41"/>
      <c r="B4" s="41"/>
      <c r="C4" s="41"/>
      <c r="D4" s="401"/>
      <c r="E4" s="401"/>
      <c r="F4" s="401"/>
      <c r="G4" s="401"/>
      <c r="H4" s="401"/>
      <c r="I4" s="41"/>
      <c r="J4" s="41"/>
      <c r="K4" s="28"/>
      <c r="L4" s="28"/>
      <c r="M4" s="41"/>
      <c r="N4" s="41"/>
      <c r="O4" s="41"/>
      <c r="P4" s="41"/>
      <c r="Q4" s="28"/>
      <c r="R4" s="28"/>
      <c r="S4" s="98"/>
    </row>
    <row r="5" spans="1:19" ht="12.75" customHeight="1">
      <c r="A5" s="41"/>
      <c r="B5" s="41"/>
      <c r="C5" s="41"/>
      <c r="D5" s="41"/>
      <c r="E5" s="41"/>
      <c r="F5" s="41"/>
      <c r="G5" s="41"/>
      <c r="H5" s="41"/>
      <c r="I5" s="41"/>
      <c r="J5" s="41"/>
      <c r="K5" s="28"/>
      <c r="L5" s="28"/>
      <c r="M5" s="41"/>
      <c r="N5" s="41"/>
      <c r="O5" s="41"/>
      <c r="P5" s="41"/>
      <c r="Q5" s="28"/>
      <c r="R5" s="28"/>
      <c r="S5" s="98"/>
    </row>
    <row r="6" spans="1:19" ht="34.5" customHeight="1">
      <c r="A6" s="41"/>
      <c r="B6" s="179" t="s">
        <v>234</v>
      </c>
      <c r="C6" s="179" t="s">
        <v>122</v>
      </c>
      <c r="D6" s="179" t="s">
        <v>123</v>
      </c>
      <c r="E6" s="180" t="s">
        <v>236</v>
      </c>
      <c r="F6" s="180" t="s">
        <v>126</v>
      </c>
      <c r="G6" s="180" t="s">
        <v>127</v>
      </c>
      <c r="H6" s="180" t="s">
        <v>379</v>
      </c>
      <c r="I6" s="180" t="s">
        <v>380</v>
      </c>
      <c r="J6" s="180" t="s">
        <v>381</v>
      </c>
      <c r="K6" s="180" t="s">
        <v>382</v>
      </c>
      <c r="L6" s="180" t="s">
        <v>383</v>
      </c>
      <c r="M6" s="180" t="s">
        <v>54</v>
      </c>
      <c r="N6" s="180" t="s">
        <v>55</v>
      </c>
      <c r="O6" s="179" t="s">
        <v>56</v>
      </c>
      <c r="P6" s="285" t="s">
        <v>137</v>
      </c>
      <c r="Q6" s="285" t="s">
        <v>384</v>
      </c>
      <c r="R6" s="285" t="s">
        <v>78</v>
      </c>
      <c r="S6" s="98"/>
    </row>
    <row r="7" spans="1:19" ht="22.5" hidden="1" customHeight="1">
      <c r="A7" s="41"/>
      <c r="B7" s="274" t="s">
        <v>140</v>
      </c>
      <c r="C7" s="274"/>
      <c r="D7" s="274" t="s">
        <v>142</v>
      </c>
      <c r="E7" s="274" t="s">
        <v>143</v>
      </c>
      <c r="F7" s="273" t="s">
        <v>144</v>
      </c>
      <c r="G7" s="273" t="s">
        <v>145</v>
      </c>
      <c r="H7" s="273" t="s">
        <v>385</v>
      </c>
      <c r="I7" s="273" t="s">
        <v>386</v>
      </c>
      <c r="J7" s="273" t="s">
        <v>387</v>
      </c>
      <c r="K7" s="273"/>
      <c r="L7" s="273" t="s">
        <v>148</v>
      </c>
      <c r="M7" s="273" t="s">
        <v>149</v>
      </c>
      <c r="N7" s="273" t="s">
        <v>150</v>
      </c>
      <c r="O7" s="274" t="s">
        <v>151</v>
      </c>
      <c r="P7" s="287" t="s">
        <v>152</v>
      </c>
      <c r="Q7" s="287" t="s">
        <v>154</v>
      </c>
      <c r="R7" s="287" t="s">
        <v>153</v>
      </c>
      <c r="S7" s="98"/>
    </row>
    <row r="8" spans="1:19">
      <c r="A8" s="41"/>
      <c r="B8" s="248">
        <v>1</v>
      </c>
      <c r="C8" s="248" t="s">
        <v>388</v>
      </c>
      <c r="D8" s="11"/>
      <c r="E8" s="11"/>
      <c r="F8" s="99"/>
      <c r="G8" s="99"/>
      <c r="H8" s="44"/>
      <c r="I8" s="44"/>
      <c r="J8" s="44"/>
      <c r="K8" s="45" t="str">
        <f>IF(H8="", "", VLOOKUP(H8, $F$19:$G$22, 2, FALSE))</f>
        <v/>
      </c>
      <c r="L8" s="45" t="str">
        <f t="shared" ref="L8:L15" si="0">IFERROR(ROUND(K8*I8,6),"")</f>
        <v/>
      </c>
      <c r="M8" s="248" t="str">
        <f>IF(OR(H8="", J8=""), "", "0.00")</f>
        <v/>
      </c>
      <c r="N8" s="46" t="str">
        <f t="shared" ref="N8:N15" si="1">IF(OR(H8="", J8=""), "",ROUND( I8*K8*J8*365,4))</f>
        <v/>
      </c>
      <c r="O8" s="42" t="str">
        <f>IF(OR(H8="",J8=""), "", IF(J8&lt;3, "", I8*$F$25))</f>
        <v/>
      </c>
      <c r="P8" s="42">
        <f t="shared" ref="P8:P15" si="2">E8</f>
        <v>0</v>
      </c>
      <c r="Q8" s="286" t="s">
        <v>389</v>
      </c>
      <c r="R8" s="286" t="s">
        <v>390</v>
      </c>
      <c r="S8" s="98"/>
    </row>
    <row r="9" spans="1:19">
      <c r="A9" s="41"/>
      <c r="B9" s="248">
        <v>2</v>
      </c>
      <c r="C9" s="248" t="s">
        <v>388</v>
      </c>
      <c r="D9" s="11"/>
      <c r="E9" s="11"/>
      <c r="F9" s="99"/>
      <c r="G9" s="99"/>
      <c r="H9" s="44"/>
      <c r="I9" s="44"/>
      <c r="J9" s="44"/>
      <c r="K9" s="45" t="str">
        <f t="shared" ref="K9:K15" si="3">IF(H9="", "", VLOOKUP(H9, $F$19:$G$21, 2, FALSE))</f>
        <v/>
      </c>
      <c r="L9" s="45" t="str">
        <f t="shared" si="0"/>
        <v/>
      </c>
      <c r="M9" s="248" t="str">
        <f t="shared" ref="M9:M15" si="4">IF(OR(H9="", J9=""), "", "0.00")</f>
        <v/>
      </c>
      <c r="N9" s="46" t="str">
        <f t="shared" si="1"/>
        <v/>
      </c>
      <c r="O9" s="42" t="str">
        <f t="shared" ref="O9:O15" si="5">IF(OR(H9="",J9=""), "", IF(J9&lt;3, "", I9*$F$25))</f>
        <v/>
      </c>
      <c r="P9" s="42">
        <f t="shared" si="2"/>
        <v>0</v>
      </c>
      <c r="Q9" s="286" t="s">
        <v>389</v>
      </c>
      <c r="R9" s="286" t="s">
        <v>390</v>
      </c>
      <c r="S9" s="98"/>
    </row>
    <row r="10" spans="1:19">
      <c r="A10" s="41"/>
      <c r="B10" s="248">
        <v>3</v>
      </c>
      <c r="C10" s="248" t="s">
        <v>388</v>
      </c>
      <c r="D10" s="11"/>
      <c r="E10" s="11"/>
      <c r="F10" s="99"/>
      <c r="G10" s="99"/>
      <c r="H10" s="44"/>
      <c r="I10" s="44"/>
      <c r="J10" s="44"/>
      <c r="K10" s="45" t="str">
        <f t="shared" si="3"/>
        <v/>
      </c>
      <c r="L10" s="45" t="str">
        <f t="shared" si="0"/>
        <v/>
      </c>
      <c r="M10" s="248" t="str">
        <f t="shared" si="4"/>
        <v/>
      </c>
      <c r="N10" s="46" t="str">
        <f t="shared" si="1"/>
        <v/>
      </c>
      <c r="O10" s="42" t="str">
        <f t="shared" si="5"/>
        <v/>
      </c>
      <c r="P10" s="42">
        <f t="shared" si="2"/>
        <v>0</v>
      </c>
      <c r="Q10" s="286" t="s">
        <v>389</v>
      </c>
      <c r="R10" s="286" t="s">
        <v>390</v>
      </c>
      <c r="S10" s="98"/>
    </row>
    <row r="11" spans="1:19">
      <c r="A11" s="41"/>
      <c r="B11" s="248">
        <v>4</v>
      </c>
      <c r="C11" s="248" t="s">
        <v>388</v>
      </c>
      <c r="D11" s="11"/>
      <c r="E11" s="11"/>
      <c r="F11" s="99"/>
      <c r="G11" s="99"/>
      <c r="H11" s="44"/>
      <c r="I11" s="44"/>
      <c r="J11" s="44"/>
      <c r="K11" s="45" t="str">
        <f t="shared" si="3"/>
        <v/>
      </c>
      <c r="L11" s="45" t="str">
        <f t="shared" si="0"/>
        <v/>
      </c>
      <c r="M11" s="248" t="str">
        <f t="shared" si="4"/>
        <v/>
      </c>
      <c r="N11" s="46" t="str">
        <f t="shared" si="1"/>
        <v/>
      </c>
      <c r="O11" s="42" t="str">
        <f t="shared" si="5"/>
        <v/>
      </c>
      <c r="P11" s="42">
        <f t="shared" si="2"/>
        <v>0</v>
      </c>
      <c r="Q11" s="286" t="s">
        <v>389</v>
      </c>
      <c r="R11" s="286" t="s">
        <v>390</v>
      </c>
      <c r="S11" s="98"/>
    </row>
    <row r="12" spans="1:19">
      <c r="A12" s="41"/>
      <c r="B12" s="248">
        <v>5</v>
      </c>
      <c r="C12" s="248" t="s">
        <v>388</v>
      </c>
      <c r="D12" s="11"/>
      <c r="E12" s="11"/>
      <c r="F12" s="99"/>
      <c r="G12" s="99"/>
      <c r="H12" s="44"/>
      <c r="I12" s="44"/>
      <c r="J12" s="44"/>
      <c r="K12" s="45" t="str">
        <f t="shared" si="3"/>
        <v/>
      </c>
      <c r="L12" s="45" t="str">
        <f t="shared" si="0"/>
        <v/>
      </c>
      <c r="M12" s="248" t="str">
        <f t="shared" si="4"/>
        <v/>
      </c>
      <c r="N12" s="46" t="str">
        <f t="shared" si="1"/>
        <v/>
      </c>
      <c r="O12" s="42" t="str">
        <f t="shared" si="5"/>
        <v/>
      </c>
      <c r="P12" s="42">
        <f t="shared" si="2"/>
        <v>0</v>
      </c>
      <c r="Q12" s="286" t="s">
        <v>389</v>
      </c>
      <c r="R12" s="286" t="s">
        <v>390</v>
      </c>
      <c r="S12" s="98"/>
    </row>
    <row r="13" spans="1:19">
      <c r="A13" s="41"/>
      <c r="B13" s="248">
        <v>6</v>
      </c>
      <c r="C13" s="248" t="s">
        <v>388</v>
      </c>
      <c r="D13" s="11"/>
      <c r="E13" s="11"/>
      <c r="F13" s="99"/>
      <c r="G13" s="99"/>
      <c r="H13" s="44"/>
      <c r="I13" s="44"/>
      <c r="J13" s="44"/>
      <c r="K13" s="45" t="str">
        <f t="shared" si="3"/>
        <v/>
      </c>
      <c r="L13" s="45" t="str">
        <f t="shared" si="0"/>
        <v/>
      </c>
      <c r="M13" s="248" t="str">
        <f t="shared" si="4"/>
        <v/>
      </c>
      <c r="N13" s="46" t="str">
        <f t="shared" si="1"/>
        <v/>
      </c>
      <c r="O13" s="42" t="str">
        <f t="shared" si="5"/>
        <v/>
      </c>
      <c r="P13" s="42">
        <f t="shared" si="2"/>
        <v>0</v>
      </c>
      <c r="Q13" s="286" t="s">
        <v>389</v>
      </c>
      <c r="R13" s="286" t="s">
        <v>390</v>
      </c>
      <c r="S13" s="98"/>
    </row>
    <row r="14" spans="1:19">
      <c r="A14" s="41"/>
      <c r="B14" s="248">
        <v>7</v>
      </c>
      <c r="C14" s="248" t="s">
        <v>388</v>
      </c>
      <c r="D14" s="11"/>
      <c r="E14" s="11"/>
      <c r="F14" s="99"/>
      <c r="G14" s="99"/>
      <c r="H14" s="44"/>
      <c r="I14" s="44"/>
      <c r="J14" s="44"/>
      <c r="K14" s="45" t="str">
        <f t="shared" si="3"/>
        <v/>
      </c>
      <c r="L14" s="45" t="str">
        <f t="shared" si="0"/>
        <v/>
      </c>
      <c r="M14" s="248" t="str">
        <f t="shared" si="4"/>
        <v/>
      </c>
      <c r="N14" s="46" t="str">
        <f t="shared" si="1"/>
        <v/>
      </c>
      <c r="O14" s="42" t="str">
        <f t="shared" si="5"/>
        <v/>
      </c>
      <c r="P14" s="42">
        <f t="shared" si="2"/>
        <v>0</v>
      </c>
      <c r="Q14" s="286" t="s">
        <v>389</v>
      </c>
      <c r="R14" s="286" t="s">
        <v>390</v>
      </c>
      <c r="S14" s="98"/>
    </row>
    <row r="15" spans="1:19">
      <c r="A15" s="41"/>
      <c r="B15" s="248">
        <v>8</v>
      </c>
      <c r="C15" s="248" t="s">
        <v>388</v>
      </c>
      <c r="D15" s="11"/>
      <c r="E15" s="11"/>
      <c r="F15" s="99"/>
      <c r="G15" s="99"/>
      <c r="H15" s="44"/>
      <c r="I15" s="44"/>
      <c r="J15" s="44"/>
      <c r="K15" s="45" t="str">
        <f t="shared" si="3"/>
        <v/>
      </c>
      <c r="L15" s="45" t="str">
        <f t="shared" si="0"/>
        <v/>
      </c>
      <c r="M15" s="248" t="str">
        <f t="shared" si="4"/>
        <v/>
      </c>
      <c r="N15" s="46" t="str">
        <f t="shared" si="1"/>
        <v/>
      </c>
      <c r="O15" s="42" t="str">
        <f t="shared" si="5"/>
        <v/>
      </c>
      <c r="P15" s="42">
        <f t="shared" si="2"/>
        <v>0</v>
      </c>
      <c r="Q15" s="286" t="s">
        <v>389</v>
      </c>
      <c r="R15" s="286" t="s">
        <v>390</v>
      </c>
      <c r="S15" s="98"/>
    </row>
    <row r="16" spans="1:19" hidden="1">
      <c r="A16" s="28"/>
      <c r="S16" s="98"/>
    </row>
    <row r="17" spans="1:19" hidden="1">
      <c r="A17" s="28"/>
      <c r="S17" s="98"/>
    </row>
    <row r="18" spans="1:19" hidden="1">
      <c r="A18" s="28"/>
      <c r="F18" s="47" t="s">
        <v>391</v>
      </c>
      <c r="G18" s="249" t="s">
        <v>392</v>
      </c>
      <c r="S18" s="98"/>
    </row>
    <row r="19" spans="1:19" hidden="1">
      <c r="A19" s="28"/>
      <c r="F19" s="6" t="s">
        <v>393</v>
      </c>
      <c r="G19" s="5">
        <v>0.03</v>
      </c>
      <c r="S19" s="98"/>
    </row>
    <row r="20" spans="1:19" hidden="1">
      <c r="A20" s="28"/>
      <c r="F20" s="6" t="s">
        <v>394</v>
      </c>
      <c r="G20" s="5">
        <v>0.02</v>
      </c>
      <c r="S20" s="98"/>
    </row>
    <row r="21" spans="1:19" hidden="1">
      <c r="A21" s="28"/>
      <c r="F21" s="6" t="s">
        <v>395</v>
      </c>
      <c r="G21" s="5">
        <v>0.01</v>
      </c>
      <c r="S21" s="98"/>
    </row>
    <row r="22" spans="1:19" hidden="1">
      <c r="A22" s="28"/>
      <c r="F22" s="6" t="s">
        <v>396</v>
      </c>
      <c r="G22" s="5">
        <v>0.01</v>
      </c>
      <c r="S22" s="98"/>
    </row>
    <row r="23" spans="1:19" hidden="1">
      <c r="A23" s="28"/>
      <c r="S23" s="98"/>
    </row>
    <row r="24" spans="1:19" hidden="1">
      <c r="A24" s="28"/>
      <c r="F24" s="47" t="s">
        <v>56</v>
      </c>
      <c r="S24" s="98"/>
    </row>
    <row r="25" spans="1:19" hidden="1">
      <c r="A25" s="28"/>
      <c r="F25" s="240">
        <v>10</v>
      </c>
      <c r="G25" s="4" t="s">
        <v>397</v>
      </c>
      <c r="S25" s="98"/>
    </row>
    <row r="26" spans="1:19" hidden="1">
      <c r="A26" s="28"/>
      <c r="S26" s="98"/>
    </row>
    <row r="27" spans="1:19" hidden="1">
      <c r="A27" s="28"/>
      <c r="F27" s="24" t="s">
        <v>123</v>
      </c>
      <c r="S27" s="98"/>
    </row>
    <row r="28" spans="1:19" hidden="1">
      <c r="A28" s="28"/>
      <c r="F28" s="19" t="s">
        <v>164</v>
      </c>
      <c r="S28" s="98"/>
    </row>
    <row r="29" spans="1:19" hidden="1">
      <c r="A29" s="28"/>
      <c r="F29" s="19" t="s">
        <v>170</v>
      </c>
      <c r="S29" s="98"/>
    </row>
    <row r="30" spans="1:19" hidden="1">
      <c r="A30" s="28"/>
      <c r="S30" s="98"/>
    </row>
    <row r="31" spans="1:19" hidden="1">
      <c r="A31" s="28"/>
      <c r="F31" s="47" t="s">
        <v>308</v>
      </c>
      <c r="S31" s="98"/>
    </row>
    <row r="32" spans="1:19" hidden="1">
      <c r="A32" s="28"/>
      <c r="F32" s="5">
        <v>5</v>
      </c>
      <c r="S32" s="98"/>
    </row>
    <row r="33" spans="1:19" hidden="1">
      <c r="A33" s="28"/>
      <c r="S33" s="98"/>
    </row>
    <row r="34" spans="1:19" hidden="1">
      <c r="A34" s="28"/>
      <c r="F34" s="48" t="s">
        <v>398</v>
      </c>
      <c r="S34" s="98"/>
    </row>
    <row r="35" spans="1:19" hidden="1">
      <c r="A35" s="28"/>
      <c r="F35" s="6">
        <v>0</v>
      </c>
      <c r="S35" s="98"/>
    </row>
    <row r="36" spans="1:19">
      <c r="A36" s="98"/>
      <c r="B36" s="98"/>
      <c r="C36" s="98"/>
      <c r="D36" s="98"/>
      <c r="E36" s="98"/>
      <c r="F36" s="98"/>
      <c r="G36" s="98"/>
      <c r="H36" s="98"/>
      <c r="I36" s="98"/>
      <c r="J36" s="98"/>
      <c r="K36" s="98"/>
      <c r="L36" s="98"/>
      <c r="M36" s="98"/>
      <c r="N36" s="98"/>
      <c r="O36" s="98"/>
      <c r="P36" s="98"/>
      <c r="Q36" s="98"/>
      <c r="R36" s="98"/>
      <c r="S36" s="98"/>
    </row>
    <row r="37" spans="1:19">
      <c r="A37" s="98"/>
      <c r="B37" s="98"/>
      <c r="C37" s="98"/>
      <c r="D37" s="98"/>
      <c r="E37" s="98"/>
      <c r="F37" s="98"/>
      <c r="G37" s="98"/>
      <c r="H37" s="98"/>
      <c r="I37" s="98"/>
      <c r="J37" s="98"/>
      <c r="K37" s="98"/>
      <c r="L37" s="98"/>
      <c r="M37" s="98"/>
      <c r="N37" s="98"/>
      <c r="O37" s="98"/>
      <c r="P37" s="98"/>
      <c r="Q37" s="98"/>
      <c r="R37" s="98"/>
      <c r="S37" s="98"/>
    </row>
    <row r="38" spans="1:19" s="97" customFormat="1"/>
    <row r="39" spans="1:19" s="97" customFormat="1"/>
    <row r="40" spans="1:19" s="97" customFormat="1"/>
    <row r="41" spans="1:19" s="97" customFormat="1"/>
    <row r="42" spans="1:19" s="97" customFormat="1"/>
    <row r="43" spans="1:19" s="97" customFormat="1"/>
    <row r="44" spans="1:19" s="97" customFormat="1"/>
    <row r="45" spans="1:19" s="97" customFormat="1"/>
    <row r="46" spans="1:19" s="97" customFormat="1"/>
    <row r="47" spans="1:19" s="97" customFormat="1"/>
    <row r="48" spans="1:19"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row r="1065" s="97" customFormat="1"/>
    <row r="1066" s="97" customFormat="1"/>
    <row r="1067" s="97" customFormat="1"/>
    <row r="1068" s="97" customFormat="1"/>
    <row r="1069" s="97" customFormat="1"/>
    <row r="1070" s="97" customFormat="1"/>
    <row r="1071" s="97" customFormat="1"/>
    <row r="1072" s="97" customFormat="1"/>
    <row r="1073" s="97" customFormat="1"/>
    <row r="1074" s="97" customFormat="1"/>
    <row r="1075" s="97" customFormat="1"/>
    <row r="1076" s="97" customFormat="1"/>
    <row r="1077" s="97" customFormat="1"/>
    <row r="1078" s="97" customFormat="1"/>
  </sheetData>
  <sheetProtection algorithmName="SHA-512" hashValue="Gzto7SH4M4zAFoHNymz0WZMl5E1qtpi2LJmAWtEaSdAgDipmcCGLSv6Y6A7Fq4IgLfEi1lrCxLMhagCFbN1qJw==" saltValue="ZtL69mw8mJkZMaoPzfDCog==" spinCount="100000" sheet="1" selectLockedCells="1"/>
  <mergeCells count="3">
    <mergeCell ref="B3:C3"/>
    <mergeCell ref="D3:H4"/>
    <mergeCell ref="B2:O2"/>
  </mergeCells>
  <dataValidations count="3">
    <dataValidation type="list" allowBlank="1" showInputMessage="1" showErrorMessage="1" sqref="H9:H15" xr:uid="{00000000-0002-0000-0500-000000000000}">
      <formula1>$F$19:$F$21</formula1>
    </dataValidation>
    <dataValidation type="list" allowBlank="1" showInputMessage="1" showErrorMessage="1" sqref="D8:E15" xr:uid="{00000000-0002-0000-0500-000001000000}">
      <formula1>$F$28:$F$29</formula1>
    </dataValidation>
    <dataValidation type="list" allowBlank="1" showInputMessage="1" showErrorMessage="1" sqref="H8" xr:uid="{D8904603-1E14-40CE-9D23-2277BAF130AA}">
      <formula1>$F$19:$F$22</formula1>
    </dataValidation>
  </dataValidations>
  <hyperlinks>
    <hyperlink ref="B3" location="'Calculator Index'!A1" display="Return to Index" xr:uid="{00000000-0004-0000-0500-000000000000}"/>
    <hyperlink ref="B3:C3" location="'Project Summary'!A1" display="Return to Project Summary" xr:uid="{00000000-0004-0000-0500-00000100000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EU1009"/>
  <sheetViews>
    <sheetView zoomScale="90" zoomScaleNormal="90" workbookViewId="0">
      <selection activeCell="B3" sqref="B3:C3"/>
    </sheetView>
  </sheetViews>
  <sheetFormatPr defaultRowHeight="15"/>
  <cols>
    <col min="1" max="1" width="3.7109375" customWidth="1"/>
    <col min="2" max="2" width="6" customWidth="1"/>
    <col min="3" max="3" width="20.7109375" customWidth="1"/>
    <col min="4" max="4" width="19.85546875" customWidth="1"/>
    <col min="5" max="5" width="18.7109375" customWidth="1"/>
    <col min="6" max="6" width="17.85546875" customWidth="1"/>
    <col min="7" max="7" width="26.5703125" bestFit="1" customWidth="1"/>
    <col min="8" max="8" width="16.5703125" hidden="1" customWidth="1"/>
    <col min="9" max="10" width="18.28515625" customWidth="1"/>
    <col min="11" max="11" width="17.7109375" customWidth="1"/>
    <col min="12" max="12" width="17.28515625" customWidth="1"/>
    <col min="13" max="13" width="16" customWidth="1"/>
    <col min="14" max="14" width="16" hidden="1" customWidth="1"/>
    <col min="15" max="15" width="17.5703125" hidden="1" customWidth="1"/>
    <col min="16" max="16" width="31.85546875" hidden="1" customWidth="1"/>
    <col min="17" max="17" width="14.28515625" hidden="1" customWidth="1"/>
    <col min="18" max="18" width="10.85546875" hidden="1" customWidth="1"/>
    <col min="19" max="19" width="7.42578125" customWidth="1"/>
    <col min="20" max="151" width="9.140625" style="97"/>
  </cols>
  <sheetData>
    <row r="1" spans="1:19" ht="19.5" customHeight="1">
      <c r="A1" s="41"/>
      <c r="B1" s="41"/>
      <c r="C1" s="41"/>
      <c r="D1" s="41"/>
      <c r="E1" s="41"/>
      <c r="F1" s="41"/>
      <c r="G1" s="41"/>
      <c r="H1" s="41"/>
      <c r="I1" s="41"/>
      <c r="J1" s="41"/>
      <c r="K1" s="41"/>
      <c r="L1" s="41"/>
      <c r="M1" s="41"/>
      <c r="N1" s="41"/>
      <c r="O1" s="41"/>
      <c r="P1" s="41"/>
      <c r="Q1" s="28" t="s">
        <v>116</v>
      </c>
      <c r="R1" s="28" t="s">
        <v>399</v>
      </c>
      <c r="S1" s="98"/>
    </row>
    <row r="2" spans="1:19" ht="27" customHeight="1">
      <c r="A2" s="41"/>
      <c r="B2" s="418" t="s">
        <v>400</v>
      </c>
      <c r="C2" s="418"/>
      <c r="D2" s="418"/>
      <c r="E2" s="418"/>
      <c r="F2" s="418"/>
      <c r="G2" s="418"/>
      <c r="H2" s="418"/>
      <c r="I2" s="418"/>
      <c r="J2" s="418"/>
      <c r="K2" s="418"/>
      <c r="L2" s="418"/>
      <c r="M2" s="418"/>
      <c r="N2" s="260"/>
      <c r="O2" s="260"/>
      <c r="P2" s="260"/>
      <c r="Q2" s="28"/>
      <c r="R2" s="28"/>
      <c r="S2" s="98"/>
    </row>
    <row r="3" spans="1:19" ht="23.25" customHeight="1">
      <c r="A3" s="41"/>
      <c r="B3" s="393" t="s">
        <v>119</v>
      </c>
      <c r="C3" s="394"/>
      <c r="D3" s="417" t="s">
        <v>401</v>
      </c>
      <c r="E3" s="417"/>
      <c r="F3" s="417"/>
      <c r="G3" s="417"/>
      <c r="H3" s="41"/>
      <c r="I3" s="41"/>
      <c r="J3" s="41"/>
      <c r="K3" s="41"/>
      <c r="L3" s="41"/>
      <c r="M3" s="41"/>
      <c r="N3" s="41"/>
      <c r="O3" s="41"/>
      <c r="P3" s="41"/>
      <c r="Q3" s="28"/>
      <c r="R3" s="28"/>
      <c r="S3" s="98"/>
    </row>
    <row r="4" spans="1:19" ht="40.5" customHeight="1">
      <c r="A4" s="41"/>
      <c r="B4" s="41"/>
      <c r="C4" s="41"/>
      <c r="D4" s="401"/>
      <c r="E4" s="401"/>
      <c r="F4" s="401"/>
      <c r="G4" s="401"/>
      <c r="H4" s="41"/>
      <c r="I4" s="41"/>
      <c r="J4" s="41"/>
      <c r="K4" s="41"/>
      <c r="L4" s="41"/>
      <c r="M4" s="41"/>
      <c r="N4" s="41"/>
      <c r="O4" s="41"/>
      <c r="P4" s="41"/>
      <c r="Q4" s="28"/>
      <c r="R4" s="28"/>
      <c r="S4" s="98"/>
    </row>
    <row r="5" spans="1:19" ht="12.75" customHeight="1">
      <c r="A5" s="41"/>
      <c r="B5" s="41"/>
      <c r="C5" s="41"/>
      <c r="D5" s="41"/>
      <c r="E5" s="41"/>
      <c r="F5" s="41"/>
      <c r="G5" s="41"/>
      <c r="H5" s="41"/>
      <c r="I5" s="41"/>
      <c r="J5" s="41"/>
      <c r="K5" s="41"/>
      <c r="L5" s="41"/>
      <c r="M5" s="41"/>
      <c r="N5" s="41"/>
      <c r="O5" s="41"/>
      <c r="P5" s="41"/>
      <c r="Q5" s="28"/>
      <c r="R5" s="28"/>
      <c r="S5" s="98"/>
    </row>
    <row r="6" spans="1:19" ht="32.25" customHeight="1">
      <c r="A6" s="41"/>
      <c r="B6" s="179" t="s">
        <v>234</v>
      </c>
      <c r="C6" s="179" t="s">
        <v>122</v>
      </c>
      <c r="D6" s="179" t="s">
        <v>123</v>
      </c>
      <c r="E6" s="180" t="s">
        <v>126</v>
      </c>
      <c r="F6" s="180" t="s">
        <v>127</v>
      </c>
      <c r="G6" s="180" t="s">
        <v>402</v>
      </c>
      <c r="H6" s="180" t="s">
        <v>403</v>
      </c>
      <c r="I6" s="180" t="s">
        <v>404</v>
      </c>
      <c r="J6" s="180" t="s">
        <v>255</v>
      </c>
      <c r="K6" s="180" t="s">
        <v>54</v>
      </c>
      <c r="L6" s="180" t="s">
        <v>55</v>
      </c>
      <c r="M6" s="179" t="s">
        <v>56</v>
      </c>
      <c r="N6" s="180" t="s">
        <v>137</v>
      </c>
      <c r="O6" s="179" t="s">
        <v>384</v>
      </c>
      <c r="P6" s="179" t="s">
        <v>78</v>
      </c>
      <c r="S6" s="98"/>
    </row>
    <row r="7" spans="1:19" ht="20.25" customHeight="1">
      <c r="A7" s="41"/>
      <c r="B7" s="274" t="s">
        <v>140</v>
      </c>
      <c r="C7" s="274"/>
      <c r="D7" s="274" t="s">
        <v>142</v>
      </c>
      <c r="E7" s="273" t="s">
        <v>405</v>
      </c>
      <c r="F7" s="273" t="s">
        <v>145</v>
      </c>
      <c r="G7" s="273" t="s">
        <v>406</v>
      </c>
      <c r="H7" s="273"/>
      <c r="I7" s="273" t="s">
        <v>53</v>
      </c>
      <c r="J7" s="273" t="s">
        <v>148</v>
      </c>
      <c r="K7" s="273" t="s">
        <v>149</v>
      </c>
      <c r="L7" s="273" t="s">
        <v>150</v>
      </c>
      <c r="M7" s="274" t="s">
        <v>151</v>
      </c>
      <c r="N7" s="273" t="s">
        <v>152</v>
      </c>
      <c r="O7" s="274" t="s">
        <v>154</v>
      </c>
      <c r="P7" s="274" t="s">
        <v>153</v>
      </c>
      <c r="S7" s="98"/>
    </row>
    <row r="8" spans="1:19">
      <c r="A8" s="41"/>
      <c r="B8" s="248">
        <v>1</v>
      </c>
      <c r="C8" s="248" t="s">
        <v>112</v>
      </c>
      <c r="D8" s="44"/>
      <c r="E8" s="99"/>
      <c r="F8" s="99"/>
      <c r="G8" s="44"/>
      <c r="H8" s="189"/>
      <c r="I8" s="51"/>
      <c r="J8" s="51" t="str">
        <f t="shared" ref="J8:J15" si="0">IFERROR(ROUND(IF(OR(G8="", I8=""), "", VLOOKUP(G8, $E$17:$H$24, 4, FALSE)*I8),6),"")</f>
        <v/>
      </c>
      <c r="K8" s="46" t="str">
        <f t="shared" ref="K8:K15" si="1">IFERROR(ROUND(IF(OR(G8="", I8=""), "", VLOOKUP(G8, $E$17:$H$24, 4, FALSE)*I8),6),"")</f>
        <v/>
      </c>
      <c r="L8" s="46" t="str">
        <f t="shared" ref="L8:L15" si="2">IFERROR(ROUND(IF(OR(G8="",I8=""),"",VLOOKUP(G8,$E$17:$H$24,3,FALSE)*I8),4),"")</f>
        <v/>
      </c>
      <c r="M8" s="42" t="str">
        <f>IF(OR(G8="", I8=""), "", I8*$K$27)</f>
        <v/>
      </c>
      <c r="N8" s="42"/>
      <c r="O8" s="42"/>
      <c r="P8" s="42" t="s">
        <v>407</v>
      </c>
      <c r="Q8" s="59"/>
      <c r="S8" s="98"/>
    </row>
    <row r="9" spans="1:19">
      <c r="A9" s="41"/>
      <c r="B9" s="248">
        <v>2</v>
      </c>
      <c r="C9" s="248" t="s">
        <v>112</v>
      </c>
      <c r="D9" s="44"/>
      <c r="E9" s="99"/>
      <c r="F9" s="99"/>
      <c r="G9" s="44"/>
      <c r="H9" s="189"/>
      <c r="I9" s="51"/>
      <c r="J9" s="51" t="str">
        <f t="shared" si="0"/>
        <v/>
      </c>
      <c r="K9" s="46" t="str">
        <f t="shared" si="1"/>
        <v/>
      </c>
      <c r="L9" s="46" t="str">
        <f t="shared" si="2"/>
        <v/>
      </c>
      <c r="M9" s="42" t="str">
        <f t="shared" ref="M9:M15" si="3">IF(OR(G9="", I9=""), "", I9*$K$27)</f>
        <v/>
      </c>
      <c r="N9" s="42"/>
      <c r="O9" s="42"/>
      <c r="P9" s="42" t="s">
        <v>407</v>
      </c>
      <c r="Q9" s="59"/>
      <c r="S9" s="98"/>
    </row>
    <row r="10" spans="1:19">
      <c r="A10" s="41"/>
      <c r="B10" s="248">
        <v>3</v>
      </c>
      <c r="C10" s="248" t="s">
        <v>112</v>
      </c>
      <c r="D10" s="44"/>
      <c r="E10" s="99"/>
      <c r="F10" s="99"/>
      <c r="G10" s="44"/>
      <c r="H10" s="189"/>
      <c r="I10" s="51"/>
      <c r="J10" s="51" t="str">
        <f t="shared" si="0"/>
        <v/>
      </c>
      <c r="K10" s="46" t="str">
        <f t="shared" si="1"/>
        <v/>
      </c>
      <c r="L10" s="46" t="str">
        <f t="shared" si="2"/>
        <v/>
      </c>
      <c r="M10" s="42" t="str">
        <f t="shared" si="3"/>
        <v/>
      </c>
      <c r="N10" s="42"/>
      <c r="O10" s="42"/>
      <c r="P10" s="42" t="s">
        <v>407</v>
      </c>
      <c r="Q10" s="59"/>
      <c r="S10" s="98"/>
    </row>
    <row r="11" spans="1:19">
      <c r="A11" s="41"/>
      <c r="B11" s="248">
        <v>4</v>
      </c>
      <c r="C11" s="248" t="s">
        <v>112</v>
      </c>
      <c r="D11" s="44"/>
      <c r="E11" s="99"/>
      <c r="F11" s="99"/>
      <c r="G11" s="44"/>
      <c r="H11" s="189"/>
      <c r="I11" s="51"/>
      <c r="J11" s="51" t="str">
        <f t="shared" si="0"/>
        <v/>
      </c>
      <c r="K11" s="46" t="str">
        <f t="shared" si="1"/>
        <v/>
      </c>
      <c r="L11" s="46" t="str">
        <f t="shared" si="2"/>
        <v/>
      </c>
      <c r="M11" s="42" t="str">
        <f t="shared" si="3"/>
        <v/>
      </c>
      <c r="N11" s="42"/>
      <c r="O11" s="42"/>
      <c r="P11" s="42" t="s">
        <v>407</v>
      </c>
      <c r="Q11" s="59"/>
      <c r="S11" s="98"/>
    </row>
    <row r="12" spans="1:19">
      <c r="A12" s="41"/>
      <c r="B12" s="248">
        <v>5</v>
      </c>
      <c r="C12" s="248" t="s">
        <v>112</v>
      </c>
      <c r="D12" s="44"/>
      <c r="E12" s="99"/>
      <c r="F12" s="99"/>
      <c r="G12" s="44"/>
      <c r="H12" s="189"/>
      <c r="I12" s="51"/>
      <c r="J12" s="51" t="str">
        <f t="shared" si="0"/>
        <v/>
      </c>
      <c r="K12" s="46" t="str">
        <f t="shared" si="1"/>
        <v/>
      </c>
      <c r="L12" s="46" t="str">
        <f t="shared" si="2"/>
        <v/>
      </c>
      <c r="M12" s="42" t="str">
        <f t="shared" si="3"/>
        <v/>
      </c>
      <c r="N12" s="42"/>
      <c r="O12" s="42"/>
      <c r="P12" s="42" t="s">
        <v>407</v>
      </c>
      <c r="Q12" s="59"/>
      <c r="S12" s="98"/>
    </row>
    <row r="13" spans="1:19">
      <c r="A13" s="41"/>
      <c r="B13" s="248">
        <v>6</v>
      </c>
      <c r="C13" s="248" t="s">
        <v>112</v>
      </c>
      <c r="D13" s="44"/>
      <c r="E13" s="99"/>
      <c r="F13" s="99"/>
      <c r="G13" s="44"/>
      <c r="H13" s="189"/>
      <c r="I13" s="51"/>
      <c r="J13" s="51" t="str">
        <f t="shared" si="0"/>
        <v/>
      </c>
      <c r="K13" s="46" t="str">
        <f t="shared" si="1"/>
        <v/>
      </c>
      <c r="L13" s="46" t="str">
        <f t="shared" si="2"/>
        <v/>
      </c>
      <c r="M13" s="42" t="str">
        <f t="shared" si="3"/>
        <v/>
      </c>
      <c r="N13" s="42"/>
      <c r="O13" s="42"/>
      <c r="P13" s="42" t="s">
        <v>407</v>
      </c>
      <c r="Q13" s="59"/>
      <c r="S13" s="98"/>
    </row>
    <row r="14" spans="1:19">
      <c r="A14" s="41"/>
      <c r="B14" s="248">
        <v>7</v>
      </c>
      <c r="C14" s="248" t="s">
        <v>112</v>
      </c>
      <c r="D14" s="44"/>
      <c r="E14" s="99"/>
      <c r="F14" s="99"/>
      <c r="G14" s="44"/>
      <c r="H14" s="189"/>
      <c r="I14" s="51"/>
      <c r="J14" s="51" t="str">
        <f t="shared" si="0"/>
        <v/>
      </c>
      <c r="K14" s="46" t="str">
        <f t="shared" si="1"/>
        <v/>
      </c>
      <c r="L14" s="46" t="str">
        <f t="shared" si="2"/>
        <v/>
      </c>
      <c r="M14" s="42" t="str">
        <f t="shared" si="3"/>
        <v/>
      </c>
      <c r="N14" s="42"/>
      <c r="O14" s="42"/>
      <c r="P14" s="42" t="s">
        <v>407</v>
      </c>
      <c r="Q14" s="59"/>
      <c r="S14" s="98"/>
    </row>
    <row r="15" spans="1:19">
      <c r="A15" s="41"/>
      <c r="B15" s="248">
        <v>8</v>
      </c>
      <c r="C15" s="248" t="s">
        <v>112</v>
      </c>
      <c r="D15" s="44"/>
      <c r="E15" s="99"/>
      <c r="F15" s="99"/>
      <c r="G15" s="44"/>
      <c r="H15" s="189"/>
      <c r="I15" s="51"/>
      <c r="J15" s="51" t="str">
        <f t="shared" si="0"/>
        <v/>
      </c>
      <c r="K15" s="46" t="str">
        <f t="shared" si="1"/>
        <v/>
      </c>
      <c r="L15" s="46" t="str">
        <f t="shared" si="2"/>
        <v/>
      </c>
      <c r="M15" s="42" t="str">
        <f t="shared" si="3"/>
        <v/>
      </c>
      <c r="N15" s="42"/>
      <c r="O15" s="42"/>
      <c r="P15" s="42" t="s">
        <v>407</v>
      </c>
      <c r="Q15" s="59"/>
      <c r="S15" s="98"/>
    </row>
    <row r="16" spans="1:19" hidden="1">
      <c r="A16" s="28"/>
      <c r="D16" s="188"/>
      <c r="S16" s="98"/>
    </row>
    <row r="17" spans="1:19" ht="30" hidden="1">
      <c r="A17" s="28"/>
      <c r="D17" s="188"/>
      <c r="E17" s="250" t="s">
        <v>402</v>
      </c>
      <c r="F17" s="250" t="s">
        <v>403</v>
      </c>
      <c r="G17" s="250" t="s">
        <v>408</v>
      </c>
      <c r="H17" s="250" t="s">
        <v>409</v>
      </c>
      <c r="K17" s="250" t="s">
        <v>402</v>
      </c>
      <c r="S17" s="98"/>
    </row>
    <row r="18" spans="1:19" hidden="1">
      <c r="A18" s="28"/>
      <c r="D18" s="188"/>
      <c r="E18" s="6" t="s">
        <v>410</v>
      </c>
      <c r="F18" s="6"/>
      <c r="G18" s="6">
        <v>123</v>
      </c>
      <c r="H18" s="6">
        <v>1.6E-2</v>
      </c>
      <c r="K18" s="6" t="s">
        <v>410</v>
      </c>
      <c r="S18" s="98"/>
    </row>
    <row r="19" spans="1:19" hidden="1">
      <c r="A19" s="28"/>
      <c r="D19" s="188"/>
      <c r="E19" s="6" t="s">
        <v>411</v>
      </c>
      <c r="F19" s="6"/>
      <c r="G19" s="6">
        <v>535</v>
      </c>
      <c r="H19" s="6">
        <v>6.59E-2</v>
      </c>
      <c r="K19" s="6" t="s">
        <v>411</v>
      </c>
      <c r="S19" s="98"/>
    </row>
    <row r="20" spans="1:19" hidden="1">
      <c r="A20" s="28"/>
      <c r="D20" s="188"/>
      <c r="E20" s="6" t="s">
        <v>412</v>
      </c>
      <c r="F20" s="6"/>
      <c r="G20" s="6">
        <v>19</v>
      </c>
      <c r="H20" s="6">
        <v>2.5000000000000001E-3</v>
      </c>
      <c r="K20" s="6" t="s">
        <v>412</v>
      </c>
      <c r="S20" s="98"/>
    </row>
    <row r="21" spans="1:19" hidden="1">
      <c r="A21" s="28"/>
      <c r="D21" s="188"/>
      <c r="E21" s="6" t="s">
        <v>413</v>
      </c>
      <c r="F21" s="6"/>
      <c r="G21" s="6">
        <v>31</v>
      </c>
      <c r="H21" s="6">
        <v>3.8E-3</v>
      </c>
      <c r="K21" s="6" t="s">
        <v>413</v>
      </c>
      <c r="S21" s="98"/>
    </row>
    <row r="22" spans="1:19" hidden="1">
      <c r="A22" s="28"/>
      <c r="D22" s="188"/>
      <c r="E22" s="6" t="s">
        <v>414</v>
      </c>
      <c r="F22" s="6"/>
      <c r="G22" s="6">
        <v>24</v>
      </c>
      <c r="H22" s="6">
        <v>3.0999999999999999E-3</v>
      </c>
      <c r="K22" s="6" t="s">
        <v>414</v>
      </c>
      <c r="S22" s="98"/>
    </row>
    <row r="23" spans="1:19" hidden="1">
      <c r="A23" s="28"/>
      <c r="D23" s="188"/>
      <c r="E23" s="6" t="s">
        <v>415</v>
      </c>
      <c r="F23" s="6"/>
      <c r="G23" s="6">
        <v>129</v>
      </c>
      <c r="H23" s="6">
        <v>1.5800000000000002E-2</v>
      </c>
      <c r="K23" s="6" t="s">
        <v>415</v>
      </c>
      <c r="S23" s="98"/>
    </row>
    <row r="24" spans="1:19" hidden="1">
      <c r="A24" s="28"/>
      <c r="D24" s="188"/>
      <c r="E24" s="6" t="s">
        <v>416</v>
      </c>
      <c r="F24" s="6"/>
      <c r="G24" s="6">
        <v>410</v>
      </c>
      <c r="H24" s="6">
        <v>5.3199999999999997E-2</v>
      </c>
      <c r="K24" s="6" t="s">
        <v>416</v>
      </c>
      <c r="S24" s="98"/>
    </row>
    <row r="25" spans="1:19" hidden="1">
      <c r="A25" s="28"/>
      <c r="D25" s="188"/>
      <c r="F25" s="34"/>
      <c r="G25" s="34"/>
      <c r="H25" s="34"/>
      <c r="S25" s="98"/>
    </row>
    <row r="26" spans="1:19" hidden="1">
      <c r="A26" s="28"/>
      <c r="D26" s="188"/>
      <c r="F26" s="34"/>
      <c r="G26" s="34"/>
      <c r="H26" s="34"/>
      <c r="K26" s="249" t="s">
        <v>56</v>
      </c>
      <c r="S26" s="98"/>
    </row>
    <row r="27" spans="1:19" ht="17.25" hidden="1">
      <c r="A27" s="28"/>
      <c r="D27" s="188"/>
      <c r="F27" s="34"/>
      <c r="G27" s="34"/>
      <c r="H27" s="34"/>
      <c r="K27" s="239">
        <v>2</v>
      </c>
      <c r="L27" s="49" t="s">
        <v>417</v>
      </c>
      <c r="S27" s="98"/>
    </row>
    <row r="28" spans="1:19" hidden="1">
      <c r="A28" s="28"/>
      <c r="D28" s="188"/>
      <c r="F28" s="34"/>
      <c r="G28" s="34"/>
      <c r="H28" s="34"/>
      <c r="S28" s="98"/>
    </row>
    <row r="29" spans="1:19" hidden="1">
      <c r="A29" s="28"/>
      <c r="D29" s="188"/>
      <c r="F29" s="34"/>
      <c r="G29" s="34"/>
      <c r="H29" s="34"/>
      <c r="K29" s="14" t="s">
        <v>123</v>
      </c>
      <c r="S29" s="98"/>
    </row>
    <row r="30" spans="1:19" hidden="1">
      <c r="A30" s="28"/>
      <c r="D30" s="188"/>
      <c r="F30" s="34"/>
      <c r="G30" s="34"/>
      <c r="H30" s="34"/>
      <c r="K30" s="19" t="s">
        <v>164</v>
      </c>
      <c r="S30" s="98"/>
    </row>
    <row r="31" spans="1:19" hidden="1">
      <c r="A31" s="28"/>
      <c r="D31" s="188"/>
      <c r="F31" s="34"/>
      <c r="G31" s="34"/>
      <c r="H31" s="34"/>
      <c r="K31" s="19" t="s">
        <v>170</v>
      </c>
      <c r="S31" s="98"/>
    </row>
    <row r="32" spans="1:19" hidden="1">
      <c r="A32" s="28"/>
      <c r="D32" s="188"/>
      <c r="F32" s="34"/>
      <c r="G32" s="34"/>
      <c r="H32" s="34"/>
      <c r="S32" s="98"/>
    </row>
    <row r="33" spans="1:19" hidden="1">
      <c r="A33" s="28"/>
      <c r="D33" s="188"/>
      <c r="F33" s="34"/>
      <c r="G33" s="34"/>
      <c r="H33" s="34"/>
      <c r="K33" s="48" t="s">
        <v>308</v>
      </c>
      <c r="S33" s="98"/>
    </row>
    <row r="34" spans="1:19" hidden="1">
      <c r="A34" s="28"/>
      <c r="D34" s="188"/>
      <c r="F34" s="34"/>
      <c r="G34" s="34"/>
      <c r="H34" s="34"/>
      <c r="K34" s="5">
        <v>4</v>
      </c>
      <c r="S34" s="98"/>
    </row>
    <row r="35" spans="1:19" hidden="1">
      <c r="A35" s="28"/>
      <c r="D35" s="188"/>
      <c r="F35" s="34"/>
      <c r="G35" s="34"/>
      <c r="H35" s="34"/>
      <c r="S35" s="98"/>
    </row>
    <row r="36" spans="1:19" hidden="1">
      <c r="A36" s="28"/>
      <c r="D36" s="188"/>
      <c r="F36" s="34"/>
      <c r="G36" s="34"/>
      <c r="H36" s="34"/>
      <c r="K36" s="48" t="s">
        <v>398</v>
      </c>
      <c r="S36" s="98"/>
    </row>
    <row r="37" spans="1:19" hidden="1">
      <c r="A37" s="28"/>
      <c r="D37" s="188"/>
      <c r="F37" s="34"/>
      <c r="G37" s="34"/>
      <c r="H37" s="34"/>
      <c r="K37" s="50">
        <v>1</v>
      </c>
      <c r="S37" s="98"/>
    </row>
    <row r="38" spans="1:19" hidden="1">
      <c r="A38" s="28"/>
      <c r="D38" s="188"/>
      <c r="F38" s="34"/>
      <c r="G38" s="34"/>
      <c r="H38" s="34"/>
      <c r="S38" s="98"/>
    </row>
    <row r="39" spans="1:19">
      <c r="A39" s="98"/>
      <c r="B39" s="98"/>
      <c r="C39" s="98"/>
      <c r="D39" s="98"/>
      <c r="E39" s="98"/>
      <c r="F39" s="98"/>
      <c r="G39" s="98"/>
      <c r="H39" s="98"/>
      <c r="I39" s="98"/>
      <c r="J39" s="98"/>
      <c r="K39" s="98"/>
      <c r="L39" s="98"/>
      <c r="M39" s="98"/>
      <c r="N39" s="98"/>
      <c r="O39" s="98"/>
      <c r="P39" s="98"/>
      <c r="S39" s="98"/>
    </row>
    <row r="40" spans="1:19">
      <c r="A40" s="98"/>
      <c r="B40" s="98"/>
      <c r="C40" s="98"/>
      <c r="D40" s="98"/>
      <c r="E40" s="98"/>
      <c r="F40" s="98"/>
      <c r="G40" s="98"/>
      <c r="H40" s="98"/>
      <c r="I40" s="98"/>
      <c r="J40" s="98"/>
      <c r="K40" s="98"/>
      <c r="L40" s="98"/>
      <c r="M40" s="98"/>
      <c r="N40" s="98"/>
      <c r="O40" s="98"/>
      <c r="P40" s="98"/>
      <c r="S40" s="98"/>
    </row>
    <row r="41" spans="1:19" s="97" customFormat="1"/>
    <row r="42" spans="1:19" s="97" customFormat="1"/>
    <row r="43" spans="1:19" s="97" customFormat="1"/>
    <row r="44" spans="1:19" s="97" customFormat="1"/>
    <row r="45" spans="1:19" s="97" customFormat="1"/>
    <row r="46" spans="1:19" s="97" customFormat="1"/>
    <row r="47" spans="1:19" s="97" customFormat="1"/>
    <row r="48" spans="1:19"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sheetData>
  <sheetProtection algorithmName="SHA-512" hashValue="9XW++bNSOTdSpqBmQiVDE4plAnlEOWjA+PEWHKxoHnvBvGyp4xgjXsZEGte4Z7e6Gi99qa1hO7upuKD+iMhTPQ==" saltValue="X1Mb4kv78MnABRYtZVL3Hg==" spinCount="100000" sheet="1" selectLockedCells="1"/>
  <mergeCells count="3">
    <mergeCell ref="B3:C3"/>
    <mergeCell ref="D3:G4"/>
    <mergeCell ref="B2:M2"/>
  </mergeCells>
  <dataValidations count="3">
    <dataValidation type="list" allowBlank="1" showInputMessage="1" showErrorMessage="1" sqref="H8:H15" xr:uid="{00000000-0002-0000-0600-000000000000}">
      <formula1>$F$18:$F$20</formula1>
    </dataValidation>
    <dataValidation type="list" allowBlank="1" showInputMessage="1" showErrorMessage="1" sqref="G8:G15" xr:uid="{00000000-0002-0000-0600-000001000000}">
      <formula1>$K$18:$K$24</formula1>
    </dataValidation>
    <dataValidation type="list" allowBlank="1" showInputMessage="1" showErrorMessage="1" sqref="D8:D15" xr:uid="{00000000-0002-0000-0600-000002000000}">
      <formula1>$K$30:$K$31</formula1>
    </dataValidation>
  </dataValidations>
  <hyperlinks>
    <hyperlink ref="B3" location="'Calculator Index'!A1" display="Return to Index" xr:uid="{00000000-0004-0000-0600-000000000000}"/>
    <hyperlink ref="B3:C3" location="'Project Summary'!A1" display="Return to Project Summary" xr:uid="{00000000-0004-0000-0600-000001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V1064"/>
  <sheetViews>
    <sheetView zoomScale="90" zoomScaleNormal="90" workbookViewId="0">
      <selection activeCell="D8" sqref="D8"/>
    </sheetView>
  </sheetViews>
  <sheetFormatPr defaultRowHeight="15"/>
  <cols>
    <col min="1" max="1" width="3.7109375" customWidth="1"/>
    <col min="2" max="2" width="7.140625" customWidth="1"/>
    <col min="3" max="3" width="29" customWidth="1"/>
    <col min="4" max="5" width="19" customWidth="1"/>
    <col min="6" max="6" width="19.85546875" customWidth="1"/>
    <col min="7" max="7" width="18.5703125" customWidth="1"/>
    <col min="8" max="8" width="15.85546875" customWidth="1"/>
    <col min="9" max="9" width="14.5703125" bestFit="1" customWidth="1"/>
    <col min="10" max="11" width="14.5703125" customWidth="1"/>
    <col min="12" max="12" width="17" bestFit="1" customWidth="1"/>
    <col min="13" max="13" width="17.28515625" customWidth="1"/>
    <col min="14" max="14" width="17.7109375" bestFit="1" customWidth="1"/>
    <col min="15" max="15" width="18" hidden="1" customWidth="1"/>
    <col min="16" max="16" width="13.7109375" hidden="1" customWidth="1"/>
    <col min="17" max="17" width="31.85546875" hidden="1" customWidth="1"/>
    <col min="18" max="18" width="7.28515625" customWidth="1"/>
    <col min="19" max="178" width="9.140625" style="97"/>
  </cols>
  <sheetData>
    <row r="1" spans="1:18" ht="19.5" customHeight="1">
      <c r="A1" s="41"/>
      <c r="B1" s="41"/>
      <c r="C1" s="41"/>
      <c r="D1" s="41"/>
      <c r="E1" s="41"/>
      <c r="F1" s="41"/>
      <c r="G1" s="41"/>
      <c r="H1" s="41"/>
      <c r="I1" s="41"/>
      <c r="J1" s="41"/>
      <c r="K1" s="41"/>
      <c r="L1" s="41"/>
      <c r="M1" s="41"/>
      <c r="N1" s="41"/>
      <c r="O1" s="28" t="s">
        <v>116</v>
      </c>
      <c r="P1" s="28" t="s">
        <v>418</v>
      </c>
      <c r="Q1" s="28"/>
      <c r="R1" s="98"/>
    </row>
    <row r="2" spans="1:18" ht="27" customHeight="1">
      <c r="A2" s="41"/>
      <c r="B2" s="415" t="s">
        <v>419</v>
      </c>
      <c r="C2" s="416"/>
      <c r="D2" s="416"/>
      <c r="E2" s="416"/>
      <c r="F2" s="416"/>
      <c r="G2" s="416"/>
      <c r="H2" s="416"/>
      <c r="I2" s="416"/>
      <c r="J2" s="416"/>
      <c r="K2" s="416"/>
      <c r="L2" s="416"/>
      <c r="M2" s="416"/>
      <c r="N2" s="416"/>
      <c r="O2" s="28"/>
      <c r="P2" s="28"/>
      <c r="Q2" s="28"/>
      <c r="R2" s="98"/>
    </row>
    <row r="3" spans="1:18" ht="23.25" customHeight="1">
      <c r="A3" s="41"/>
      <c r="B3" s="393" t="s">
        <v>119</v>
      </c>
      <c r="C3" s="394"/>
      <c r="D3" s="401" t="s">
        <v>420</v>
      </c>
      <c r="E3" s="401"/>
      <c r="F3" s="401"/>
      <c r="G3" s="401"/>
      <c r="H3" s="401"/>
      <c r="I3" s="401"/>
      <c r="J3" s="41"/>
      <c r="K3" s="41"/>
      <c r="L3" s="41"/>
      <c r="M3" s="41"/>
      <c r="N3" s="41"/>
      <c r="O3" s="28"/>
      <c r="P3" s="28"/>
      <c r="Q3" s="28"/>
      <c r="R3" s="98"/>
    </row>
    <row r="4" spans="1:18" ht="27.75" customHeight="1">
      <c r="A4" s="41"/>
      <c r="B4" s="41"/>
      <c r="C4" s="41"/>
      <c r="D4" s="401"/>
      <c r="E4" s="401"/>
      <c r="F4" s="401"/>
      <c r="G4" s="401"/>
      <c r="H4" s="401"/>
      <c r="I4" s="401"/>
      <c r="J4" s="41"/>
      <c r="K4" s="41"/>
      <c r="L4" s="41"/>
      <c r="M4" s="41"/>
      <c r="N4" s="41"/>
      <c r="O4" s="28"/>
      <c r="P4" s="28"/>
      <c r="Q4" s="28"/>
      <c r="R4" s="98"/>
    </row>
    <row r="5" spans="1:18" ht="12.75" customHeight="1">
      <c r="A5" s="41"/>
      <c r="B5" s="41"/>
      <c r="C5" s="41"/>
      <c r="D5" s="41"/>
      <c r="E5" s="41"/>
      <c r="F5" s="41"/>
      <c r="G5" s="41"/>
      <c r="H5" s="41"/>
      <c r="I5" s="41"/>
      <c r="J5" s="41"/>
      <c r="K5" s="41"/>
      <c r="L5" s="41"/>
      <c r="M5" s="41"/>
      <c r="N5" s="41"/>
      <c r="O5" s="28"/>
      <c r="P5" s="28"/>
      <c r="Q5" s="28"/>
      <c r="R5" s="98"/>
    </row>
    <row r="6" spans="1:18" ht="32.25" customHeight="1">
      <c r="A6" s="41"/>
      <c r="B6" s="180" t="s">
        <v>234</v>
      </c>
      <c r="C6" s="180" t="s">
        <v>122</v>
      </c>
      <c r="D6" s="180" t="s">
        <v>123</v>
      </c>
      <c r="E6" s="180" t="s">
        <v>236</v>
      </c>
      <c r="F6" s="180" t="s">
        <v>126</v>
      </c>
      <c r="G6" s="180" t="s">
        <v>127</v>
      </c>
      <c r="H6" s="180" t="s">
        <v>421</v>
      </c>
      <c r="I6" s="180" t="s">
        <v>422</v>
      </c>
      <c r="J6" s="180" t="s">
        <v>423</v>
      </c>
      <c r="K6" s="180" t="s">
        <v>255</v>
      </c>
      <c r="L6" s="180" t="s">
        <v>424</v>
      </c>
      <c r="M6" s="180" t="s">
        <v>136</v>
      </c>
      <c r="N6" s="180" t="s">
        <v>75</v>
      </c>
      <c r="O6" s="181" t="s">
        <v>137</v>
      </c>
      <c r="P6" s="181" t="s">
        <v>257</v>
      </c>
      <c r="Q6" s="279" t="s">
        <v>78</v>
      </c>
      <c r="R6" s="98"/>
    </row>
    <row r="7" spans="1:18" ht="21.75" hidden="1" customHeight="1">
      <c r="A7" s="41"/>
      <c r="B7" s="273" t="s">
        <v>140</v>
      </c>
      <c r="C7" s="273"/>
      <c r="D7" s="273" t="s">
        <v>142</v>
      </c>
      <c r="E7" s="273" t="s">
        <v>143</v>
      </c>
      <c r="F7" s="273" t="s">
        <v>144</v>
      </c>
      <c r="G7" s="273" t="s">
        <v>145</v>
      </c>
      <c r="H7" s="273" t="s">
        <v>425</v>
      </c>
      <c r="I7" s="273" t="s">
        <v>53</v>
      </c>
      <c r="J7" s="273" t="s">
        <v>426</v>
      </c>
      <c r="K7" s="273" t="s">
        <v>148</v>
      </c>
      <c r="L7" s="273" t="s">
        <v>149</v>
      </c>
      <c r="M7" s="273" t="s">
        <v>150</v>
      </c>
      <c r="N7" s="273" t="s">
        <v>151</v>
      </c>
      <c r="O7" s="273" t="s">
        <v>152</v>
      </c>
      <c r="P7" s="273" t="s">
        <v>154</v>
      </c>
      <c r="Q7" s="273" t="s">
        <v>153</v>
      </c>
      <c r="R7" s="98"/>
    </row>
    <row r="8" spans="1:18">
      <c r="A8" s="41"/>
      <c r="B8" s="248">
        <v>1</v>
      </c>
      <c r="C8" s="248" t="s">
        <v>62</v>
      </c>
      <c r="D8" s="11"/>
      <c r="E8" s="11"/>
      <c r="F8" s="99"/>
      <c r="G8" s="99"/>
      <c r="H8" s="11"/>
      <c r="I8" s="11"/>
      <c r="J8" s="208"/>
      <c r="K8" s="46">
        <f t="shared" ref="K8:K15" si="0">I8*IF(H8=$H$19, VLOOKUP(J8, $H$20:$K$22, 4, FALSE), IF(H8=$H$23, VLOOKUP(J8, $H$24:$K$26, 4, FALSE), 0))</f>
        <v>0</v>
      </c>
      <c r="L8" s="46">
        <f>I8*IF(H8=$H$19, VLOOKUP(J8, $H$20:$J$22, 3, FALSE), IF(H8=$H$23, VLOOKUP(J8, $H$24:$J$26, 3, FALSE), 0))</f>
        <v>0</v>
      </c>
      <c r="M8" s="46">
        <f t="shared" ref="M8:M15" si="1">IFERROR(ROUND(IF(H8=$H$19, VLOOKUP(J8, $H$20:$J$22, 2, FALSE), IF(H8=$H$23, VLOOKUP(J8, $H$24:$J$26, 2, FALSE), 0))*I8,4),"")</f>
        <v>0</v>
      </c>
      <c r="N8" s="42" t="str">
        <f t="shared" ref="N8:N15" si="2">IF(I8="", "", I8*$N$25)</f>
        <v/>
      </c>
      <c r="O8" s="59">
        <f t="shared" ref="O8:O15" si="3">E8</f>
        <v>0</v>
      </c>
      <c r="P8" t="str">
        <f t="shared" ref="P8:P15" si="4">IF(M8&gt;0,"Yes","No")</f>
        <v>No</v>
      </c>
      <c r="Q8" t="s">
        <v>427</v>
      </c>
      <c r="R8" s="98"/>
    </row>
    <row r="9" spans="1:18">
      <c r="A9" s="41"/>
      <c r="B9" s="248">
        <v>2</v>
      </c>
      <c r="C9" s="248" t="s">
        <v>62</v>
      </c>
      <c r="D9" s="11"/>
      <c r="E9" s="11"/>
      <c r="F9" s="99"/>
      <c r="G9" s="99"/>
      <c r="H9" s="11"/>
      <c r="I9" s="52"/>
      <c r="J9" s="214"/>
      <c r="K9" s="46">
        <f t="shared" si="0"/>
        <v>0</v>
      </c>
      <c r="L9" s="46">
        <f t="shared" ref="L9:L15" si="5">I9*IF(H9=$H$19, VLOOKUP(J9, $H$20:$J$22, 3, FALSE), IF(H9=$H$23, VLOOKUP(J9, $H$24:$J$26, 3, FALSE), 0))</f>
        <v>0</v>
      </c>
      <c r="M9" s="46">
        <f t="shared" si="1"/>
        <v>0</v>
      </c>
      <c r="N9" s="42" t="str">
        <f t="shared" si="2"/>
        <v/>
      </c>
      <c r="O9" s="59">
        <f t="shared" si="3"/>
        <v>0</v>
      </c>
      <c r="P9" t="str">
        <f t="shared" si="4"/>
        <v>No</v>
      </c>
      <c r="Q9" t="s">
        <v>427</v>
      </c>
      <c r="R9" s="98"/>
    </row>
    <row r="10" spans="1:18">
      <c r="A10" s="41"/>
      <c r="B10" s="248">
        <v>3</v>
      </c>
      <c r="C10" s="248" t="s">
        <v>62</v>
      </c>
      <c r="D10" s="11"/>
      <c r="E10" s="11"/>
      <c r="F10" s="99"/>
      <c r="G10" s="99"/>
      <c r="H10" s="11"/>
      <c r="I10" s="11"/>
      <c r="J10" s="214"/>
      <c r="K10" s="46">
        <f t="shared" si="0"/>
        <v>0</v>
      </c>
      <c r="L10" s="46">
        <f t="shared" si="5"/>
        <v>0</v>
      </c>
      <c r="M10" s="46">
        <f t="shared" si="1"/>
        <v>0</v>
      </c>
      <c r="N10" s="42" t="str">
        <f t="shared" si="2"/>
        <v/>
      </c>
      <c r="O10" s="59">
        <f t="shared" si="3"/>
        <v>0</v>
      </c>
      <c r="P10" t="str">
        <f t="shared" si="4"/>
        <v>No</v>
      </c>
      <c r="Q10" t="s">
        <v>427</v>
      </c>
      <c r="R10" s="98"/>
    </row>
    <row r="11" spans="1:18">
      <c r="A11" s="41"/>
      <c r="B11" s="248">
        <v>4</v>
      </c>
      <c r="C11" s="248" t="s">
        <v>62</v>
      </c>
      <c r="D11" s="11"/>
      <c r="E11" s="11"/>
      <c r="F11" s="99"/>
      <c r="G11" s="99"/>
      <c r="H11" s="11"/>
      <c r="I11" s="52"/>
      <c r="J11" s="214"/>
      <c r="K11" s="46">
        <f t="shared" si="0"/>
        <v>0</v>
      </c>
      <c r="L11" s="46">
        <f t="shared" si="5"/>
        <v>0</v>
      </c>
      <c r="M11" s="46">
        <f t="shared" si="1"/>
        <v>0</v>
      </c>
      <c r="N11" s="42" t="str">
        <f t="shared" si="2"/>
        <v/>
      </c>
      <c r="O11" s="59">
        <f t="shared" si="3"/>
        <v>0</v>
      </c>
      <c r="P11" t="str">
        <f t="shared" si="4"/>
        <v>No</v>
      </c>
      <c r="Q11" t="s">
        <v>427</v>
      </c>
      <c r="R11" s="98"/>
    </row>
    <row r="12" spans="1:18">
      <c r="A12" s="41"/>
      <c r="B12" s="248">
        <v>5</v>
      </c>
      <c r="C12" s="248" t="s">
        <v>62</v>
      </c>
      <c r="D12" s="11"/>
      <c r="E12" s="11"/>
      <c r="F12" s="99"/>
      <c r="G12" s="99"/>
      <c r="H12" s="11"/>
      <c r="I12" s="11"/>
      <c r="J12" s="214"/>
      <c r="K12" s="46">
        <f t="shared" si="0"/>
        <v>0</v>
      </c>
      <c r="L12" s="46">
        <f t="shared" si="5"/>
        <v>0</v>
      </c>
      <c r="M12" s="46">
        <f t="shared" si="1"/>
        <v>0</v>
      </c>
      <c r="N12" s="42" t="str">
        <f t="shared" si="2"/>
        <v/>
      </c>
      <c r="O12" s="59">
        <f t="shared" si="3"/>
        <v>0</v>
      </c>
      <c r="P12" t="str">
        <f t="shared" si="4"/>
        <v>No</v>
      </c>
      <c r="Q12" t="s">
        <v>427</v>
      </c>
      <c r="R12" s="98"/>
    </row>
    <row r="13" spans="1:18">
      <c r="A13" s="41"/>
      <c r="B13" s="248">
        <v>6</v>
      </c>
      <c r="C13" s="248" t="s">
        <v>62</v>
      </c>
      <c r="D13" s="11"/>
      <c r="E13" s="11"/>
      <c r="F13" s="99"/>
      <c r="G13" s="99"/>
      <c r="H13" s="11"/>
      <c r="I13" s="52"/>
      <c r="J13" s="214"/>
      <c r="K13" s="46">
        <f t="shared" si="0"/>
        <v>0</v>
      </c>
      <c r="L13" s="46">
        <f t="shared" si="5"/>
        <v>0</v>
      </c>
      <c r="M13" s="46">
        <f t="shared" si="1"/>
        <v>0</v>
      </c>
      <c r="N13" s="42" t="str">
        <f t="shared" si="2"/>
        <v/>
      </c>
      <c r="O13" s="59">
        <f t="shared" si="3"/>
        <v>0</v>
      </c>
      <c r="P13" t="str">
        <f t="shared" si="4"/>
        <v>No</v>
      </c>
      <c r="Q13" t="s">
        <v>427</v>
      </c>
      <c r="R13" s="98"/>
    </row>
    <row r="14" spans="1:18">
      <c r="A14" s="41"/>
      <c r="B14" s="248">
        <v>7</v>
      </c>
      <c r="C14" s="248" t="s">
        <v>62</v>
      </c>
      <c r="D14" s="11"/>
      <c r="E14" s="11"/>
      <c r="F14" s="99"/>
      <c r="G14" s="99"/>
      <c r="H14" s="11"/>
      <c r="I14" s="52"/>
      <c r="J14" s="214"/>
      <c r="K14" s="46">
        <f t="shared" si="0"/>
        <v>0</v>
      </c>
      <c r="L14" s="46">
        <f t="shared" si="5"/>
        <v>0</v>
      </c>
      <c r="M14" s="46">
        <f t="shared" si="1"/>
        <v>0</v>
      </c>
      <c r="N14" s="42" t="str">
        <f t="shared" si="2"/>
        <v/>
      </c>
      <c r="O14" s="59">
        <f t="shared" si="3"/>
        <v>0</v>
      </c>
      <c r="P14" t="str">
        <f t="shared" si="4"/>
        <v>No</v>
      </c>
      <c r="Q14" t="s">
        <v>427</v>
      </c>
      <c r="R14" s="98"/>
    </row>
    <row r="15" spans="1:18">
      <c r="A15" s="41"/>
      <c r="B15" s="248">
        <v>8</v>
      </c>
      <c r="C15" s="248" t="s">
        <v>62</v>
      </c>
      <c r="D15" s="11"/>
      <c r="E15" s="11"/>
      <c r="F15" s="99"/>
      <c r="G15" s="99"/>
      <c r="H15" s="11"/>
      <c r="I15" s="52"/>
      <c r="J15" s="214"/>
      <c r="K15" s="46">
        <f t="shared" si="0"/>
        <v>0</v>
      </c>
      <c r="L15" s="46">
        <f t="shared" si="5"/>
        <v>0</v>
      </c>
      <c r="M15" s="46">
        <f t="shared" si="1"/>
        <v>0</v>
      </c>
      <c r="N15" s="42" t="str">
        <f t="shared" si="2"/>
        <v/>
      </c>
      <c r="O15" s="59">
        <f t="shared" si="3"/>
        <v>0</v>
      </c>
      <c r="P15" t="str">
        <f t="shared" si="4"/>
        <v>No</v>
      </c>
      <c r="Q15" t="s">
        <v>427</v>
      </c>
      <c r="R15" s="98"/>
    </row>
    <row r="16" spans="1:18" hidden="1">
      <c r="A16" s="28"/>
    </row>
    <row r="17" spans="1:18" hidden="1">
      <c r="A17" s="28"/>
      <c r="O17" s="211"/>
      <c r="P17" s="218"/>
      <c r="Q17" s="218"/>
      <c r="R17" s="219"/>
    </row>
    <row r="18" spans="1:18" hidden="1">
      <c r="A18" s="28"/>
      <c r="C18" s="101" t="s">
        <v>421</v>
      </c>
      <c r="D18" s="101" t="s">
        <v>428</v>
      </c>
      <c r="E18" s="102" t="s">
        <v>429</v>
      </c>
      <c r="H18" s="419" t="s">
        <v>430</v>
      </c>
      <c r="I18" s="420"/>
      <c r="J18" s="420"/>
      <c r="K18" s="288"/>
      <c r="L18" s="288"/>
      <c r="N18" s="48" t="s">
        <v>308</v>
      </c>
      <c r="O18" s="211"/>
      <c r="P18" s="219"/>
      <c r="Q18" s="219"/>
      <c r="R18" s="219"/>
    </row>
    <row r="19" spans="1:18" ht="18" hidden="1">
      <c r="A19" s="28"/>
      <c r="C19" s="4" t="s">
        <v>431</v>
      </c>
      <c r="D19" s="221" t="s">
        <v>432</v>
      </c>
      <c r="E19" s="221">
        <v>0.13</v>
      </c>
      <c r="F19" t="s">
        <v>431</v>
      </c>
      <c r="H19" s="105" t="s">
        <v>431</v>
      </c>
      <c r="I19" s="106" t="s">
        <v>433</v>
      </c>
      <c r="J19" s="106" t="s">
        <v>434</v>
      </c>
      <c r="K19" s="106" t="s">
        <v>255</v>
      </c>
      <c r="L19" s="106" t="s">
        <v>398</v>
      </c>
      <c r="N19" s="5">
        <v>12</v>
      </c>
      <c r="O19" s="220"/>
      <c r="P19" s="220"/>
      <c r="Q19" s="220"/>
      <c r="R19" s="220"/>
    </row>
    <row r="20" spans="1:18" hidden="1">
      <c r="A20" s="28"/>
      <c r="C20" s="4" t="s">
        <v>431</v>
      </c>
      <c r="D20" s="221" t="s">
        <v>435</v>
      </c>
      <c r="E20" s="222">
        <v>0.90700000000000003</v>
      </c>
      <c r="F20" t="s">
        <v>436</v>
      </c>
      <c r="H20" s="104" t="s">
        <v>437</v>
      </c>
      <c r="I20" s="215">
        <v>642</v>
      </c>
      <c r="J20" s="216">
        <v>7.1999999999999995E-2</v>
      </c>
      <c r="K20" s="216">
        <f>ROUND(J20/L20,6)</f>
        <v>0.163636</v>
      </c>
      <c r="L20" s="216">
        <v>0.44</v>
      </c>
      <c r="O20" s="211"/>
      <c r="P20" s="218"/>
      <c r="Q20" s="218"/>
      <c r="R20" s="219"/>
    </row>
    <row r="21" spans="1:18" hidden="1">
      <c r="A21" s="28"/>
      <c r="C21" s="4" t="s">
        <v>431</v>
      </c>
      <c r="D21" s="221" t="s">
        <v>438</v>
      </c>
      <c r="E21" s="222">
        <v>0.45600000000000002</v>
      </c>
      <c r="H21" s="104" t="s">
        <v>439</v>
      </c>
      <c r="I21" s="215">
        <v>453</v>
      </c>
      <c r="J21" s="216">
        <v>5.1999999999999998E-2</v>
      </c>
      <c r="K21" s="216">
        <f>ROUND(J21/L21,6)</f>
        <v>0.16250000000000001</v>
      </c>
      <c r="L21" s="216">
        <v>0.32</v>
      </c>
      <c r="O21" s="211"/>
      <c r="P21" s="219"/>
      <c r="Q21" s="219"/>
      <c r="R21" s="219"/>
    </row>
    <row r="22" spans="1:18" hidden="1">
      <c r="A22" s="28"/>
      <c r="C22" s="4" t="s">
        <v>431</v>
      </c>
      <c r="D22" s="221" t="s">
        <v>440</v>
      </c>
      <c r="E22" s="223">
        <v>0.58899999999999997</v>
      </c>
      <c r="H22" s="104" t="s">
        <v>441</v>
      </c>
      <c r="I22" s="216">
        <v>682</v>
      </c>
      <c r="J22" s="216">
        <v>7.2999999999999995E-2</v>
      </c>
      <c r="K22" s="216">
        <f>ROUND(J22/L22,6)</f>
        <v>0.16222200000000001</v>
      </c>
      <c r="L22" s="216">
        <v>0.45</v>
      </c>
    </row>
    <row r="23" spans="1:18" hidden="1">
      <c r="A23" s="28"/>
      <c r="C23" s="4" t="s">
        <v>431</v>
      </c>
      <c r="D23" s="221" t="s">
        <v>442</v>
      </c>
      <c r="E23" s="223">
        <v>0.42799999999999999</v>
      </c>
      <c r="H23" s="217" t="s">
        <v>436</v>
      </c>
      <c r="I23" s="106" t="s">
        <v>433</v>
      </c>
      <c r="J23" s="106" t="s">
        <v>434</v>
      </c>
      <c r="K23" s="106" t="s">
        <v>255</v>
      </c>
      <c r="L23" s="106" t="s">
        <v>398</v>
      </c>
    </row>
    <row r="24" spans="1:18" hidden="1">
      <c r="A24" s="28"/>
      <c r="C24" s="4" t="s">
        <v>431</v>
      </c>
      <c r="D24" s="221" t="s">
        <v>443</v>
      </c>
      <c r="E24" s="221">
        <v>1.26</v>
      </c>
      <c r="H24" s="104" t="s">
        <v>437</v>
      </c>
      <c r="I24" s="215">
        <v>770</v>
      </c>
      <c r="J24" s="216">
        <v>8.5999999999999993E-2</v>
      </c>
      <c r="K24" s="216">
        <f>ROUND(J24/L24,6)</f>
        <v>0.19545499999999999</v>
      </c>
      <c r="L24" s="216">
        <v>0.44</v>
      </c>
      <c r="N24" s="100" t="s">
        <v>444</v>
      </c>
    </row>
    <row r="25" spans="1:18" ht="18" hidden="1">
      <c r="A25" s="28"/>
      <c r="C25" s="103" t="s">
        <v>436</v>
      </c>
      <c r="D25" s="221" t="s">
        <v>432</v>
      </c>
      <c r="E25" s="221">
        <v>0.13</v>
      </c>
      <c r="H25" s="104" t="s">
        <v>439</v>
      </c>
      <c r="I25" s="215">
        <v>543</v>
      </c>
      <c r="J25" s="216">
        <v>6.2E-2</v>
      </c>
      <c r="K25" s="216">
        <f>ROUND(J25/L25,6)</f>
        <v>0.19375000000000001</v>
      </c>
      <c r="L25" s="216">
        <v>0.32</v>
      </c>
      <c r="N25" s="83">
        <v>30</v>
      </c>
    </row>
    <row r="26" spans="1:18" hidden="1">
      <c r="A26" s="28"/>
      <c r="C26" s="103" t="s">
        <v>436</v>
      </c>
      <c r="D26" s="221" t="s">
        <v>435</v>
      </c>
      <c r="E26" s="222">
        <v>0.90700000000000003</v>
      </c>
      <c r="H26" s="104" t="s">
        <v>441</v>
      </c>
      <c r="I26" s="216">
        <v>818</v>
      </c>
      <c r="J26" s="216">
        <v>8.7999999999999995E-2</v>
      </c>
      <c r="K26" s="216">
        <f>ROUND(J26/L26,6)</f>
        <v>0.19555600000000001</v>
      </c>
      <c r="L26" s="216">
        <v>0.45</v>
      </c>
    </row>
    <row r="27" spans="1:18" ht="30" hidden="1">
      <c r="A27" s="28"/>
      <c r="C27" s="103" t="s">
        <v>436</v>
      </c>
      <c r="D27" s="221" t="s">
        <v>438</v>
      </c>
      <c r="E27" s="222">
        <v>0.45600000000000002</v>
      </c>
      <c r="H27" s="211"/>
      <c r="I27" s="211"/>
      <c r="J27" s="211"/>
      <c r="K27" s="211"/>
      <c r="L27" s="211"/>
      <c r="N27" s="14" t="s">
        <v>123</v>
      </c>
    </row>
    <row r="28" spans="1:18" hidden="1">
      <c r="A28" s="28"/>
      <c r="C28" s="103" t="s">
        <v>436</v>
      </c>
      <c r="D28" s="221" t="s">
        <v>440</v>
      </c>
      <c r="E28" s="223">
        <v>0.58899999999999997</v>
      </c>
      <c r="H28" s="212"/>
      <c r="I28" s="213"/>
      <c r="J28" s="213"/>
      <c r="K28" s="213"/>
      <c r="L28" s="212"/>
      <c r="N28" s="19" t="s">
        <v>164</v>
      </c>
    </row>
    <row r="29" spans="1:18" hidden="1">
      <c r="A29" s="28"/>
      <c r="C29" s="103" t="s">
        <v>436</v>
      </c>
      <c r="D29" s="221" t="s">
        <v>442</v>
      </c>
      <c r="E29" s="223">
        <v>0.42799999999999999</v>
      </c>
      <c r="H29" s="212"/>
      <c r="I29" s="212"/>
      <c r="J29" s="212"/>
      <c r="K29" s="212"/>
      <c r="L29" s="212"/>
      <c r="N29" s="19" t="s">
        <v>170</v>
      </c>
    </row>
    <row r="30" spans="1:18" hidden="1">
      <c r="A30" s="28"/>
      <c r="C30" s="103" t="s">
        <v>436</v>
      </c>
      <c r="D30" s="221" t="s">
        <v>443</v>
      </c>
      <c r="E30" s="221">
        <v>1.51</v>
      </c>
      <c r="H30" s="212"/>
      <c r="I30" s="212"/>
      <c r="J30" s="212"/>
      <c r="K30" s="212"/>
      <c r="L30" s="212"/>
    </row>
    <row r="31" spans="1:18">
      <c r="A31" s="98"/>
      <c r="B31" s="98"/>
      <c r="C31" s="98"/>
      <c r="D31" s="98"/>
      <c r="E31" s="98"/>
      <c r="F31" s="98"/>
      <c r="G31" s="98"/>
      <c r="H31" s="98"/>
      <c r="I31" s="98"/>
      <c r="J31" s="98"/>
      <c r="K31" s="98"/>
      <c r="L31" s="98"/>
      <c r="M31" s="98"/>
      <c r="N31" s="98"/>
      <c r="O31" s="98"/>
      <c r="P31" s="98"/>
      <c r="Q31" s="98"/>
      <c r="R31" s="98"/>
    </row>
    <row r="32" spans="1:18" ht="16.5" customHeight="1">
      <c r="A32" s="98"/>
      <c r="B32" s="98"/>
      <c r="C32" s="98"/>
      <c r="D32" s="98"/>
      <c r="E32" s="98"/>
      <c r="F32" s="98"/>
      <c r="G32" s="98"/>
      <c r="H32" s="98"/>
      <c r="I32" s="98"/>
      <c r="J32" s="98"/>
      <c r="K32" s="98"/>
      <c r="L32" s="98"/>
      <c r="M32" s="98"/>
      <c r="N32" s="98"/>
      <c r="O32" s="98"/>
      <c r="P32" s="98"/>
      <c r="Q32" s="98"/>
      <c r="R32" s="98"/>
    </row>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row r="317" s="97" customFormat="1"/>
    <row r="318" s="97" customFormat="1"/>
    <row r="319" s="97" customFormat="1"/>
    <row r="320" s="97" customFormat="1"/>
    <row r="321" s="97" customFormat="1"/>
    <row r="322" s="97" customFormat="1"/>
    <row r="323" s="97" customFormat="1"/>
    <row r="324" s="97" customFormat="1"/>
    <row r="325" s="97" customFormat="1"/>
    <row r="326" s="97" customFormat="1"/>
    <row r="327" s="97" customFormat="1"/>
    <row r="328" s="97" customFormat="1"/>
    <row r="329" s="97" customFormat="1"/>
    <row r="330" s="97" customFormat="1"/>
    <row r="331" s="97" customFormat="1"/>
    <row r="332" s="97" customFormat="1"/>
    <row r="333" s="97" customFormat="1"/>
    <row r="334" s="97" customFormat="1"/>
    <row r="335" s="97" customFormat="1"/>
    <row r="336" s="97" customFormat="1"/>
    <row r="337" s="97" customFormat="1"/>
    <row r="338" s="97" customFormat="1"/>
    <row r="339" s="97" customFormat="1"/>
    <row r="340" s="97" customFormat="1"/>
    <row r="341" s="97" customFormat="1"/>
    <row r="342" s="97" customFormat="1"/>
    <row r="343" s="97" customFormat="1"/>
    <row r="344" s="97" customFormat="1"/>
    <row r="345" s="97" customFormat="1"/>
    <row r="346" s="97" customFormat="1"/>
    <row r="347" s="97" customFormat="1"/>
    <row r="348" s="97" customFormat="1"/>
    <row r="349" s="97" customFormat="1"/>
    <row r="350" s="97" customFormat="1"/>
    <row r="351" s="97" customFormat="1"/>
    <row r="352" s="97" customFormat="1"/>
    <row r="353" s="97" customFormat="1"/>
    <row r="354" s="97" customFormat="1"/>
    <row r="355" s="97" customFormat="1"/>
    <row r="356" s="97" customFormat="1"/>
    <row r="357" s="97" customFormat="1"/>
    <row r="358" s="97" customFormat="1"/>
    <row r="359" s="97" customFormat="1"/>
    <row r="360" s="97" customFormat="1"/>
    <row r="361" s="97" customFormat="1"/>
    <row r="362" s="97" customFormat="1"/>
    <row r="363" s="97" customFormat="1"/>
    <row r="364" s="97" customFormat="1"/>
    <row r="365" s="97" customFormat="1"/>
    <row r="366" s="97" customFormat="1"/>
    <row r="367" s="97" customFormat="1"/>
    <row r="368" s="97" customFormat="1"/>
    <row r="369" s="97" customFormat="1"/>
    <row r="370" s="97" customFormat="1"/>
    <row r="371" s="97" customFormat="1"/>
    <row r="372" s="97" customFormat="1"/>
    <row r="373" s="97" customFormat="1"/>
    <row r="374" s="97" customFormat="1"/>
    <row r="375" s="97" customFormat="1"/>
    <row r="376" s="97" customFormat="1"/>
    <row r="377" s="97" customFormat="1"/>
    <row r="378" s="97" customFormat="1"/>
    <row r="379" s="97" customFormat="1"/>
    <row r="380" s="97" customFormat="1"/>
    <row r="381" s="97" customFormat="1"/>
    <row r="382" s="97" customFormat="1"/>
    <row r="383" s="97" customFormat="1"/>
    <row r="384" s="97" customFormat="1"/>
    <row r="385" s="97" customFormat="1"/>
    <row r="386" s="97" customFormat="1"/>
    <row r="387" s="97" customFormat="1"/>
    <row r="388" s="97" customFormat="1"/>
    <row r="389" s="97" customFormat="1"/>
    <row r="390" s="97" customFormat="1"/>
    <row r="391" s="97" customFormat="1"/>
    <row r="392" s="97" customFormat="1"/>
    <row r="393" s="97" customFormat="1"/>
    <row r="394" s="97" customFormat="1"/>
    <row r="395" s="97" customFormat="1"/>
    <row r="396" s="97" customFormat="1"/>
    <row r="397" s="97" customFormat="1"/>
    <row r="398" s="97" customFormat="1"/>
    <row r="399" s="97" customFormat="1"/>
    <row r="400" s="97" customFormat="1"/>
    <row r="401" s="97" customFormat="1"/>
    <row r="402" s="97" customFormat="1"/>
    <row r="403" s="97" customFormat="1"/>
    <row r="404" s="97" customFormat="1"/>
    <row r="405" s="97" customFormat="1"/>
    <row r="406" s="97" customFormat="1"/>
    <row r="407" s="97" customFormat="1"/>
    <row r="408" s="97" customFormat="1"/>
    <row r="409" s="97" customFormat="1"/>
    <row r="410" s="97" customFormat="1"/>
    <row r="411" s="97" customFormat="1"/>
    <row r="412" s="97" customFormat="1"/>
    <row r="413" s="97" customFormat="1"/>
    <row r="414" s="97" customFormat="1"/>
    <row r="415" s="97" customFormat="1"/>
    <row r="416" s="97" customFormat="1"/>
    <row r="417" s="97" customFormat="1"/>
    <row r="418" s="97" customFormat="1"/>
    <row r="419" s="97" customFormat="1"/>
    <row r="420" s="97" customFormat="1"/>
    <row r="421" s="97" customFormat="1"/>
    <row r="422" s="97" customFormat="1"/>
    <row r="423" s="97" customFormat="1"/>
    <row r="424" s="97" customFormat="1"/>
    <row r="425" s="97" customFormat="1"/>
    <row r="426" s="97" customFormat="1"/>
    <row r="427" s="97" customFormat="1"/>
    <row r="428" s="97" customFormat="1"/>
    <row r="429" s="97" customFormat="1"/>
    <row r="430" s="97" customFormat="1"/>
    <row r="431" s="97" customFormat="1"/>
    <row r="432" s="97" customFormat="1"/>
    <row r="433" s="97" customFormat="1"/>
    <row r="434" s="97" customFormat="1"/>
    <row r="435" s="97" customFormat="1"/>
    <row r="436" s="97" customFormat="1"/>
    <row r="437" s="97" customFormat="1"/>
    <row r="438" s="97" customFormat="1"/>
    <row r="439" s="97" customFormat="1"/>
    <row r="440" s="97" customFormat="1"/>
    <row r="441" s="97" customFormat="1"/>
    <row r="442" s="97" customFormat="1"/>
    <row r="443" s="97" customFormat="1"/>
    <row r="444" s="97" customFormat="1"/>
    <row r="445" s="97" customFormat="1"/>
    <row r="446" s="97" customFormat="1"/>
    <row r="447" s="97" customFormat="1"/>
    <row r="448" s="97" customFormat="1"/>
    <row r="449" s="97" customFormat="1"/>
    <row r="450" s="97" customFormat="1"/>
    <row r="451" s="97" customFormat="1"/>
    <row r="452" s="97" customFormat="1"/>
    <row r="453" s="97" customFormat="1"/>
    <row r="454" s="97" customFormat="1"/>
    <row r="455" s="97" customFormat="1"/>
    <row r="456" s="97" customFormat="1"/>
    <row r="457" s="97" customFormat="1"/>
    <row r="458" s="97" customFormat="1"/>
    <row r="459" s="97" customFormat="1"/>
    <row r="460" s="97" customFormat="1"/>
    <row r="461" s="97" customFormat="1"/>
    <row r="462" s="97" customFormat="1"/>
    <row r="463" s="97" customFormat="1"/>
    <row r="464" s="97" customFormat="1"/>
    <row r="465" s="97" customFormat="1"/>
    <row r="466" s="97" customFormat="1"/>
    <row r="467" s="97" customFormat="1"/>
    <row r="468" s="97" customFormat="1"/>
    <row r="469" s="97" customFormat="1"/>
    <row r="470" s="97" customFormat="1"/>
    <row r="471" s="97" customFormat="1"/>
    <row r="472" s="97" customFormat="1"/>
    <row r="473" s="97" customFormat="1"/>
    <row r="474" s="97" customFormat="1"/>
    <row r="475" s="97" customFormat="1"/>
    <row r="476" s="97" customFormat="1"/>
    <row r="477" s="97" customFormat="1"/>
    <row r="478" s="97" customFormat="1"/>
    <row r="479" s="97" customFormat="1"/>
    <row r="480" s="97" customFormat="1"/>
    <row r="481" s="97" customFormat="1"/>
    <row r="482" s="97" customFormat="1"/>
    <row r="483" s="97" customFormat="1"/>
    <row r="484" s="97" customFormat="1"/>
    <row r="485" s="97" customFormat="1"/>
    <row r="486" s="97" customFormat="1"/>
    <row r="487" s="97" customFormat="1"/>
    <row r="488" s="97" customFormat="1"/>
    <row r="489" s="97" customFormat="1"/>
    <row r="490" s="97" customFormat="1"/>
    <row r="491" s="97" customFormat="1"/>
    <row r="492" s="97" customFormat="1"/>
    <row r="493" s="97" customFormat="1"/>
    <row r="494" s="97" customFormat="1"/>
    <row r="495" s="97" customFormat="1"/>
    <row r="496" s="97" customFormat="1"/>
    <row r="497" s="97" customFormat="1"/>
    <row r="498" s="97" customFormat="1"/>
    <row r="499" s="97" customFormat="1"/>
    <row r="500" s="97" customFormat="1"/>
    <row r="501" s="97" customFormat="1"/>
    <row r="502" s="97" customFormat="1"/>
    <row r="503" s="97" customFormat="1"/>
    <row r="504" s="97" customFormat="1"/>
    <row r="505" s="97" customFormat="1"/>
    <row r="506" s="97" customFormat="1"/>
    <row r="507" s="97" customFormat="1"/>
    <row r="508" s="97" customFormat="1"/>
    <row r="509" s="97" customFormat="1"/>
    <row r="510" s="97" customFormat="1"/>
    <row r="511" s="97" customFormat="1"/>
    <row r="512" s="97" customFormat="1"/>
    <row r="513" s="97" customFormat="1"/>
    <row r="514" s="97" customFormat="1"/>
    <row r="515" s="97" customFormat="1"/>
    <row r="516" s="97" customFormat="1"/>
    <row r="517" s="97" customFormat="1"/>
    <row r="518" s="97" customFormat="1"/>
    <row r="519" s="97" customFormat="1"/>
    <row r="520" s="97" customFormat="1"/>
    <row r="521" s="97" customFormat="1"/>
    <row r="522" s="97" customFormat="1"/>
    <row r="523" s="97" customFormat="1"/>
    <row r="524" s="97" customFormat="1"/>
    <row r="525" s="97" customFormat="1"/>
    <row r="526" s="97" customFormat="1"/>
    <row r="527" s="97" customFormat="1"/>
    <row r="528" s="97" customFormat="1"/>
    <row r="529" s="97" customFormat="1"/>
    <row r="530" s="97" customFormat="1"/>
    <row r="531" s="97" customFormat="1"/>
    <row r="532" s="97" customFormat="1"/>
    <row r="533" s="97" customFormat="1"/>
    <row r="534" s="97" customFormat="1"/>
    <row r="535" s="97" customFormat="1"/>
    <row r="536" s="97" customFormat="1"/>
    <row r="537" s="97" customFormat="1"/>
    <row r="538" s="97" customFormat="1"/>
    <row r="539" s="97" customFormat="1"/>
    <row r="540" s="97" customFormat="1"/>
    <row r="541" s="97" customFormat="1"/>
    <row r="542" s="97" customFormat="1"/>
    <row r="543" s="97" customFormat="1"/>
    <row r="544" s="97" customFormat="1"/>
    <row r="545" s="97" customFormat="1"/>
    <row r="546" s="97" customFormat="1"/>
    <row r="547" s="97" customFormat="1"/>
    <row r="548" s="97" customFormat="1"/>
    <row r="549" s="97" customFormat="1"/>
    <row r="550" s="97" customFormat="1"/>
    <row r="551" s="97" customFormat="1"/>
    <row r="552" s="97" customFormat="1"/>
    <row r="553" s="97" customFormat="1"/>
    <row r="554" s="97" customFormat="1"/>
    <row r="555" s="97" customFormat="1"/>
    <row r="556" s="97" customFormat="1"/>
    <row r="557" s="97" customFormat="1"/>
    <row r="558" s="97" customFormat="1"/>
    <row r="559" s="97" customFormat="1"/>
    <row r="560" s="97" customFormat="1"/>
    <row r="561" s="97" customFormat="1"/>
    <row r="562" s="97" customFormat="1"/>
    <row r="563" s="97" customFormat="1"/>
    <row r="564" s="97" customFormat="1"/>
    <row r="565" s="97" customFormat="1"/>
    <row r="566" s="97" customFormat="1"/>
    <row r="567" s="97" customFormat="1"/>
    <row r="568" s="97" customFormat="1"/>
    <row r="569" s="97" customFormat="1"/>
    <row r="570" s="97" customFormat="1"/>
    <row r="571" s="97" customFormat="1"/>
    <row r="572" s="97" customFormat="1"/>
    <row r="573" s="97" customFormat="1"/>
    <row r="574" s="97" customFormat="1"/>
    <row r="575" s="97" customFormat="1"/>
    <row r="576" s="97" customFormat="1"/>
    <row r="577" s="97" customFormat="1"/>
    <row r="578" s="97" customFormat="1"/>
    <row r="579" s="97" customFormat="1"/>
    <row r="580" s="97" customFormat="1"/>
    <row r="581" s="97" customFormat="1"/>
    <row r="582" s="97" customFormat="1"/>
    <row r="583" s="97" customFormat="1"/>
    <row r="584" s="97" customFormat="1"/>
    <row r="585" s="97" customFormat="1"/>
    <row r="586" s="97" customFormat="1"/>
    <row r="587" s="97" customFormat="1"/>
    <row r="588" s="97" customFormat="1"/>
    <row r="589" s="97" customFormat="1"/>
    <row r="590" s="97" customFormat="1"/>
    <row r="591" s="97" customFormat="1"/>
    <row r="592" s="97" customFormat="1"/>
    <row r="593" s="97" customFormat="1"/>
    <row r="594" s="97" customFormat="1"/>
    <row r="595" s="97" customFormat="1"/>
    <row r="596" s="97" customFormat="1"/>
    <row r="597" s="97" customFormat="1"/>
    <row r="598" s="97" customFormat="1"/>
    <row r="599" s="97" customFormat="1"/>
    <row r="600" s="97" customFormat="1"/>
    <row r="601" s="97" customFormat="1"/>
    <row r="602" s="97" customFormat="1"/>
    <row r="603" s="97" customFormat="1"/>
    <row r="604" s="97" customFormat="1"/>
    <row r="605" s="97" customFormat="1"/>
    <row r="606" s="97" customFormat="1"/>
    <row r="607" s="97" customFormat="1"/>
    <row r="608" s="97" customFormat="1"/>
    <row r="609" s="97" customFormat="1"/>
    <row r="610" s="97" customFormat="1"/>
    <row r="611" s="97" customFormat="1"/>
    <row r="612" s="97" customFormat="1"/>
    <row r="613" s="97" customFormat="1"/>
    <row r="614" s="97" customFormat="1"/>
    <row r="615" s="97" customFormat="1"/>
    <row r="616" s="97" customFormat="1"/>
    <row r="617" s="97" customFormat="1"/>
    <row r="618" s="97" customFormat="1"/>
    <row r="619" s="97" customFormat="1"/>
    <row r="620" s="97" customFormat="1"/>
    <row r="621" s="97" customFormat="1"/>
    <row r="622" s="97" customFormat="1"/>
    <row r="623" s="97" customFormat="1"/>
    <row r="624" s="97" customFormat="1"/>
    <row r="625" s="97" customFormat="1"/>
    <row r="626" s="97" customFormat="1"/>
    <row r="627" s="97" customFormat="1"/>
    <row r="628" s="97" customFormat="1"/>
    <row r="629" s="97" customFormat="1"/>
    <row r="630" s="97" customFormat="1"/>
    <row r="631" s="97" customFormat="1"/>
    <row r="632" s="97" customFormat="1"/>
    <row r="633" s="97" customFormat="1"/>
    <row r="634" s="97" customFormat="1"/>
    <row r="635" s="97" customFormat="1"/>
    <row r="636" s="97" customFormat="1"/>
    <row r="637" s="97" customFormat="1"/>
    <row r="638" s="97" customFormat="1"/>
    <row r="639" s="97" customFormat="1"/>
    <row r="640" s="97" customFormat="1"/>
    <row r="641" s="97" customFormat="1"/>
    <row r="642" s="97" customFormat="1"/>
    <row r="643" s="97" customFormat="1"/>
    <row r="644" s="97" customFormat="1"/>
    <row r="645" s="97" customFormat="1"/>
    <row r="646" s="97" customFormat="1"/>
    <row r="647" s="97" customFormat="1"/>
    <row r="648" s="97" customFormat="1"/>
    <row r="649" s="97" customFormat="1"/>
    <row r="650" s="97" customFormat="1"/>
    <row r="651" s="97" customFormat="1"/>
    <row r="652" s="97" customFormat="1"/>
    <row r="653" s="97" customFormat="1"/>
    <row r="654" s="97" customFormat="1"/>
    <row r="655" s="97" customFormat="1"/>
    <row r="656" s="97" customFormat="1"/>
    <row r="657" s="97" customFormat="1"/>
    <row r="658" s="97" customFormat="1"/>
    <row r="659" s="97" customFormat="1"/>
    <row r="660" s="97" customFormat="1"/>
    <row r="661" s="97" customFormat="1"/>
    <row r="662" s="97" customFormat="1"/>
    <row r="663" s="97" customFormat="1"/>
    <row r="664" s="97" customFormat="1"/>
    <row r="665" s="97" customFormat="1"/>
    <row r="666" s="97" customFormat="1"/>
    <row r="667" s="97" customFormat="1"/>
    <row r="668" s="97" customFormat="1"/>
    <row r="669" s="97" customFormat="1"/>
    <row r="670" s="97" customFormat="1"/>
    <row r="671" s="97" customFormat="1"/>
    <row r="672" s="97" customFormat="1"/>
    <row r="673" s="97" customFormat="1"/>
    <row r="674" s="97" customFormat="1"/>
    <row r="675" s="97" customFormat="1"/>
    <row r="676" s="97" customFormat="1"/>
    <row r="677" s="97" customFormat="1"/>
    <row r="678" s="97" customFormat="1"/>
    <row r="679" s="97" customFormat="1"/>
    <row r="680" s="97" customFormat="1"/>
    <row r="681" s="97" customFormat="1"/>
    <row r="682" s="97" customFormat="1"/>
    <row r="683" s="97" customFormat="1"/>
    <row r="684" s="97" customFormat="1"/>
    <row r="685" s="97" customFormat="1"/>
    <row r="686" s="97" customFormat="1"/>
    <row r="687" s="97" customFormat="1"/>
    <row r="688" s="97" customFormat="1"/>
    <row r="689" s="97" customFormat="1"/>
    <row r="690" s="97" customFormat="1"/>
    <row r="691" s="97" customFormat="1"/>
    <row r="692" s="97" customFormat="1"/>
    <row r="693" s="97" customFormat="1"/>
    <row r="694" s="97" customFormat="1"/>
    <row r="695" s="97" customFormat="1"/>
    <row r="696" s="97" customFormat="1"/>
    <row r="697" s="97" customFormat="1"/>
    <row r="698" s="97" customFormat="1"/>
    <row r="699" s="97" customFormat="1"/>
    <row r="700" s="97" customFormat="1"/>
    <row r="701" s="97" customFormat="1"/>
    <row r="702" s="97" customFormat="1"/>
    <row r="703" s="97" customFormat="1"/>
    <row r="704" s="97" customFormat="1"/>
    <row r="705" s="97" customFormat="1"/>
    <row r="706" s="97" customFormat="1"/>
    <row r="707" s="97" customFormat="1"/>
    <row r="708" s="97" customFormat="1"/>
    <row r="709" s="97" customFormat="1"/>
    <row r="710" s="97" customFormat="1"/>
    <row r="711" s="97" customFormat="1"/>
    <row r="712" s="97" customFormat="1"/>
    <row r="713" s="97" customFormat="1"/>
    <row r="714" s="97" customFormat="1"/>
    <row r="715" s="97" customFormat="1"/>
    <row r="716" s="97" customFormat="1"/>
    <row r="717" s="97" customFormat="1"/>
    <row r="718" s="97" customFormat="1"/>
    <row r="719" s="97" customFormat="1"/>
    <row r="720" s="97" customFormat="1"/>
    <row r="721" s="97" customFormat="1"/>
    <row r="722" s="97" customFormat="1"/>
    <row r="723" s="97" customFormat="1"/>
    <row r="724" s="97" customFormat="1"/>
    <row r="725" s="97" customFormat="1"/>
    <row r="726" s="97" customFormat="1"/>
    <row r="727" s="97" customFormat="1"/>
    <row r="728" s="97" customFormat="1"/>
    <row r="729" s="97" customFormat="1"/>
    <row r="730" s="97" customFormat="1"/>
    <row r="731" s="97" customFormat="1"/>
    <row r="732" s="97" customFormat="1"/>
    <row r="733" s="97" customFormat="1"/>
    <row r="734" s="97" customFormat="1"/>
    <row r="735" s="97" customFormat="1"/>
    <row r="736" s="97" customFormat="1"/>
    <row r="737" s="97" customFormat="1"/>
    <row r="738" s="97" customFormat="1"/>
    <row r="739" s="97" customFormat="1"/>
    <row r="740" s="97" customFormat="1"/>
    <row r="741" s="97" customFormat="1"/>
    <row r="742" s="97" customFormat="1"/>
    <row r="743" s="97" customFormat="1"/>
    <row r="744" s="97" customFormat="1"/>
    <row r="745" s="97" customFormat="1"/>
    <row r="746" s="97" customFormat="1"/>
    <row r="747" s="97" customFormat="1"/>
    <row r="748" s="97" customFormat="1"/>
    <row r="749" s="97" customFormat="1"/>
    <row r="750" s="97" customFormat="1"/>
    <row r="751" s="97" customFormat="1"/>
    <row r="752" s="97" customFormat="1"/>
    <row r="753" s="97" customFormat="1"/>
    <row r="754" s="97" customFormat="1"/>
    <row r="755" s="97" customFormat="1"/>
    <row r="756" s="97" customFormat="1"/>
    <row r="757" s="97" customFormat="1"/>
    <row r="758" s="97" customFormat="1"/>
    <row r="759" s="97" customFormat="1"/>
    <row r="760" s="97" customFormat="1"/>
    <row r="761" s="97" customFormat="1"/>
    <row r="762" s="97" customFormat="1"/>
    <row r="763" s="97" customFormat="1"/>
    <row r="764" s="97" customFormat="1"/>
    <row r="765" s="97" customFormat="1"/>
    <row r="766" s="97" customFormat="1"/>
    <row r="767" s="97" customFormat="1"/>
    <row r="768" s="97" customFormat="1"/>
    <row r="769" s="97" customFormat="1"/>
    <row r="770" s="97" customFormat="1"/>
    <row r="771" s="97" customFormat="1"/>
    <row r="772" s="97" customFormat="1"/>
    <row r="773" s="97" customFormat="1"/>
    <row r="774" s="97" customFormat="1"/>
    <row r="775" s="97" customFormat="1"/>
    <row r="776" s="97" customFormat="1"/>
    <row r="777" s="97" customFormat="1"/>
    <row r="778" s="97" customFormat="1"/>
    <row r="779" s="97" customFormat="1"/>
    <row r="780" s="97" customFormat="1"/>
    <row r="781" s="97" customFormat="1"/>
    <row r="782" s="97" customFormat="1"/>
    <row r="783" s="97" customFormat="1"/>
    <row r="784" s="97" customFormat="1"/>
    <row r="785" s="97" customFormat="1"/>
    <row r="786" s="97" customFormat="1"/>
    <row r="787" s="97" customFormat="1"/>
    <row r="788" s="97" customFormat="1"/>
    <row r="789" s="97" customFormat="1"/>
    <row r="790" s="97" customFormat="1"/>
    <row r="791" s="97" customFormat="1"/>
    <row r="792" s="97" customFormat="1"/>
    <row r="793" s="97" customFormat="1"/>
    <row r="794" s="97" customFormat="1"/>
    <row r="795" s="97" customFormat="1"/>
    <row r="796" s="97" customFormat="1"/>
    <row r="797" s="97" customFormat="1"/>
    <row r="798" s="97" customFormat="1"/>
    <row r="799" s="97" customFormat="1"/>
    <row r="800" s="97" customFormat="1"/>
    <row r="801" s="97" customFormat="1"/>
    <row r="802" s="97" customFormat="1"/>
    <row r="803" s="97" customFormat="1"/>
    <row r="804" s="97" customFormat="1"/>
    <row r="805" s="97" customFormat="1"/>
    <row r="806" s="97" customFormat="1"/>
    <row r="807" s="97" customFormat="1"/>
    <row r="808" s="97" customFormat="1"/>
    <row r="809" s="97" customFormat="1"/>
    <row r="810" s="97" customFormat="1"/>
    <row r="811" s="97" customFormat="1"/>
    <row r="812" s="97" customFormat="1"/>
    <row r="813" s="97" customFormat="1"/>
    <row r="814" s="97" customFormat="1"/>
    <row r="815" s="97" customFormat="1"/>
    <row r="816" s="97" customFormat="1"/>
    <row r="817" s="97" customFormat="1"/>
    <row r="818" s="97" customFormat="1"/>
    <row r="819" s="97" customFormat="1"/>
    <row r="820" s="97" customFormat="1"/>
    <row r="821" s="97" customFormat="1"/>
    <row r="822" s="97" customFormat="1"/>
    <row r="823" s="97" customFormat="1"/>
    <row r="824" s="97" customFormat="1"/>
    <row r="825" s="97" customFormat="1"/>
    <row r="826" s="97" customFormat="1"/>
    <row r="827" s="97" customFormat="1"/>
    <row r="828" s="97" customFormat="1"/>
    <row r="829" s="97" customFormat="1"/>
    <row r="830" s="97" customFormat="1"/>
    <row r="831" s="97" customFormat="1"/>
    <row r="832" s="97" customFormat="1"/>
    <row r="833" s="97" customFormat="1"/>
    <row r="834" s="97" customFormat="1"/>
    <row r="835" s="97" customFormat="1"/>
    <row r="836" s="97" customFormat="1"/>
    <row r="837" s="97" customFormat="1"/>
    <row r="838" s="97" customFormat="1"/>
    <row r="839" s="97" customFormat="1"/>
    <row r="840" s="97" customFormat="1"/>
    <row r="841" s="97" customFormat="1"/>
    <row r="842" s="97" customFormat="1"/>
    <row r="843" s="97" customFormat="1"/>
    <row r="844" s="97" customFormat="1"/>
    <row r="845" s="97" customFormat="1"/>
    <row r="846" s="97" customFormat="1"/>
    <row r="847" s="97" customFormat="1"/>
    <row r="848" s="97" customFormat="1"/>
    <row r="849" s="97" customFormat="1"/>
    <row r="850" s="97" customFormat="1"/>
    <row r="851" s="97" customFormat="1"/>
    <row r="852" s="97" customFormat="1"/>
    <row r="853" s="97" customFormat="1"/>
    <row r="854" s="97" customFormat="1"/>
    <row r="855" s="97" customFormat="1"/>
    <row r="856" s="97" customFormat="1"/>
    <row r="857" s="97" customFormat="1"/>
    <row r="858" s="97" customFormat="1"/>
    <row r="859" s="97" customFormat="1"/>
    <row r="860" s="97" customFormat="1"/>
    <row r="861" s="97" customFormat="1"/>
    <row r="862" s="97" customFormat="1"/>
    <row r="863" s="97" customFormat="1"/>
    <row r="864" s="97" customFormat="1"/>
    <row r="865" s="97" customFormat="1"/>
    <row r="866" s="97" customFormat="1"/>
    <row r="867" s="97" customFormat="1"/>
    <row r="868" s="97" customFormat="1"/>
    <row r="869" s="97" customFormat="1"/>
    <row r="870" s="97" customFormat="1"/>
    <row r="871" s="97" customFormat="1"/>
    <row r="872" s="97" customFormat="1"/>
    <row r="873" s="97" customFormat="1"/>
    <row r="874" s="97" customFormat="1"/>
    <row r="875" s="97" customFormat="1"/>
    <row r="876" s="97" customFormat="1"/>
    <row r="877" s="97" customFormat="1"/>
    <row r="878" s="97" customFormat="1"/>
    <row r="879" s="97" customFormat="1"/>
    <row r="880" s="97" customFormat="1"/>
    <row r="881" s="97" customFormat="1"/>
    <row r="882" s="97" customFormat="1"/>
    <row r="883" s="97" customFormat="1"/>
    <row r="884" s="97" customFormat="1"/>
    <row r="885" s="97" customFormat="1"/>
    <row r="886" s="97" customFormat="1"/>
    <row r="887" s="97" customFormat="1"/>
    <row r="888" s="97" customFormat="1"/>
    <row r="889" s="97" customFormat="1"/>
    <row r="890" s="97" customFormat="1"/>
    <row r="891" s="97" customFormat="1"/>
    <row r="892" s="97" customFormat="1"/>
    <row r="893" s="97" customFormat="1"/>
    <row r="894" s="97" customFormat="1"/>
    <row r="895" s="97" customFormat="1"/>
    <row r="896" s="97" customFormat="1"/>
    <row r="897" s="97" customFormat="1"/>
    <row r="898" s="97" customFormat="1"/>
    <row r="899" s="97" customFormat="1"/>
    <row r="900" s="97" customFormat="1"/>
    <row r="901" s="97" customFormat="1"/>
    <row r="902" s="97" customFormat="1"/>
    <row r="903" s="97" customFormat="1"/>
    <row r="904" s="97" customFormat="1"/>
    <row r="905" s="97" customFormat="1"/>
    <row r="906" s="97" customFormat="1"/>
    <row r="907" s="97" customFormat="1"/>
    <row r="908" s="97" customFormat="1"/>
    <row r="909" s="97" customFormat="1"/>
    <row r="910" s="97" customFormat="1"/>
    <row r="911" s="97" customFormat="1"/>
    <row r="912" s="97" customFormat="1"/>
    <row r="913" s="97" customFormat="1"/>
    <row r="914" s="97" customFormat="1"/>
    <row r="915" s="97" customFormat="1"/>
    <row r="916" s="97" customFormat="1"/>
    <row r="917" s="97" customFormat="1"/>
    <row r="918" s="97" customFormat="1"/>
    <row r="919" s="97" customFormat="1"/>
    <row r="920" s="97" customFormat="1"/>
    <row r="921" s="97" customFormat="1"/>
    <row r="922" s="97" customFormat="1"/>
    <row r="923" s="97" customFormat="1"/>
    <row r="924" s="97" customFormat="1"/>
    <row r="925" s="97" customFormat="1"/>
    <row r="926" s="97" customFormat="1"/>
    <row r="927" s="97" customFormat="1"/>
    <row r="928" s="97" customFormat="1"/>
    <row r="929" s="97" customFormat="1"/>
    <row r="930" s="97" customFormat="1"/>
    <row r="931" s="97" customFormat="1"/>
    <row r="932" s="97" customFormat="1"/>
    <row r="933" s="97" customFormat="1"/>
    <row r="934" s="97" customFormat="1"/>
    <row r="935" s="97" customFormat="1"/>
    <row r="936" s="97" customFormat="1"/>
    <row r="937" s="97" customFormat="1"/>
    <row r="938" s="97" customFormat="1"/>
    <row r="939" s="97" customFormat="1"/>
    <row r="940" s="97" customFormat="1"/>
    <row r="941" s="97" customFormat="1"/>
    <row r="942" s="97" customFormat="1"/>
    <row r="943" s="97" customFormat="1"/>
    <row r="944" s="97" customFormat="1"/>
    <row r="945" s="97" customFormat="1"/>
    <row r="946" s="97" customFormat="1"/>
    <row r="947" s="97" customFormat="1"/>
    <row r="948" s="97" customFormat="1"/>
    <row r="949" s="97" customFormat="1"/>
    <row r="950" s="97" customFormat="1"/>
    <row r="951" s="97" customFormat="1"/>
    <row r="952" s="97" customFormat="1"/>
    <row r="953" s="97" customFormat="1"/>
    <row r="954" s="97" customFormat="1"/>
    <row r="955" s="97" customFormat="1"/>
    <row r="956" s="97" customFormat="1"/>
    <row r="957" s="97" customFormat="1"/>
    <row r="958" s="97" customFormat="1"/>
    <row r="959" s="97" customFormat="1"/>
    <row r="960" s="97" customFormat="1"/>
    <row r="961" s="97" customFormat="1"/>
    <row r="962" s="97" customFormat="1"/>
    <row r="963" s="97" customFormat="1"/>
    <row r="964" s="97" customFormat="1"/>
    <row r="965" s="97" customFormat="1"/>
    <row r="966" s="97" customFormat="1"/>
    <row r="967" s="97" customFormat="1"/>
    <row r="968" s="97" customFormat="1"/>
    <row r="969" s="97" customFormat="1"/>
    <row r="970" s="97" customFormat="1"/>
    <row r="971" s="97" customFormat="1"/>
    <row r="972" s="97" customFormat="1"/>
    <row r="973" s="97" customFormat="1"/>
    <row r="974" s="97" customFormat="1"/>
    <row r="975" s="97" customFormat="1"/>
    <row r="976" s="97" customFormat="1"/>
    <row r="977" s="97" customFormat="1"/>
    <row r="978" s="97" customFormat="1"/>
    <row r="979" s="97" customFormat="1"/>
    <row r="980" s="97" customFormat="1"/>
    <row r="981" s="97" customFormat="1"/>
    <row r="982" s="97" customFormat="1"/>
    <row r="983" s="97" customFormat="1"/>
    <row r="984" s="97" customFormat="1"/>
    <row r="985" s="97" customFormat="1"/>
    <row r="986" s="97" customFormat="1"/>
    <row r="987" s="97" customFormat="1"/>
    <row r="988" s="97" customFormat="1"/>
    <row r="989" s="97" customFormat="1"/>
    <row r="990" s="97" customFormat="1"/>
    <row r="991" s="97" customFormat="1"/>
    <row r="992" s="97" customFormat="1"/>
    <row r="993" s="97" customFormat="1"/>
    <row r="994" s="97" customFormat="1"/>
    <row r="995" s="97" customFormat="1"/>
    <row r="996" s="97" customFormat="1"/>
    <row r="997" s="97" customFormat="1"/>
    <row r="998" s="97" customFormat="1"/>
    <row r="999" s="97" customFormat="1"/>
    <row r="1000" s="97" customFormat="1"/>
    <row r="1001" s="97" customFormat="1"/>
    <row r="1002" s="97" customFormat="1"/>
    <row r="1003" s="97" customFormat="1"/>
    <row r="1004" s="97" customFormat="1"/>
    <row r="1005" s="97" customFormat="1"/>
    <row r="1006" s="97" customFormat="1"/>
    <row r="1007" s="97" customFormat="1"/>
    <row r="1008" s="97" customFormat="1"/>
    <row r="1009" s="97" customFormat="1"/>
    <row r="1010" s="97" customFormat="1"/>
    <row r="1011" s="97" customFormat="1"/>
    <row r="1012" s="97" customFormat="1"/>
    <row r="1013" s="97" customFormat="1"/>
    <row r="1014" s="97" customFormat="1"/>
    <row r="1015" s="97" customFormat="1"/>
    <row r="1016" s="97" customFormat="1"/>
    <row r="1017" s="97" customFormat="1"/>
    <row r="1018" s="97" customFormat="1"/>
    <row r="1019" s="97" customFormat="1"/>
    <row r="1020" s="97" customFormat="1"/>
    <row r="1021" s="97" customFormat="1"/>
    <row r="1022" s="97" customFormat="1"/>
    <row r="1023" s="97" customFormat="1"/>
    <row r="1024" s="97" customFormat="1"/>
    <row r="1025" s="97" customFormat="1"/>
    <row r="1026" s="97" customFormat="1"/>
    <row r="1027" s="97" customFormat="1"/>
    <row r="1028" s="97" customFormat="1"/>
    <row r="1029" s="97" customFormat="1"/>
    <row r="1030" s="97" customFormat="1"/>
    <row r="1031" s="97" customFormat="1"/>
    <row r="1032" s="97" customFormat="1"/>
    <row r="1033" s="97" customFormat="1"/>
    <row r="1034" s="97" customFormat="1"/>
    <row r="1035" s="97" customFormat="1"/>
    <row r="1036" s="97" customFormat="1"/>
    <row r="1037" s="97" customFormat="1"/>
    <row r="1038" s="97" customFormat="1"/>
    <row r="1039" s="97" customFormat="1"/>
    <row r="1040" s="97" customFormat="1"/>
    <row r="1041" s="97" customFormat="1"/>
    <row r="1042" s="97" customFormat="1"/>
    <row r="1043" s="97" customFormat="1"/>
    <row r="1044" s="97" customFormat="1"/>
    <row r="1045" s="97" customFormat="1"/>
    <row r="1046" s="97" customFormat="1"/>
    <row r="1047" s="97" customFormat="1"/>
    <row r="1048" s="97" customFormat="1"/>
    <row r="1049" s="97" customFormat="1"/>
    <row r="1050" s="97" customFormat="1"/>
    <row r="1051" s="97" customFormat="1"/>
    <row r="1052" s="97" customFormat="1"/>
    <row r="1053" s="97" customFormat="1"/>
    <row r="1054" s="97" customFormat="1"/>
    <row r="1055" s="97" customFormat="1"/>
    <row r="1056" s="97" customFormat="1"/>
    <row r="1057" s="97" customFormat="1"/>
    <row r="1058" s="97" customFormat="1"/>
    <row r="1059" s="97" customFormat="1"/>
    <row r="1060" s="97" customFormat="1"/>
    <row r="1061" s="97" customFormat="1"/>
    <row r="1062" s="97" customFormat="1"/>
    <row r="1063" s="97" customFormat="1"/>
    <row r="1064" s="97" customFormat="1"/>
  </sheetData>
  <sheetProtection algorithmName="SHA-512" hashValue="a6sfFS5EEhJCKnfMmIUxQYlenjJT6zUZYkAzraI30owL9Gp0B3iI5y4tYZp4n/JiYZiqctQkfccoV7GMvWUQZA==" saltValue="jf9H7d66KONVKj1rmh2VtQ==" spinCount="100000" sheet="1" selectLockedCells="1"/>
  <mergeCells count="4">
    <mergeCell ref="H18:J18"/>
    <mergeCell ref="B3:C3"/>
    <mergeCell ref="D3:I4"/>
    <mergeCell ref="B2:N2"/>
  </mergeCells>
  <dataValidations count="3">
    <dataValidation type="list" allowBlank="1" showInputMessage="1" showErrorMessage="1" sqref="J8:J15" xr:uid="{284DCA96-1827-4BF5-927A-6FB3BBED3814}">
      <formula1>$H$20:$H$22</formula1>
    </dataValidation>
    <dataValidation type="list" allowBlank="1" showInputMessage="1" showErrorMessage="1" sqref="D8:D15" xr:uid="{00000000-0002-0000-0700-000001000000}">
      <formula1>$N$28:$N$29</formula1>
    </dataValidation>
    <dataValidation type="list" allowBlank="1" showInputMessage="1" showErrorMessage="1" sqref="H8:H15" xr:uid="{6B7B485D-6536-4ECF-A5C3-D1BAE1ABECCF}">
      <formula1>$F$19:$F$20</formula1>
    </dataValidation>
  </dataValidations>
  <hyperlinks>
    <hyperlink ref="B3" location="'Calculator Index'!A1" display="Return to Index" xr:uid="{00000000-0004-0000-0700-000000000000}"/>
    <hyperlink ref="B3:C3" location="'Project Summary'!A1" display="Return to Project Summary" xr:uid="{00000000-0004-0000-0700-000001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F912FBBFC2614E93178D43E62ED17B" ma:contentTypeVersion="" ma:contentTypeDescription="Create a new document." ma:contentTypeScope="" ma:versionID="10f22629883bab63e7425ab3cc37c3e0">
  <xsd:schema xmlns:xsd="http://www.w3.org/2001/XMLSchema" xmlns:xs="http://www.w3.org/2001/XMLSchema" xmlns:p="http://schemas.microsoft.com/office/2006/metadata/properties" xmlns:ns2="f10523b9-4ad1-4ffe-b1f7-9fba4c9e70d2" xmlns:ns3="2f67128d-2aca-45c2-84bc-d83c659981e2" xmlns:ns4="92005a5e-b873-4d56-90cc-bf1faaca0594" targetNamespace="http://schemas.microsoft.com/office/2006/metadata/properties" ma:root="true" ma:fieldsID="9e7ddd711ef7352ba7bce87c647fe64a" ns2:_="" ns3:_="" ns4:_="">
    <xsd:import namespace="f10523b9-4ad1-4ffe-b1f7-9fba4c9e70d2"/>
    <xsd:import namespace="2f67128d-2aca-45c2-84bc-d83c659981e2"/>
    <xsd:import namespace="92005a5e-b873-4d56-90cc-bf1faaca059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0523b9-4ad1-4ffe-b1f7-9fba4c9e7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4661a3f4-1e69-4502-bd87-7abe80dc30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f67128d-2aca-45c2-84bc-d83c659981e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005a5e-b873-4d56-90cc-bf1faaca0594"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BD4FB1C-21CE-4BAC-A5F2-874CEEC89BA5}" ma:internalName="TaxCatchAll" ma:showField="CatchAllData" ma:web="{3dad34dd-4303-413c-a67b-6b465affee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005a5e-b873-4d56-90cc-bf1faaca0594" xsi:nil="true"/>
    <lcf76f155ced4ddcb4097134ff3c332f xmlns="f10523b9-4ad1-4ffe-b1f7-9fba4c9e70d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208698-E230-4E3C-AF2D-BFD57567287B}"/>
</file>

<file path=customXml/itemProps2.xml><?xml version="1.0" encoding="utf-8"?>
<ds:datastoreItem xmlns:ds="http://schemas.openxmlformats.org/officeDocument/2006/customXml" ds:itemID="{E9CBCAE7-E8C9-4712-B541-9CE87E57FB3F}"/>
</file>

<file path=customXml/itemProps3.xml><?xml version="1.0" encoding="utf-8"?>
<ds:datastoreItem xmlns:ds="http://schemas.openxmlformats.org/officeDocument/2006/customXml" ds:itemID="{149B61E3-47B6-406B-82DD-1CCF0B0B6B27}"/>
</file>

<file path=docProps/app.xml><?xml version="1.0" encoding="utf-8"?>
<Properties xmlns="http://schemas.openxmlformats.org/officeDocument/2006/extended-properties" xmlns:vt="http://schemas.openxmlformats.org/officeDocument/2006/docPropsVTypes">
  <Application>Microsoft Excel Online</Application>
  <Manager/>
  <Company>Roth Bros. Inc. a Sodexo company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C. Hall</dc:creator>
  <cp:keywords/>
  <dc:description/>
  <cp:lastModifiedBy>Ashley Faircloth</cp:lastModifiedBy>
  <cp:revision/>
  <dcterms:created xsi:type="dcterms:W3CDTF">2016-02-04T20:46:02Z</dcterms:created>
  <dcterms:modified xsi:type="dcterms:W3CDTF">2022-06-03T18:34:18Z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0x010100FAF912FBBFC2614E93178D43E62ED17B</vt:lpwstr>
  </property>
  <property fmtid="{D5CDD505-2E9C-101B-9397-08002B2CF9AE}" pid="3" name="MediaServiceImageTags">
    <vt:lpwstr/>
  </property>
</Properties>
</file>