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29"/>
  <workbookPr codeName="ThisWorkbook"/>
  <mc:AlternateContent xmlns:mc="http://schemas.openxmlformats.org/markup-compatibility/2006">
    <mc:Choice Requires="x15">
      <x15ac:absPath xmlns:x15ac="http://schemas.microsoft.com/office/spreadsheetml/2010/11/ac" url="https://franklinenergy.sharepoint.com/sites/eng/ngageengr/NGAGEMasterMeasureDatabase/Pennsylvania Programs/First Energy/Phase IV/2021 Start Up/C&amp;I/Excel Calculators for TAs on website/Revised Calculators/"/>
    </mc:Choice>
  </mc:AlternateContent>
  <xr:revisionPtr revIDLastSave="0" documentId="8_{19E1662E-0C6E-448A-B0A8-29F9024FF30C}" xr6:coauthVersionLast="47" xr6:coauthVersionMax="47" xr10:uidLastSave="{00000000-0000-0000-0000-000000000000}"/>
  <bookViews>
    <workbookView xWindow="-120" yWindow="-120" windowWidth="38640" windowHeight="21240" tabRatio="661" xr2:uid="{00000000-000D-0000-FFFF-FFFF00000000}"/>
  </bookViews>
  <sheets>
    <sheet name="Instructions" sheetId="1" r:id="rId1"/>
    <sheet name="Project Summary" sheetId="3" r:id="rId2"/>
    <sheet name="Refrigerators" sheetId="4" r:id="rId3"/>
    <sheet name="Freezers" sheetId="5" r:id="rId4"/>
    <sheet name="Commercial Clothes Washers" sheetId="6" r:id="rId5"/>
    <sheet name="Clothes Dryers" sheetId="7" r:id="rId6"/>
    <sheet name="Water Heaters" sheetId="8" r:id="rId7"/>
    <sheet name="Window Air Conditioners" sheetId="9" state="hidden" r:id="rId8"/>
    <sheet name="Zip code lookup table" sheetId="19" state="hidden" r:id="rId9"/>
    <sheet name="Pre Rinse Sprayers" sheetId="11" state="hidden" r:id="rId10"/>
    <sheet name="UPS" sheetId="20" state="hidden" r:id="rId11"/>
    <sheet name="Office Equipment" sheetId="12" r:id="rId12"/>
    <sheet name="ChangeLog" sheetId="21" state="hidden" r:id="rId13"/>
    <sheet name="Engineering Log72020" sheetId="17" state="hidden" r:id="rId14"/>
    <sheet name="Data Export" sheetId="15" state="hidden" r:id="rId15"/>
  </sheets>
  <definedNames>
    <definedName name="_ftn1" localSheetId="4">'Commercial Clothes Washers'!$U$27</definedName>
    <definedName name="_ftnref1" localSheetId="4">'Commercial Clothes Washers'!$U$23</definedName>
    <definedName name="Auto">Refrigerators!$G$24</definedName>
    <definedName name="Built">Freezers!$F$25:$F$26</definedName>
    <definedName name="Chest">Freezers!$F$27:$F$28</definedName>
    <definedName name="Compact">Freezers!$F$29:$F$31</definedName>
    <definedName name="Copier">'Office Equipment'!$F$28:$F$30</definedName>
    <definedName name="Freezer_Style">Freezers!$E$33:$E$36</definedName>
    <definedName name="Fridge">Refrigerators!$G$21:$G$22</definedName>
    <definedName name="Fridge_Freezer">Refrigerators!$G$23</definedName>
    <definedName name="Monitor">'Office Equipment'!$F$22:$F$26</definedName>
    <definedName name="Multifunction">'Office Equipment'!$F$37:$F$41</definedName>
    <definedName name="NA">'Office Equipment'!$F$20</definedName>
    <definedName name="No">Refrigerators!$H$40</definedName>
    <definedName name="Printer">'Office Equipment'!$F$31:$F$36</definedName>
    <definedName name="Up">Freezers!$F$22:$F$24</definedName>
    <definedName name="Yes_No">Refrigerators!$H$40:$H$41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5" i="12" l="1" a="1"/>
  <c r="U15" i="12" s="1"/>
  <c r="U14" i="12" a="1"/>
  <c r="U14" i="12" s="1"/>
  <c r="U13" i="12" a="1"/>
  <c r="U13" i="12" s="1"/>
  <c r="U12" i="12" a="1"/>
  <c r="U12" i="12" s="1"/>
  <c r="U11" i="12" a="1"/>
  <c r="U11" i="12" s="1"/>
  <c r="U10" i="12" a="1"/>
  <c r="U10" i="12" s="1"/>
  <c r="U9" i="12" a="1"/>
  <c r="U9" i="12" s="1"/>
  <c r="U8" i="12" a="1"/>
  <c r="U8" i="12" s="1"/>
  <c r="V15" i="12" a="1"/>
  <c r="V15" i="12" s="1"/>
  <c r="V14" i="12" a="1"/>
  <c r="V14" i="12" s="1"/>
  <c r="V13" i="12"/>
  <c r="V13" i="12" a="1"/>
  <c r="V12" i="12" a="1"/>
  <c r="V12" i="12" s="1"/>
  <c r="V11" i="12" a="1"/>
  <c r="V11" i="12" s="1"/>
  <c r="V10" i="12" a="1"/>
  <c r="V10" i="12" s="1"/>
  <c r="V9" i="12" a="1"/>
  <c r="V9" i="12" s="1"/>
  <c r="V8" i="12" a="1"/>
  <c r="V8" i="12" s="1"/>
  <c r="AB15" i="6"/>
  <c r="AB14" i="6"/>
  <c r="AB13" i="6"/>
  <c r="AB12" i="6"/>
  <c r="AB11" i="6"/>
  <c r="AB10" i="6"/>
  <c r="AB9" i="6"/>
  <c r="Z15" i="5"/>
  <c r="Z14" i="5"/>
  <c r="Z13" i="5"/>
  <c r="Z12" i="5"/>
  <c r="Z11" i="5"/>
  <c r="Z10" i="5"/>
  <c r="Z9" i="5"/>
  <c r="Z8" i="5"/>
  <c r="K15" i="12"/>
  <c r="K14" i="12"/>
  <c r="K13" i="12"/>
  <c r="K12" i="12"/>
  <c r="K11" i="12"/>
  <c r="K10" i="12"/>
  <c r="K9" i="12"/>
  <c r="K8" i="12"/>
  <c r="AC15" i="8"/>
  <c r="Z15" i="8" s="1"/>
  <c r="AC14" i="8"/>
  <c r="Z14" i="8" s="1"/>
  <c r="AC13" i="8"/>
  <c r="Z13" i="8" s="1"/>
  <c r="AC12" i="8"/>
  <c r="Z12" i="8" s="1"/>
  <c r="AC11" i="8"/>
  <c r="Z11" i="8" s="1"/>
  <c r="AC10" i="8"/>
  <c r="Z10" i="8" s="1"/>
  <c r="AC9" i="8"/>
  <c r="AB15" i="8"/>
  <c r="AB14" i="8"/>
  <c r="AB13" i="8"/>
  <c r="AB12" i="8"/>
  <c r="AB11" i="8"/>
  <c r="AB10" i="8"/>
  <c r="AB9" i="8"/>
  <c r="Z9" i="8"/>
  <c r="T15" i="7"/>
  <c r="T14" i="7"/>
  <c r="T13" i="7"/>
  <c r="T12" i="7"/>
  <c r="T11" i="7"/>
  <c r="T10" i="7"/>
  <c r="T9" i="7"/>
  <c r="S15" i="7"/>
  <c r="S14" i="7"/>
  <c r="S13" i="7"/>
  <c r="S12" i="7"/>
  <c r="S11" i="7"/>
  <c r="S10" i="7"/>
  <c r="S9" i="7"/>
  <c r="R15" i="7"/>
  <c r="R14" i="7"/>
  <c r="R13" i="7"/>
  <c r="R12" i="7"/>
  <c r="R11" i="7"/>
  <c r="R10" i="7"/>
  <c r="R9" i="7"/>
  <c r="AA15" i="6"/>
  <c r="Y15" i="6" s="1"/>
  <c r="AA14" i="6"/>
  <c r="Y14" i="6" s="1"/>
  <c r="AA13" i="6"/>
  <c r="Y13" i="6" s="1"/>
  <c r="AA12" i="6"/>
  <c r="Y12" i="6" s="1"/>
  <c r="AA11" i="6"/>
  <c r="Y11" i="6" s="1"/>
  <c r="AA10" i="6"/>
  <c r="Y10" i="6" s="1"/>
  <c r="AA9" i="6"/>
  <c r="Y9" i="6" s="1"/>
  <c r="Z15" i="6"/>
  <c r="Z14" i="6"/>
  <c r="Z13" i="6"/>
  <c r="Z12" i="6"/>
  <c r="Z11" i="6"/>
  <c r="Z10" i="6"/>
  <c r="Z9" i="6"/>
  <c r="X15" i="5"/>
  <c r="V15" i="5" s="1"/>
  <c r="X14" i="5"/>
  <c r="V14" i="5" s="1"/>
  <c r="X13" i="5"/>
  <c r="V13" i="5" s="1"/>
  <c r="X12" i="5"/>
  <c r="V12" i="5" s="1"/>
  <c r="X11" i="5"/>
  <c r="V11" i="5" s="1"/>
  <c r="X10" i="5"/>
  <c r="V10" i="5" s="1"/>
  <c r="X9" i="5"/>
  <c r="V9" i="5" s="1"/>
  <c r="W15" i="5"/>
  <c r="W14" i="5"/>
  <c r="W13" i="5"/>
  <c r="W12" i="5"/>
  <c r="W11" i="5"/>
  <c r="W10" i="5"/>
  <c r="W9" i="5"/>
  <c r="AF15" i="4"/>
  <c r="AF14" i="4"/>
  <c r="AF13" i="4"/>
  <c r="AF12" i="4"/>
  <c r="AF11" i="4"/>
  <c r="AF10" i="4"/>
  <c r="AF9" i="4"/>
  <c r="M15" i="12" l="1"/>
  <c r="N15" i="12" s="1"/>
  <c r="M14" i="12"/>
  <c r="O14" i="12" s="1"/>
  <c r="M13" i="12"/>
  <c r="N13" i="12" s="1"/>
  <c r="M12" i="12"/>
  <c r="N12" i="12" s="1"/>
  <c r="M11" i="12"/>
  <c r="N11" i="12" s="1"/>
  <c r="M10" i="12"/>
  <c r="O10" i="12" s="1"/>
  <c r="M9" i="12"/>
  <c r="O9" i="12" s="1"/>
  <c r="M8" i="12"/>
  <c r="O8" i="12" s="1"/>
  <c r="L8" i="12" a="1"/>
  <c r="L8" i="12" s="1"/>
  <c r="W15" i="12"/>
  <c r="W14" i="12"/>
  <c r="W13" i="12"/>
  <c r="W12" i="12"/>
  <c r="W11" i="12"/>
  <c r="W10" i="12"/>
  <c r="W9" i="12"/>
  <c r="W8" i="12"/>
  <c r="AF15" i="8"/>
  <c r="AF14" i="8"/>
  <c r="AF13" i="8"/>
  <c r="AF12" i="8"/>
  <c r="AF11" i="8"/>
  <c r="AF10" i="8"/>
  <c r="AF9" i="8"/>
  <c r="AF8" i="8"/>
  <c r="U8" i="7"/>
  <c r="W15" i="7"/>
  <c r="W14" i="7"/>
  <c r="W13" i="7"/>
  <c r="W12" i="7"/>
  <c r="W11" i="7"/>
  <c r="W10" i="7"/>
  <c r="W9" i="7"/>
  <c r="W8" i="7"/>
  <c r="AD8" i="6"/>
  <c r="O8" i="6"/>
  <c r="N15" i="6"/>
  <c r="N14" i="6"/>
  <c r="N13" i="6"/>
  <c r="N12" i="6"/>
  <c r="N11" i="6"/>
  <c r="N10" i="6"/>
  <c r="N9" i="6"/>
  <c r="N8" i="6"/>
  <c r="M8" i="6"/>
  <c r="Y15" i="5"/>
  <c r="Y14" i="5"/>
  <c r="Y13" i="5"/>
  <c r="Y12" i="5"/>
  <c r="Y11" i="5"/>
  <c r="Y10" i="5"/>
  <c r="Y9" i="5"/>
  <c r="Y8" i="5"/>
  <c r="AA15" i="5"/>
  <c r="AA14" i="5"/>
  <c r="AA13" i="5"/>
  <c r="AA12" i="5"/>
  <c r="AA11" i="5"/>
  <c r="AA10" i="5"/>
  <c r="AA9" i="5"/>
  <c r="AA8" i="5"/>
  <c r="U15" i="5"/>
  <c r="U14" i="5"/>
  <c r="U13" i="5"/>
  <c r="U12" i="5"/>
  <c r="U11" i="5"/>
  <c r="U10" i="5"/>
  <c r="U9" i="5"/>
  <c r="U8" i="5"/>
  <c r="AE15" i="4"/>
  <c r="AE14" i="4"/>
  <c r="AE13" i="4"/>
  <c r="AE12" i="4"/>
  <c r="AE11" i="4"/>
  <c r="AE10" i="4"/>
  <c r="AE9" i="4"/>
  <c r="T15" i="5"/>
  <c r="T14" i="5"/>
  <c r="T13" i="5"/>
  <c r="T12" i="5"/>
  <c r="T11" i="5"/>
  <c r="T10" i="5"/>
  <c r="T9" i="5"/>
  <c r="T8" i="5"/>
  <c r="AG15" i="4"/>
  <c r="AG14" i="4"/>
  <c r="AG13" i="4"/>
  <c r="AG12" i="4"/>
  <c r="AG11" i="4"/>
  <c r="AG10" i="4"/>
  <c r="AG9" i="4"/>
  <c r="AG8" i="4"/>
  <c r="R8" i="4"/>
  <c r="Q8" i="4"/>
  <c r="N14" i="12" l="1"/>
  <c r="N8" i="12"/>
  <c r="O11" i="12"/>
  <c r="O12" i="12"/>
  <c r="O13" i="12"/>
  <c r="N9" i="12"/>
  <c r="N10" i="12"/>
  <c r="O15" i="12"/>
  <c r="V15" i="8"/>
  <c r="V14" i="8"/>
  <c r="V13" i="8"/>
  <c r="V12" i="8"/>
  <c r="V11" i="8"/>
  <c r="V10" i="8"/>
  <c r="W8" i="8" l="1"/>
  <c r="W9" i="8"/>
  <c r="W10" i="8"/>
  <c r="V9" i="8" l="1"/>
  <c r="S15" i="8" l="1"/>
  <c r="S14" i="8"/>
  <c r="S13" i="8"/>
  <c r="S12" i="8"/>
  <c r="S11" i="8"/>
  <c r="S10" i="8"/>
  <c r="S9" i="8"/>
  <c r="S8" i="8"/>
  <c r="Y15" i="8"/>
  <c r="Y14" i="8"/>
  <c r="Y13" i="8"/>
  <c r="Y12" i="8"/>
  <c r="Y11" i="8"/>
  <c r="Y10" i="8"/>
  <c r="Y9" i="8"/>
  <c r="Y8" i="8"/>
  <c r="AC8" i="8" s="1"/>
  <c r="Z8" i="8" s="1"/>
  <c r="T15" i="8"/>
  <c r="T14" i="8"/>
  <c r="T13" i="8"/>
  <c r="T12" i="8"/>
  <c r="T11" i="8"/>
  <c r="T10" i="8"/>
  <c r="T9" i="8"/>
  <c r="T8" i="8"/>
  <c r="V8" i="8" s="1"/>
  <c r="I30" i="8"/>
  <c r="F28" i="8" l="1"/>
  <c r="I28" i="8" s="1"/>
  <c r="I29" i="8"/>
  <c r="I27" i="8"/>
  <c r="AC15" i="5"/>
  <c r="AC14" i="5"/>
  <c r="AC13" i="5"/>
  <c r="AC12" i="5"/>
  <c r="AC11" i="5"/>
  <c r="AC10" i="5"/>
  <c r="AC9" i="5"/>
  <c r="L15" i="5"/>
  <c r="L14" i="5"/>
  <c r="L13" i="5"/>
  <c r="L12" i="5"/>
  <c r="L11" i="5"/>
  <c r="L10" i="5"/>
  <c r="L9" i="5"/>
  <c r="L8" i="5"/>
  <c r="AC8" i="5"/>
  <c r="T15" i="4"/>
  <c r="T14" i="4"/>
  <c r="T13" i="4"/>
  <c r="T12" i="4"/>
  <c r="T11" i="4"/>
  <c r="T10" i="4"/>
  <c r="T9" i="4"/>
  <c r="T8" i="4"/>
  <c r="M8" i="20" l="1"/>
  <c r="N8" i="20"/>
  <c r="O8" i="20"/>
  <c r="P8" i="20"/>
  <c r="Q8" i="20"/>
  <c r="R8" i="20"/>
  <c r="S8" i="20"/>
  <c r="T8" i="20"/>
  <c r="U8" i="20"/>
  <c r="V8" i="20"/>
  <c r="W8" i="20"/>
  <c r="X8" i="20"/>
  <c r="Y8" i="20"/>
  <c r="Z8" i="20"/>
  <c r="AA8" i="20"/>
  <c r="AB8" i="20"/>
  <c r="AC8" i="20"/>
  <c r="AD8" i="20"/>
  <c r="AE8" i="20"/>
  <c r="AF8" i="20"/>
  <c r="AG8" i="20"/>
  <c r="AH8" i="20"/>
  <c r="AI8" i="20"/>
  <c r="AJ8" i="20"/>
  <c r="AK8" i="20"/>
  <c r="AM8" i="20" s="1"/>
  <c r="AN8" i="20" s="1"/>
  <c r="AP8" i="20"/>
  <c r="M9" i="20"/>
  <c r="N9" i="20"/>
  <c r="O9" i="20"/>
  <c r="P9" i="20"/>
  <c r="Q9" i="20"/>
  <c r="R9" i="20"/>
  <c r="S9" i="20"/>
  <c r="T9" i="20"/>
  <c r="U9" i="20"/>
  <c r="V9" i="20"/>
  <c r="W9" i="20"/>
  <c r="X9" i="20"/>
  <c r="Y9" i="20"/>
  <c r="Z9" i="20"/>
  <c r="AA9" i="20"/>
  <c r="AB9" i="20"/>
  <c r="AC9" i="20"/>
  <c r="AD9" i="20"/>
  <c r="AE9" i="20"/>
  <c r="AF9" i="20"/>
  <c r="AG9" i="20"/>
  <c r="AH9" i="20"/>
  <c r="AI9" i="20"/>
  <c r="AJ9" i="20"/>
  <c r="AK9" i="20"/>
  <c r="AM9" i="20"/>
  <c r="AN9" i="20"/>
  <c r="AP9" i="20"/>
  <c r="M10" i="20"/>
  <c r="N10" i="20"/>
  <c r="O10" i="20"/>
  <c r="P10" i="20"/>
  <c r="Q10" i="20"/>
  <c r="R10" i="20"/>
  <c r="S10" i="20"/>
  <c r="T10" i="20"/>
  <c r="U10" i="20"/>
  <c r="V10" i="20"/>
  <c r="W10" i="20"/>
  <c r="X10" i="20"/>
  <c r="Y10" i="20"/>
  <c r="Z10" i="20"/>
  <c r="AA10" i="20"/>
  <c r="AB10" i="20"/>
  <c r="AC10" i="20"/>
  <c r="AD10" i="20"/>
  <c r="AE10" i="20"/>
  <c r="AF10" i="20"/>
  <c r="AG10" i="20"/>
  <c r="AH10" i="20"/>
  <c r="AI10" i="20"/>
  <c r="AJ10" i="20"/>
  <c r="AK10" i="20"/>
  <c r="AM10" i="20" s="1"/>
  <c r="AN10" i="20" s="1"/>
  <c r="AP10" i="20"/>
  <c r="M11" i="20"/>
  <c r="N11" i="20"/>
  <c r="O11" i="20"/>
  <c r="P11" i="20"/>
  <c r="Q11" i="20"/>
  <c r="R11" i="20"/>
  <c r="S11" i="20"/>
  <c r="T11" i="20"/>
  <c r="U11" i="20"/>
  <c r="V11" i="20"/>
  <c r="W11" i="20"/>
  <c r="X11" i="20"/>
  <c r="Y11" i="20"/>
  <c r="Z11" i="20"/>
  <c r="AA11" i="20"/>
  <c r="AB11" i="20"/>
  <c r="AC11" i="20"/>
  <c r="AD11" i="20"/>
  <c r="AE11" i="20"/>
  <c r="AF11" i="20"/>
  <c r="AG11" i="20"/>
  <c r="AH11" i="20"/>
  <c r="AI11" i="20"/>
  <c r="AL11" i="20" s="1"/>
  <c r="AO11" i="20" s="1"/>
  <c r="AJ11" i="20"/>
  <c r="AK11" i="20"/>
  <c r="AM11" i="20"/>
  <c r="AN11" i="20"/>
  <c r="AP11" i="20"/>
  <c r="M12" i="20"/>
  <c r="N12" i="20"/>
  <c r="O12" i="20"/>
  <c r="P12" i="20"/>
  <c r="Q12" i="20"/>
  <c r="R12" i="20"/>
  <c r="S12" i="20"/>
  <c r="T12" i="20"/>
  <c r="U12" i="20"/>
  <c r="V12" i="20"/>
  <c r="W12" i="20"/>
  <c r="X12" i="20"/>
  <c r="Y12" i="20"/>
  <c r="Z12" i="20"/>
  <c r="AA12" i="20"/>
  <c r="AB12" i="20"/>
  <c r="AC12" i="20"/>
  <c r="AD12" i="20"/>
  <c r="AE12" i="20"/>
  <c r="AF12" i="20"/>
  <c r="AG12" i="20"/>
  <c r="AH12" i="20"/>
  <c r="AI12" i="20"/>
  <c r="AJ12" i="20"/>
  <c r="AK12" i="20"/>
  <c r="AM12" i="20" s="1"/>
  <c r="AN12" i="20" s="1"/>
  <c r="AP12" i="20"/>
  <c r="M13" i="20"/>
  <c r="N13" i="20"/>
  <c r="O13" i="20"/>
  <c r="P13" i="20"/>
  <c r="Q13" i="20"/>
  <c r="R13" i="20"/>
  <c r="S13" i="20"/>
  <c r="T13" i="20"/>
  <c r="U13" i="20"/>
  <c r="V13" i="20"/>
  <c r="W13" i="20"/>
  <c r="X13" i="20"/>
  <c r="Y13" i="20"/>
  <c r="Z13" i="20"/>
  <c r="AA13" i="20"/>
  <c r="AB13" i="20"/>
  <c r="AC13" i="20"/>
  <c r="AD13" i="20"/>
  <c r="AE13" i="20"/>
  <c r="AF13" i="20"/>
  <c r="AG13" i="20"/>
  <c r="AH13" i="20"/>
  <c r="AI13" i="20"/>
  <c r="AJ13" i="20"/>
  <c r="AK13" i="20"/>
  <c r="AM13" i="20"/>
  <c r="AN13" i="20"/>
  <c r="AP13" i="20"/>
  <c r="M14" i="20"/>
  <c r="N14" i="20"/>
  <c r="O14" i="20"/>
  <c r="P14" i="20"/>
  <c r="Q14" i="20"/>
  <c r="R14" i="20"/>
  <c r="S14" i="20"/>
  <c r="T14" i="20"/>
  <c r="U14" i="20"/>
  <c r="V14" i="20"/>
  <c r="W14" i="20"/>
  <c r="X14" i="20"/>
  <c r="Y14" i="20"/>
  <c r="Z14" i="20"/>
  <c r="AA14" i="20"/>
  <c r="AB14" i="20"/>
  <c r="AC14" i="20"/>
  <c r="AD14" i="20"/>
  <c r="AE14" i="20"/>
  <c r="AF14" i="20"/>
  <c r="AG14" i="20"/>
  <c r="AH14" i="20"/>
  <c r="AI14" i="20"/>
  <c r="AJ14" i="20"/>
  <c r="AK14" i="20"/>
  <c r="AM14" i="20"/>
  <c r="AN14" i="20"/>
  <c r="AP14" i="20"/>
  <c r="M15" i="20"/>
  <c r="N15" i="20"/>
  <c r="O15" i="20"/>
  <c r="P15" i="20"/>
  <c r="Q15" i="20"/>
  <c r="R15" i="20"/>
  <c r="S15" i="20"/>
  <c r="T15" i="20"/>
  <c r="U15" i="20"/>
  <c r="V15" i="20"/>
  <c r="W15" i="20"/>
  <c r="X15" i="20"/>
  <c r="Y15" i="20"/>
  <c r="Z15" i="20"/>
  <c r="AA15" i="20"/>
  <c r="AB15" i="20"/>
  <c r="AC15" i="20"/>
  <c r="AD15" i="20"/>
  <c r="AE15" i="20"/>
  <c r="AF15" i="20"/>
  <c r="AG15" i="20"/>
  <c r="AH15" i="20"/>
  <c r="AI15" i="20"/>
  <c r="AJ15" i="20"/>
  <c r="AK15" i="20"/>
  <c r="AM15" i="20"/>
  <c r="AN15" i="20" s="1"/>
  <c r="AP15" i="20"/>
  <c r="G17" i="20"/>
  <c r="C24" i="3" s="1"/>
  <c r="L17" i="20"/>
  <c r="K23" i="20"/>
  <c r="L23" i="20"/>
  <c r="M23" i="20"/>
  <c r="K24" i="20"/>
  <c r="L24" i="20"/>
  <c r="M24" i="20"/>
  <c r="K25" i="20"/>
  <c r="L25" i="20"/>
  <c r="M25" i="20"/>
  <c r="P9" i="12" a="1"/>
  <c r="P9" i="12" s="1"/>
  <c r="S9" i="12" s="1"/>
  <c r="Q9" i="12" a="1"/>
  <c r="Q9" i="12" s="1"/>
  <c r="T9" i="12" s="1"/>
  <c r="P10" i="12" a="1"/>
  <c r="P10" i="12" s="1"/>
  <c r="S10" i="12" s="1"/>
  <c r="Q10" i="12" a="1"/>
  <c r="Q10" i="12" s="1"/>
  <c r="T10" i="12" s="1"/>
  <c r="P11" i="12" a="1"/>
  <c r="P11" i="12" s="1"/>
  <c r="S11" i="12" s="1"/>
  <c r="Q11" i="12" a="1"/>
  <c r="Q11" i="12" s="1"/>
  <c r="T11" i="12" s="1"/>
  <c r="P12" i="12" a="1"/>
  <c r="P12" i="12" s="1"/>
  <c r="S12" i="12" s="1"/>
  <c r="Q12" i="12" a="1"/>
  <c r="Q12" i="12" s="1"/>
  <c r="T12" i="12" s="1"/>
  <c r="P13" i="12" a="1"/>
  <c r="P13" i="12" s="1"/>
  <c r="S13" i="12" s="1"/>
  <c r="Q13" i="12" a="1"/>
  <c r="Q13" i="12" s="1"/>
  <c r="T13" i="12" s="1"/>
  <c r="P14" i="12" a="1"/>
  <c r="P14" i="12" s="1"/>
  <c r="S14" i="12" s="1"/>
  <c r="Q14" i="12" a="1"/>
  <c r="Q14" i="12" s="1"/>
  <c r="T14" i="12" s="1"/>
  <c r="P15" i="12" a="1"/>
  <c r="P15" i="12" s="1"/>
  <c r="S15" i="12" s="1"/>
  <c r="Q15" i="12" a="1"/>
  <c r="Q15" i="12" s="1"/>
  <c r="T15" i="12" s="1"/>
  <c r="L9" i="12" a="1"/>
  <c r="L9" i="12" s="1"/>
  <c r="L10" i="12" a="1"/>
  <c r="L10" i="12" s="1"/>
  <c r="L11" i="12" a="1"/>
  <c r="L11" i="12" s="1"/>
  <c r="L12" i="12" a="1"/>
  <c r="L12" i="12" s="1"/>
  <c r="L13" i="12" a="1"/>
  <c r="L13" i="12" s="1"/>
  <c r="L14" i="12" a="1"/>
  <c r="L14" i="12" s="1"/>
  <c r="L15" i="12" a="1"/>
  <c r="L15" i="12" s="1"/>
  <c r="P8" i="12" a="1"/>
  <c r="P8" i="12" s="1"/>
  <c r="S8" i="12" s="1"/>
  <c r="Q8" i="12" a="1"/>
  <c r="Q8" i="12" s="1"/>
  <c r="T8" i="12" s="1"/>
  <c r="Y9" i="12"/>
  <c r="Y10" i="12"/>
  <c r="Y11" i="12"/>
  <c r="Y12" i="12"/>
  <c r="Y13" i="12"/>
  <c r="Y14" i="12"/>
  <c r="Y15" i="12"/>
  <c r="Y8" i="12"/>
  <c r="L18" i="11"/>
  <c r="J8" i="11" a="1"/>
  <c r="J8" i="11"/>
  <c r="K8" i="11" a="1"/>
  <c r="K8" i="11"/>
  <c r="L8" i="11" a="1"/>
  <c r="L8" i="11"/>
  <c r="M8" i="11" a="1"/>
  <c r="M8" i="11"/>
  <c r="N8" i="11" a="1"/>
  <c r="N8" i="11"/>
  <c r="J9" i="11" a="1"/>
  <c r="J9" i="11"/>
  <c r="K9" i="11" a="1"/>
  <c r="K9" i="11"/>
  <c r="L9" i="11" a="1"/>
  <c r="L9" i="11"/>
  <c r="M9" i="11" a="1"/>
  <c r="M9" i="11"/>
  <c r="N9" i="11" a="1"/>
  <c r="N9" i="11"/>
  <c r="J10" i="11" a="1"/>
  <c r="J10" i="11"/>
  <c r="K10" i="11" a="1"/>
  <c r="K10" i="11"/>
  <c r="L10" i="11" a="1"/>
  <c r="L10" i="11"/>
  <c r="M10" i="11" a="1"/>
  <c r="M10" i="11"/>
  <c r="Q10" i="11" s="1"/>
  <c r="N10" i="11" a="1"/>
  <c r="N10" i="11"/>
  <c r="P10" i="11" s="1"/>
  <c r="J11" i="11" a="1"/>
  <c r="J11" i="11"/>
  <c r="K11" i="11" a="1"/>
  <c r="K11" i="11"/>
  <c r="L11" i="11" a="1"/>
  <c r="L11" i="11"/>
  <c r="M11" i="11" a="1"/>
  <c r="M11" i="11"/>
  <c r="Q11" i="11" s="1"/>
  <c r="N11" i="11" a="1"/>
  <c r="N11" i="11"/>
  <c r="P11" i="11" s="1"/>
  <c r="J12" i="11" a="1"/>
  <c r="J12" i="11"/>
  <c r="K12" i="11" a="1"/>
  <c r="K12" i="11"/>
  <c r="L12" i="11" a="1"/>
  <c r="L12" i="11"/>
  <c r="M12" i="11" a="1"/>
  <c r="M12" i="11"/>
  <c r="N12" i="11" a="1"/>
  <c r="N12" i="11"/>
  <c r="J13" i="11" a="1"/>
  <c r="J13" i="11"/>
  <c r="K13" i="11" a="1"/>
  <c r="K13" i="11"/>
  <c r="L13" i="11" a="1"/>
  <c r="L13" i="11"/>
  <c r="M13" i="11" a="1"/>
  <c r="M13" i="11"/>
  <c r="Q13" i="11" s="1"/>
  <c r="N13" i="11" a="1"/>
  <c r="N13" i="11"/>
  <c r="J14" i="11" a="1"/>
  <c r="J14" i="11"/>
  <c r="K14" i="11" a="1"/>
  <c r="K14" i="11"/>
  <c r="L14" i="11" a="1"/>
  <c r="L14" i="11"/>
  <c r="M14" i="11" a="1"/>
  <c r="M14" i="11"/>
  <c r="N14" i="11" a="1"/>
  <c r="N14" i="11"/>
  <c r="J7" i="11" a="1"/>
  <c r="J7" i="11"/>
  <c r="K7" i="11" a="1"/>
  <c r="K7" i="11"/>
  <c r="L7" i="11" a="1"/>
  <c r="L7" i="11"/>
  <c r="M7" i="11" a="1"/>
  <c r="M7" i="11"/>
  <c r="M38" i="11"/>
  <c r="M37" i="11"/>
  <c r="M32" i="11"/>
  <c r="M33" i="11"/>
  <c r="M34" i="11"/>
  <c r="M35" i="11"/>
  <c r="N7" i="11" a="1"/>
  <c r="N7" i="11"/>
  <c r="M36" i="11"/>
  <c r="M31" i="11"/>
  <c r="X8" i="9"/>
  <c r="X9" i="9"/>
  <c r="X10" i="9"/>
  <c r="X11" i="9"/>
  <c r="X12" i="9"/>
  <c r="X13" i="9"/>
  <c r="X14" i="9"/>
  <c r="X7" i="9"/>
  <c r="U7" i="9"/>
  <c r="R9" i="8"/>
  <c r="AA9" i="8" s="1"/>
  <c r="R10" i="8"/>
  <c r="AA10" i="8" s="1"/>
  <c r="R11" i="8"/>
  <c r="AA11" i="8" s="1"/>
  <c r="R12" i="8"/>
  <c r="AA12" i="8" s="1"/>
  <c r="R13" i="8"/>
  <c r="AA13" i="8" s="1"/>
  <c r="R14" i="8"/>
  <c r="AA14" i="8" s="1"/>
  <c r="R15" i="8"/>
  <c r="AA15" i="8" s="1"/>
  <c r="R8" i="8"/>
  <c r="O8" i="8"/>
  <c r="U8" i="8"/>
  <c r="I21" i="8"/>
  <c r="I22" i="8"/>
  <c r="I23" i="8"/>
  <c r="I24" i="8"/>
  <c r="I25" i="8"/>
  <c r="I26" i="8"/>
  <c r="I20" i="8"/>
  <c r="R7" i="11"/>
  <c r="P7" i="9"/>
  <c r="O7" i="9"/>
  <c r="X8" i="8"/>
  <c r="N8" i="7"/>
  <c r="O8" i="7"/>
  <c r="P8" i="6"/>
  <c r="N23" i="4"/>
  <c r="K9" i="7"/>
  <c r="K10" i="7"/>
  <c r="K11" i="7"/>
  <c r="K12" i="7"/>
  <c r="K13" i="7"/>
  <c r="K14" i="7"/>
  <c r="K15" i="7"/>
  <c r="K8" i="7"/>
  <c r="M9" i="6"/>
  <c r="M10" i="6"/>
  <c r="M11" i="6"/>
  <c r="M12" i="6"/>
  <c r="M13" i="6"/>
  <c r="M14" i="6"/>
  <c r="M15" i="6"/>
  <c r="P8" i="9"/>
  <c r="O8" i="9"/>
  <c r="P9" i="9"/>
  <c r="P10" i="9"/>
  <c r="P11" i="9"/>
  <c r="P12" i="9"/>
  <c r="P13" i="9"/>
  <c r="O13" i="9"/>
  <c r="P14" i="9"/>
  <c r="O11" i="9"/>
  <c r="O12" i="9"/>
  <c r="T11" i="9"/>
  <c r="U8" i="9"/>
  <c r="T9" i="9"/>
  <c r="U11" i="9"/>
  <c r="T12" i="9"/>
  <c r="T13" i="9"/>
  <c r="U14" i="9"/>
  <c r="X9" i="8"/>
  <c r="X10" i="8"/>
  <c r="X11" i="8"/>
  <c r="X12" i="8"/>
  <c r="X13" i="8"/>
  <c r="X14" i="8"/>
  <c r="X15" i="8"/>
  <c r="N21" i="4"/>
  <c r="I17" i="12"/>
  <c r="B59" i="15"/>
  <c r="AO59" i="15" s="1"/>
  <c r="B61" i="15"/>
  <c r="AW61" i="15" s="1"/>
  <c r="I7" i="11"/>
  <c r="I8" i="11"/>
  <c r="R8" i="11"/>
  <c r="I9" i="11"/>
  <c r="R9" i="11"/>
  <c r="I10" i="11"/>
  <c r="R10" i="11"/>
  <c r="I11" i="11"/>
  <c r="R11" i="11"/>
  <c r="I12" i="11"/>
  <c r="R12" i="11"/>
  <c r="I13" i="11"/>
  <c r="R13" i="11"/>
  <c r="I14" i="11"/>
  <c r="R14" i="11"/>
  <c r="H16" i="11"/>
  <c r="Q7" i="9"/>
  <c r="S7" i="9" a="1"/>
  <c r="S7" i="9"/>
  <c r="Y7" i="9"/>
  <c r="Q8" i="9"/>
  <c r="Y8" i="9"/>
  <c r="Q9" i="9"/>
  <c r="Y9" i="9"/>
  <c r="Q10" i="9"/>
  <c r="Y10" i="9"/>
  <c r="Q11" i="9"/>
  <c r="S11" i="9" a="1"/>
  <c r="S11" i="9"/>
  <c r="Y11" i="9"/>
  <c r="Q12" i="9"/>
  <c r="S12" i="9" a="1"/>
  <c r="S12" i="9"/>
  <c r="Y12" i="9"/>
  <c r="Q13" i="9"/>
  <c r="R13" i="9" a="1"/>
  <c r="R13" i="9"/>
  <c r="Y13" i="9"/>
  <c r="Q14" i="9"/>
  <c r="Y14" i="9"/>
  <c r="L16" i="9"/>
  <c r="O9" i="8"/>
  <c r="U9" i="8"/>
  <c r="O10" i="8"/>
  <c r="U10" i="8"/>
  <c r="O11" i="8"/>
  <c r="U11" i="8"/>
  <c r="W11" i="8"/>
  <c r="O12" i="8"/>
  <c r="U12" i="8"/>
  <c r="W12" i="8"/>
  <c r="O13" i="8"/>
  <c r="U13" i="8"/>
  <c r="W13" i="8"/>
  <c r="O14" i="8"/>
  <c r="U14" i="8"/>
  <c r="W14" i="8"/>
  <c r="O15" i="8"/>
  <c r="U15" i="8"/>
  <c r="W15" i="8"/>
  <c r="M17" i="8"/>
  <c r="P8" i="7"/>
  <c r="T8" i="7" s="1"/>
  <c r="Q8" i="7"/>
  <c r="N9" i="7"/>
  <c r="O9" i="7"/>
  <c r="P9" i="7"/>
  <c r="Q9" i="7"/>
  <c r="N10" i="7"/>
  <c r="O10" i="7"/>
  <c r="P10" i="7"/>
  <c r="Q10" i="7"/>
  <c r="N11" i="7"/>
  <c r="U11" i="7"/>
  <c r="B29" i="15" s="1"/>
  <c r="O11" i="7"/>
  <c r="P11" i="7"/>
  <c r="Q11" i="7"/>
  <c r="N12" i="7"/>
  <c r="O12" i="7"/>
  <c r="P12" i="7"/>
  <c r="Q12" i="7"/>
  <c r="N13" i="7"/>
  <c r="O13" i="7"/>
  <c r="P13" i="7"/>
  <c r="Q13" i="7"/>
  <c r="N14" i="7"/>
  <c r="O14" i="7"/>
  <c r="P14" i="7"/>
  <c r="Q14" i="7"/>
  <c r="N15" i="7"/>
  <c r="O15" i="7"/>
  <c r="P15" i="7"/>
  <c r="Q15" i="7"/>
  <c r="H17" i="7"/>
  <c r="Q8" i="6"/>
  <c r="X8" i="6"/>
  <c r="P9" i="6"/>
  <c r="Q9" i="6"/>
  <c r="S9" i="6" s="1"/>
  <c r="X9" i="6"/>
  <c r="P10" i="6"/>
  <c r="R10" i="6" s="1"/>
  <c r="T10" i="6" s="1"/>
  <c r="X10" i="6"/>
  <c r="P11" i="6"/>
  <c r="R11" i="6" s="1"/>
  <c r="Q11" i="6"/>
  <c r="S11" i="6" s="1"/>
  <c r="X11" i="6"/>
  <c r="P12" i="6"/>
  <c r="X12" i="6"/>
  <c r="P13" i="6"/>
  <c r="R13" i="6" s="1"/>
  <c r="X13" i="6"/>
  <c r="P14" i="6"/>
  <c r="R14" i="6" s="1"/>
  <c r="Q14" i="6"/>
  <c r="S14" i="6" s="1"/>
  <c r="U14" i="6" s="1"/>
  <c r="X14" i="6"/>
  <c r="P15" i="6"/>
  <c r="X15" i="6"/>
  <c r="K17" i="6"/>
  <c r="H21" i="6"/>
  <c r="I21" i="6"/>
  <c r="H22" i="6"/>
  <c r="I22" i="6"/>
  <c r="H23" i="6"/>
  <c r="I23" i="6"/>
  <c r="H24" i="6"/>
  <c r="I24" i="6"/>
  <c r="H25" i="6"/>
  <c r="I25" i="6"/>
  <c r="Q10" i="6"/>
  <c r="S10" i="6" s="1"/>
  <c r="U10" i="6" s="1"/>
  <c r="H26" i="6"/>
  <c r="I26" i="6"/>
  <c r="Q13" i="6"/>
  <c r="S13" i="6" s="1"/>
  <c r="M8" i="5" a="1"/>
  <c r="M8" i="5" s="1"/>
  <c r="N8" i="5" a="1"/>
  <c r="N8" i="5" s="1"/>
  <c r="O8" i="5" a="1"/>
  <c r="O8" i="5" s="1"/>
  <c r="P8" i="5" a="1"/>
  <c r="P8" i="5" s="1"/>
  <c r="S8" i="5"/>
  <c r="M9" i="5" a="1"/>
  <c r="M9" i="5" s="1"/>
  <c r="N9" i="5" a="1"/>
  <c r="N9" i="5" s="1"/>
  <c r="O9" i="5" a="1"/>
  <c r="O9" i="5" s="1"/>
  <c r="P9" i="5" a="1"/>
  <c r="P9" i="5" s="1"/>
  <c r="S9" i="5"/>
  <c r="M10" i="5" a="1"/>
  <c r="M10" i="5" s="1"/>
  <c r="N10" i="5" a="1"/>
  <c r="N10" i="5" s="1"/>
  <c r="Q10" i="5" s="1"/>
  <c r="O10" i="5" a="1"/>
  <c r="O10" i="5" s="1"/>
  <c r="P10" i="5" a="1"/>
  <c r="P10" i="5" s="1"/>
  <c r="S10" i="5"/>
  <c r="M11" i="5" a="1"/>
  <c r="M11" i="5" s="1"/>
  <c r="N11" i="5" a="1"/>
  <c r="N11" i="5" s="1"/>
  <c r="O11" i="5" a="1"/>
  <c r="O11" i="5" s="1"/>
  <c r="P11" i="5" a="1"/>
  <c r="P11" i="5" s="1"/>
  <c r="S11" i="5"/>
  <c r="M12" i="5" a="1"/>
  <c r="M12" i="5" s="1"/>
  <c r="N12" i="5" a="1"/>
  <c r="N12" i="5" s="1"/>
  <c r="O12" i="5" a="1"/>
  <c r="O12" i="5" s="1"/>
  <c r="P12" i="5" a="1"/>
  <c r="P12" i="5" s="1"/>
  <c r="S12" i="5"/>
  <c r="M13" i="5" a="1"/>
  <c r="M13" i="5" s="1"/>
  <c r="Q13" i="5"/>
  <c r="N13" i="5" a="1"/>
  <c r="N13" i="5" s="1"/>
  <c r="O13" i="5" a="1"/>
  <c r="O13" i="5" s="1"/>
  <c r="P13" i="5" a="1"/>
  <c r="P13" i="5" s="1"/>
  <c r="S13" i="5"/>
  <c r="M14" i="5" a="1"/>
  <c r="M14" i="5" s="1"/>
  <c r="Q14" i="5"/>
  <c r="N14" i="5" a="1"/>
  <c r="N14" i="5" s="1"/>
  <c r="O14" i="5" a="1"/>
  <c r="O14" i="5" s="1"/>
  <c r="R14" i="5"/>
  <c r="P14" i="5" a="1"/>
  <c r="P14" i="5" s="1"/>
  <c r="S14" i="5"/>
  <c r="Q15" i="5"/>
  <c r="M15" i="5" a="1"/>
  <c r="M15" i="5" s="1"/>
  <c r="N15" i="5" a="1"/>
  <c r="N15" i="5" s="1"/>
  <c r="O15" i="5" a="1"/>
  <c r="O15" i="5" s="1"/>
  <c r="P15" i="5" a="1"/>
  <c r="P15" i="5" s="1"/>
  <c r="S15" i="5"/>
  <c r="J17" i="5"/>
  <c r="P8" i="4"/>
  <c r="S8" i="4"/>
  <c r="X8" i="4" s="1" a="1"/>
  <c r="X8" i="4" s="1"/>
  <c r="AA8" i="4"/>
  <c r="AI8" i="4"/>
  <c r="AJ8" i="4"/>
  <c r="AK8" i="4"/>
  <c r="P9" i="4"/>
  <c r="S9" i="4"/>
  <c r="W9" i="4" s="1" a="1"/>
  <c r="W9" i="4" s="1"/>
  <c r="AA9" i="4"/>
  <c r="AI9" i="4"/>
  <c r="AJ9" i="4"/>
  <c r="AK9" i="4"/>
  <c r="P10" i="4"/>
  <c r="S10" i="4"/>
  <c r="W10" i="4" s="1" a="1"/>
  <c r="W10" i="4" s="1"/>
  <c r="AA10" i="4"/>
  <c r="AI10" i="4"/>
  <c r="AJ10" i="4"/>
  <c r="AK10" i="4"/>
  <c r="P11" i="4"/>
  <c r="S11" i="4"/>
  <c r="U11" i="4" s="1" a="1"/>
  <c r="U11" i="4" s="1"/>
  <c r="AA11" i="4"/>
  <c r="AI11" i="4"/>
  <c r="AJ11" i="4"/>
  <c r="AK11" i="4"/>
  <c r="P12" i="4"/>
  <c r="S12" i="4"/>
  <c r="V12" i="4" s="1" a="1"/>
  <c r="V12" i="4" s="1"/>
  <c r="AA12" i="4"/>
  <c r="AI12" i="4"/>
  <c r="AJ12" i="4"/>
  <c r="AK12" i="4"/>
  <c r="P13" i="4"/>
  <c r="S13" i="4"/>
  <c r="V13" i="4" s="1" a="1"/>
  <c r="V13" i="4" s="1"/>
  <c r="AA13" i="4"/>
  <c r="AI13" i="4"/>
  <c r="AJ13" i="4"/>
  <c r="AK13" i="4"/>
  <c r="P14" i="4"/>
  <c r="S14" i="4"/>
  <c r="X14" i="4" s="1" a="1"/>
  <c r="X14" i="4" s="1"/>
  <c r="AA14" i="4"/>
  <c r="AI14" i="4"/>
  <c r="AJ14" i="4"/>
  <c r="AK14" i="4"/>
  <c r="P15" i="4"/>
  <c r="S15" i="4"/>
  <c r="W15" i="4" s="1" a="1"/>
  <c r="W15" i="4" s="1"/>
  <c r="AA15" i="4"/>
  <c r="AI15" i="4"/>
  <c r="AJ15" i="4"/>
  <c r="AK15" i="4"/>
  <c r="P21" i="4"/>
  <c r="S21" i="4"/>
  <c r="T21" i="4"/>
  <c r="N22" i="4"/>
  <c r="P22" i="4"/>
  <c r="S22" i="4"/>
  <c r="T22" i="4"/>
  <c r="P23" i="4"/>
  <c r="S23" i="4"/>
  <c r="T23" i="4"/>
  <c r="N24" i="4"/>
  <c r="P24" i="4"/>
  <c r="S24" i="4"/>
  <c r="T24" i="4"/>
  <c r="N25" i="4"/>
  <c r="P25" i="4"/>
  <c r="S25" i="4"/>
  <c r="T25" i="4"/>
  <c r="N26" i="4"/>
  <c r="P26" i="4"/>
  <c r="S26" i="4"/>
  <c r="T26" i="4"/>
  <c r="N27" i="4"/>
  <c r="P27" i="4"/>
  <c r="S27" i="4"/>
  <c r="T27" i="4"/>
  <c r="N28" i="4"/>
  <c r="P28" i="4"/>
  <c r="S28" i="4"/>
  <c r="T28" i="4"/>
  <c r="N29" i="4"/>
  <c r="P29" i="4"/>
  <c r="S29" i="4"/>
  <c r="T29" i="4"/>
  <c r="N30" i="4"/>
  <c r="P30" i="4"/>
  <c r="S30" i="4"/>
  <c r="T30" i="4"/>
  <c r="N31" i="4"/>
  <c r="P31" i="4"/>
  <c r="S31" i="4"/>
  <c r="T31" i="4"/>
  <c r="N32" i="4"/>
  <c r="P32" i="4"/>
  <c r="S32" i="4"/>
  <c r="T32" i="4"/>
  <c r="N33" i="4"/>
  <c r="P33" i="4"/>
  <c r="S33" i="4"/>
  <c r="T33" i="4"/>
  <c r="N34" i="4"/>
  <c r="P34" i="4"/>
  <c r="S34" i="4"/>
  <c r="T34" i="4"/>
  <c r="N35" i="4"/>
  <c r="P35" i="4"/>
  <c r="S35" i="4"/>
  <c r="T35" i="4"/>
  <c r="N36" i="4"/>
  <c r="P36" i="4"/>
  <c r="S36" i="4"/>
  <c r="T36" i="4"/>
  <c r="N37" i="4"/>
  <c r="P37" i="4"/>
  <c r="S37" i="4"/>
  <c r="T37" i="4"/>
  <c r="N38" i="4"/>
  <c r="P38" i="4"/>
  <c r="S38" i="4"/>
  <c r="T38" i="4"/>
  <c r="N39" i="4"/>
  <c r="P39" i="4"/>
  <c r="S39" i="4"/>
  <c r="T39" i="4"/>
  <c r="N40" i="4"/>
  <c r="P40" i="4"/>
  <c r="S40" i="4"/>
  <c r="T40" i="4"/>
  <c r="N41" i="4"/>
  <c r="P41" i="4"/>
  <c r="S41" i="4"/>
  <c r="T41" i="4"/>
  <c r="U14" i="7"/>
  <c r="B32" i="15" s="1"/>
  <c r="T8" i="9"/>
  <c r="O10" i="9"/>
  <c r="O9" i="9"/>
  <c r="O14" i="9"/>
  <c r="S14" i="9" a="1"/>
  <c r="S14" i="9"/>
  <c r="R13" i="5"/>
  <c r="R12" i="5"/>
  <c r="T14" i="9"/>
  <c r="U9" i="9"/>
  <c r="Q12" i="5"/>
  <c r="Q11" i="5"/>
  <c r="U10" i="9"/>
  <c r="T10" i="9"/>
  <c r="B63" i="15"/>
  <c r="AT63" i="15" s="1"/>
  <c r="U13" i="9"/>
  <c r="U12" i="9"/>
  <c r="R15" i="5"/>
  <c r="U13" i="7"/>
  <c r="B31" i="15" s="1"/>
  <c r="U9" i="7"/>
  <c r="U12" i="7"/>
  <c r="B30" i="15" s="1"/>
  <c r="U10" i="7"/>
  <c r="B28" i="15" s="1"/>
  <c r="Q15" i="6"/>
  <c r="S15" i="6" s="1"/>
  <c r="U15" i="6" s="1"/>
  <c r="Q12" i="6"/>
  <c r="U15" i="7"/>
  <c r="B33" i="15" s="1"/>
  <c r="R7" i="9" a="1"/>
  <c r="R7" i="9"/>
  <c r="W7" i="9" s="1"/>
  <c r="Z7" i="9" s="1"/>
  <c r="R14" i="9" a="1"/>
  <c r="R14" i="9"/>
  <c r="V14" i="9"/>
  <c r="AA14" i="9"/>
  <c r="AB14" i="9"/>
  <c r="B49" i="15"/>
  <c r="H49" i="15" s="1"/>
  <c r="S9" i="9" a="1"/>
  <c r="S9" i="9"/>
  <c r="R11" i="9" a="1"/>
  <c r="R11" i="9"/>
  <c r="V11" i="9" s="1"/>
  <c r="AA11" i="9" s="1"/>
  <c r="AB11" i="9" s="1"/>
  <c r="B46" i="15" s="1"/>
  <c r="L46" i="15" s="1"/>
  <c r="R9" i="9" a="1"/>
  <c r="R9" i="9"/>
  <c r="R8" i="9" a="1"/>
  <c r="R8" i="9"/>
  <c r="S10" i="9" a="1"/>
  <c r="S10" i="9"/>
  <c r="S13" i="9" a="1"/>
  <c r="S13" i="9"/>
  <c r="W13" i="9"/>
  <c r="Z13" i="9"/>
  <c r="R12" i="9" a="1"/>
  <c r="R12" i="9"/>
  <c r="V12" i="9"/>
  <c r="AA12" i="9"/>
  <c r="AB12" i="9"/>
  <c r="B47" i="15"/>
  <c r="G47" i="15" s="1"/>
  <c r="R10" i="9" a="1"/>
  <c r="R10" i="9"/>
  <c r="V10" i="9" s="1"/>
  <c r="AA10" i="9" s="1"/>
  <c r="AB10" i="9" s="1"/>
  <c r="B45" i="15" s="1"/>
  <c r="F45" i="15" s="1"/>
  <c r="S8" i="9" a="1"/>
  <c r="S8" i="9"/>
  <c r="W11" i="9"/>
  <c r="Z11" i="9"/>
  <c r="W14" i="9"/>
  <c r="Z14" i="9"/>
  <c r="W9" i="9"/>
  <c r="Z9" i="9"/>
  <c r="V9" i="9"/>
  <c r="AA9" i="9"/>
  <c r="AB9" i="9"/>
  <c r="B44" i="15"/>
  <c r="G44" i="15" s="1"/>
  <c r="W8" i="9"/>
  <c r="Z8" i="9"/>
  <c r="V13" i="9"/>
  <c r="AA13" i="9"/>
  <c r="AB13" i="9"/>
  <c r="B48" i="15"/>
  <c r="M48" i="15" s="1"/>
  <c r="V8" i="9"/>
  <c r="AA8" i="9"/>
  <c r="AB8" i="9"/>
  <c r="B43" i="15"/>
  <c r="E43" i="15" s="1"/>
  <c r="W12" i="9"/>
  <c r="Z12" i="9"/>
  <c r="W10" i="9"/>
  <c r="Z10" i="9"/>
  <c r="E49" i="15"/>
  <c r="B62" i="15"/>
  <c r="C62" i="15" s="1"/>
  <c r="O62" i="15" s="1"/>
  <c r="Q12" i="11"/>
  <c r="Q14" i="11"/>
  <c r="P14" i="11"/>
  <c r="P13" i="11"/>
  <c r="P12" i="11"/>
  <c r="B65" i="15"/>
  <c r="M65" i="15" s="1"/>
  <c r="B64" i="15"/>
  <c r="AV64" i="15" s="1"/>
  <c r="B60" i="15"/>
  <c r="Q60" i="15" s="1"/>
  <c r="H63" i="15"/>
  <c r="K18" i="11"/>
  <c r="Q7" i="11"/>
  <c r="P7" i="11"/>
  <c r="J18" i="11"/>
  <c r="B50" i="15"/>
  <c r="I50" i="15" s="1"/>
  <c r="B53" i="15"/>
  <c r="L98" i="3" s="1"/>
  <c r="P98" i="3" s="1"/>
  <c r="B54" i="15"/>
  <c r="E54" i="15" s="1"/>
  <c r="B57" i="15"/>
  <c r="AL57" i="15" s="1"/>
  <c r="B56" i="15"/>
  <c r="E56" i="15" s="1"/>
  <c r="T7" i="9"/>
  <c r="V7" i="9"/>
  <c r="AA7" i="9"/>
  <c r="Q62" i="15"/>
  <c r="A65" i="15"/>
  <c r="B58" i="15"/>
  <c r="E58" i="15" s="1"/>
  <c r="P54" i="15"/>
  <c r="B55" i="15"/>
  <c r="AL55" i="15" s="1"/>
  <c r="H56" i="15"/>
  <c r="AA16" i="9"/>
  <c r="AB7" i="9"/>
  <c r="B42" i="15"/>
  <c r="AK42" i="15" s="1"/>
  <c r="AB16" i="9"/>
  <c r="E62" i="15"/>
  <c r="AY62" i="15"/>
  <c r="T62" i="15"/>
  <c r="R62" i="15"/>
  <c r="R13" i="12" l="1"/>
  <c r="X13" i="12"/>
  <c r="R15" i="12"/>
  <c r="X15" i="12"/>
  <c r="R12" i="12"/>
  <c r="X12" i="12"/>
  <c r="R14" i="12"/>
  <c r="X14" i="12"/>
  <c r="R10" i="12"/>
  <c r="X10" i="12"/>
  <c r="R11" i="12"/>
  <c r="X11" i="12"/>
  <c r="R9" i="12"/>
  <c r="X9" i="12"/>
  <c r="R8" i="12"/>
  <c r="X8" i="12"/>
  <c r="R8" i="7"/>
  <c r="R17" i="7" s="1"/>
  <c r="S8" i="7"/>
  <c r="S17" i="7" s="1"/>
  <c r="AE8" i="4"/>
  <c r="AF8" i="4"/>
  <c r="Q10" i="8"/>
  <c r="P10" i="8"/>
  <c r="P14" i="8"/>
  <c r="Q14" i="8"/>
  <c r="Q13" i="8"/>
  <c r="P13" i="8"/>
  <c r="Q12" i="8"/>
  <c r="P12" i="8"/>
  <c r="Q15" i="8"/>
  <c r="P15" i="8"/>
  <c r="Q11" i="8"/>
  <c r="P11" i="8"/>
  <c r="P9" i="8"/>
  <c r="Q9" i="8"/>
  <c r="P8" i="8"/>
  <c r="Q8" i="8"/>
  <c r="M15" i="7"/>
  <c r="L15" i="7"/>
  <c r="M14" i="7"/>
  <c r="L14" i="7"/>
  <c r="M13" i="7"/>
  <c r="L13" i="7"/>
  <c r="M12" i="7"/>
  <c r="L12" i="7"/>
  <c r="L11" i="7"/>
  <c r="M11" i="7"/>
  <c r="M10" i="7"/>
  <c r="L10" i="7"/>
  <c r="M9" i="7"/>
  <c r="L9" i="7"/>
  <c r="M8" i="7"/>
  <c r="L8" i="7"/>
  <c r="U8" i="4" a="1"/>
  <c r="U8" i="4" s="1"/>
  <c r="B72" i="15"/>
  <c r="H72" i="15" s="1"/>
  <c r="T17" i="12"/>
  <c r="B71" i="15"/>
  <c r="S71" i="15" s="1"/>
  <c r="B68" i="15"/>
  <c r="A68" i="15" s="1"/>
  <c r="B67" i="15"/>
  <c r="K67" i="15" s="1"/>
  <c r="U10" i="4" a="1"/>
  <c r="U10" i="4" s="1"/>
  <c r="U17" i="12"/>
  <c r="B66" i="15"/>
  <c r="S17" i="12"/>
  <c r="B73" i="15"/>
  <c r="J73" i="15" s="1"/>
  <c r="B70" i="15"/>
  <c r="G70" i="15" s="1"/>
  <c r="B69" i="15"/>
  <c r="S12" i="6"/>
  <c r="U12" i="6" s="1"/>
  <c r="V10" i="6"/>
  <c r="R9" i="6"/>
  <c r="T9" i="6" s="1"/>
  <c r="T11" i="6"/>
  <c r="T13" i="6"/>
  <c r="U9" i="6"/>
  <c r="R12" i="6"/>
  <c r="T12" i="6" s="1"/>
  <c r="R15" i="6"/>
  <c r="T15" i="6" s="1"/>
  <c r="V15" i="6" s="1"/>
  <c r="S8" i="6"/>
  <c r="U8" i="6" s="1"/>
  <c r="R8" i="6"/>
  <c r="T8" i="6" s="1"/>
  <c r="U13" i="6"/>
  <c r="T14" i="6"/>
  <c r="V14" i="6" s="1"/>
  <c r="U11" i="6"/>
  <c r="AT58" i="15"/>
  <c r="J57" i="15"/>
  <c r="M58" i="15"/>
  <c r="C43" i="15"/>
  <c r="O43" i="15" s="1"/>
  <c r="L49" i="15"/>
  <c r="T43" i="15"/>
  <c r="J53" i="15"/>
  <c r="F53" i="15"/>
  <c r="F43" i="15"/>
  <c r="N56" i="15"/>
  <c r="D49" i="15"/>
  <c r="AJ43" i="15"/>
  <c r="AL56" i="15"/>
  <c r="K43" i="15"/>
  <c r="G56" i="15"/>
  <c r="AE46" i="15"/>
  <c r="P43" i="15"/>
  <c r="F56" i="15"/>
  <c r="N47" i="15"/>
  <c r="D56" i="15"/>
  <c r="K47" i="15"/>
  <c r="A53" i="15"/>
  <c r="J43" i="15"/>
  <c r="AV58" i="15"/>
  <c r="H54" i="15"/>
  <c r="A49" i="15"/>
  <c r="N62" i="15"/>
  <c r="AT62" i="15"/>
  <c r="AW62" i="15"/>
  <c r="Q49" i="15"/>
  <c r="AE43" i="15"/>
  <c r="D62" i="15"/>
  <c r="N65" i="15"/>
  <c r="AH49" i="15"/>
  <c r="I43" i="15"/>
  <c r="R49" i="15"/>
  <c r="R43" i="15"/>
  <c r="AN62" i="15"/>
  <c r="AV61" i="15"/>
  <c r="I49" i="15"/>
  <c r="M62" i="15"/>
  <c r="L108" i="3"/>
  <c r="M108" i="3" s="1"/>
  <c r="AK49" i="15"/>
  <c r="P47" i="15"/>
  <c r="Q61" i="15"/>
  <c r="N49" i="15"/>
  <c r="AX62" i="15"/>
  <c r="AX61" i="15"/>
  <c r="J49" i="15"/>
  <c r="M47" i="15"/>
  <c r="AO61" i="15"/>
  <c r="I65" i="15"/>
  <c r="K50" i="15"/>
  <c r="Q50" i="15"/>
  <c r="AP59" i="15"/>
  <c r="C49" i="15"/>
  <c r="O49" i="15" s="1"/>
  <c r="Q43" i="15"/>
  <c r="AM59" i="15"/>
  <c r="K49" i="15"/>
  <c r="N48" i="15"/>
  <c r="C56" i="15"/>
  <c r="O56" i="15" s="1"/>
  <c r="F59" i="15"/>
  <c r="L92" i="3"/>
  <c r="M49" i="15"/>
  <c r="AK48" i="15"/>
  <c r="F50" i="15"/>
  <c r="F60" i="15"/>
  <c r="C50" i="15"/>
  <c r="O50" i="15" s="1"/>
  <c r="AH44" i="15"/>
  <c r="R50" i="15"/>
  <c r="G50" i="15"/>
  <c r="AV60" i="15"/>
  <c r="I56" i="15"/>
  <c r="E64" i="15"/>
  <c r="P49" i="15"/>
  <c r="E46" i="15"/>
  <c r="L48" i="15"/>
  <c r="AJ44" i="15"/>
  <c r="N53" i="15"/>
  <c r="D50" i="15"/>
  <c r="L95" i="3"/>
  <c r="P95" i="3" s="1"/>
  <c r="A50" i="15"/>
  <c r="S58" i="15"/>
  <c r="G53" i="15"/>
  <c r="AY59" i="15"/>
  <c r="T59" i="15"/>
  <c r="AZ59" i="15"/>
  <c r="AE44" i="15"/>
  <c r="P44" i="15"/>
  <c r="R48" i="15"/>
  <c r="S59" i="15"/>
  <c r="J59" i="15"/>
  <c r="J50" i="15"/>
  <c r="P53" i="15"/>
  <c r="L53" i="15"/>
  <c r="L50" i="15"/>
  <c r="M50" i="15"/>
  <c r="N50" i="15" s="1"/>
  <c r="H58" i="15"/>
  <c r="R53" i="15"/>
  <c r="AV62" i="15"/>
  <c r="M59" i="15"/>
  <c r="AR59" i="15"/>
  <c r="AS59" i="15"/>
  <c r="AJ49" i="15"/>
  <c r="AA49" i="15"/>
  <c r="E44" i="15"/>
  <c r="D44" i="15"/>
  <c r="AA43" i="15"/>
  <c r="A48" i="15"/>
  <c r="D59" i="15"/>
  <c r="Q44" i="15"/>
  <c r="L107" i="3"/>
  <c r="Q107" i="3" s="1"/>
  <c r="K53" i="15"/>
  <c r="E53" i="15"/>
  <c r="Q53" i="15"/>
  <c r="N98" i="3"/>
  <c r="AW58" i="15"/>
  <c r="L101" i="3"/>
  <c r="O101" i="3" s="1"/>
  <c r="P50" i="15"/>
  <c r="G62" i="15"/>
  <c r="L109" i="3"/>
  <c r="BA59" i="15"/>
  <c r="H59" i="15"/>
  <c r="I59" i="15"/>
  <c r="S49" i="15"/>
  <c r="T49" i="15"/>
  <c r="F49" i="15"/>
  <c r="AA44" i="15"/>
  <c r="N44" i="15"/>
  <c r="S43" i="15"/>
  <c r="AJ48" i="15"/>
  <c r="G60" i="15"/>
  <c r="S62" i="15"/>
  <c r="AL50" i="15"/>
  <c r="D53" i="15"/>
  <c r="Q46" i="15"/>
  <c r="M53" i="15"/>
  <c r="K58" i="15"/>
  <c r="R56" i="15"/>
  <c r="E50" i="15"/>
  <c r="J62" i="15"/>
  <c r="P59" i="15"/>
  <c r="L106" i="3"/>
  <c r="Q106" i="3" s="1"/>
  <c r="AE49" i="15"/>
  <c r="AI49" i="15"/>
  <c r="AG49" i="15"/>
  <c r="M44" i="15"/>
  <c r="F46" i="15"/>
  <c r="AI43" i="15"/>
  <c r="T47" i="15"/>
  <c r="A59" i="15"/>
  <c r="AT59" i="15"/>
  <c r="AI59" i="15"/>
  <c r="AG44" i="15"/>
  <c r="AR58" i="15"/>
  <c r="L59" i="15"/>
  <c r="AW59" i="15"/>
  <c r="AN59" i="15"/>
  <c r="T45" i="15"/>
  <c r="H44" i="15"/>
  <c r="C48" i="15"/>
  <c r="O48" i="15" s="1"/>
  <c r="I53" i="15"/>
  <c r="S50" i="15"/>
  <c r="AO58" i="15"/>
  <c r="D60" i="15"/>
  <c r="Q59" i="15"/>
  <c r="E59" i="15"/>
  <c r="R59" i="15"/>
  <c r="AG45" i="15"/>
  <c r="L44" i="15"/>
  <c r="M46" i="15"/>
  <c r="Q48" i="15"/>
  <c r="AI44" i="15"/>
  <c r="AP58" i="15"/>
  <c r="R60" i="15"/>
  <c r="AV59" i="15"/>
  <c r="AQ59" i="15"/>
  <c r="C59" i="15"/>
  <c r="O59" i="15" s="1"/>
  <c r="F44" i="15"/>
  <c r="S44" i="15"/>
  <c r="AG48" i="15"/>
  <c r="S53" i="15"/>
  <c r="E60" i="15"/>
  <c r="N59" i="15"/>
  <c r="AX59" i="15"/>
  <c r="AU59" i="15"/>
  <c r="A44" i="15"/>
  <c r="R44" i="15"/>
  <c r="AH43" i="15"/>
  <c r="I48" i="15"/>
  <c r="G45" i="15"/>
  <c r="AQ62" i="15"/>
  <c r="L60" i="15"/>
  <c r="H53" i="15"/>
  <c r="J58" i="15"/>
  <c r="G54" i="15"/>
  <c r="T60" i="15"/>
  <c r="G59" i="15"/>
  <c r="K59" i="15"/>
  <c r="G49" i="15"/>
  <c r="AK44" i="15"/>
  <c r="C44" i="15"/>
  <c r="O44" i="15" s="1"/>
  <c r="L43" i="15"/>
  <c r="AA48" i="15"/>
  <c r="V10" i="4" a="1"/>
  <c r="V10" i="4" s="1"/>
  <c r="X10" i="4" a="1"/>
  <c r="X10" i="4" s="1"/>
  <c r="Z10" i="4" s="1"/>
  <c r="AL9" i="20"/>
  <c r="AO9" i="20" s="1"/>
  <c r="AE10" i="8"/>
  <c r="AE15" i="8"/>
  <c r="AE12" i="8"/>
  <c r="AE14" i="8"/>
  <c r="AE13" i="8"/>
  <c r="AE11" i="8"/>
  <c r="AA8" i="8"/>
  <c r="AB8" i="8" s="1"/>
  <c r="AE9" i="8"/>
  <c r="AE8" i="8"/>
  <c r="AD8" i="8" s="1"/>
  <c r="R10" i="5"/>
  <c r="R11" i="5"/>
  <c r="R9" i="5"/>
  <c r="Q9" i="5"/>
  <c r="Q8" i="5"/>
  <c r="R8" i="5"/>
  <c r="Y17" i="5"/>
  <c r="W14" i="4" a="1"/>
  <c r="W14" i="4" s="1"/>
  <c r="Z14" i="4" s="1"/>
  <c r="W11" i="4" a="1"/>
  <c r="W11" i="4" s="1"/>
  <c r="X11" i="4" a="1"/>
  <c r="X11" i="4" s="1"/>
  <c r="U15" i="4" a="1"/>
  <c r="U15" i="4" s="1"/>
  <c r="U14" i="4" a="1"/>
  <c r="U14" i="4" s="1"/>
  <c r="V14" i="4" a="1"/>
  <c r="V14" i="4" s="1"/>
  <c r="U13" i="4" a="1"/>
  <c r="U13" i="4" s="1"/>
  <c r="Y13" i="4" s="1"/>
  <c r="W13" i="4" a="1"/>
  <c r="W13" i="4" s="1"/>
  <c r="X13" i="4" a="1"/>
  <c r="X13" i="4" s="1"/>
  <c r="U9" i="4" a="1"/>
  <c r="U9" i="4" s="1"/>
  <c r="V9" i="4" a="1"/>
  <c r="V9" i="4" s="1"/>
  <c r="X9" i="4" a="1"/>
  <c r="X9" i="4" s="1"/>
  <c r="Z9" i="4" s="1"/>
  <c r="W8" i="4" a="1"/>
  <c r="W8" i="4" s="1"/>
  <c r="Z8" i="4" s="1"/>
  <c r="V8" i="4" a="1"/>
  <c r="V8" i="4" s="1"/>
  <c r="V11" i="4" a="1"/>
  <c r="V11" i="4" s="1"/>
  <c r="Y11" i="4" s="1"/>
  <c r="X12" i="4" a="1"/>
  <c r="X12" i="4" s="1"/>
  <c r="U12" i="4" a="1"/>
  <c r="U12" i="4" s="1"/>
  <c r="Y12" i="4" s="1"/>
  <c r="V15" i="4" a="1"/>
  <c r="V15" i="4" s="1"/>
  <c r="W12" i="4" a="1"/>
  <c r="W12" i="4" s="1"/>
  <c r="X15" i="4" a="1"/>
  <c r="X15" i="4" s="1"/>
  <c r="Z15" i="4" s="1"/>
  <c r="L31" i="15"/>
  <c r="R31" i="15"/>
  <c r="C31" i="15"/>
  <c r="O31" i="15" s="1"/>
  <c r="I31" i="15"/>
  <c r="M31" i="15"/>
  <c r="L70" i="3"/>
  <c r="M70" i="3" s="1"/>
  <c r="E32" i="15"/>
  <c r="J32" i="15"/>
  <c r="D28" i="15"/>
  <c r="F28" i="15"/>
  <c r="L67" i="3"/>
  <c r="Q28" i="15"/>
  <c r="G28" i="15"/>
  <c r="K28" i="15"/>
  <c r="J28" i="15"/>
  <c r="A28" i="15"/>
  <c r="E28" i="15"/>
  <c r="P28" i="15"/>
  <c r="L28" i="15"/>
  <c r="AC28" i="15"/>
  <c r="R28" i="15"/>
  <c r="T28" i="15"/>
  <c r="S28" i="15"/>
  <c r="I28" i="15"/>
  <c r="N28" i="15"/>
  <c r="M28" i="15"/>
  <c r="C28" i="15"/>
  <c r="O28" i="15" s="1"/>
  <c r="AD28" i="15"/>
  <c r="H28" i="15"/>
  <c r="C30" i="15"/>
  <c r="O30" i="15" s="1"/>
  <c r="K30" i="15"/>
  <c r="G30" i="15"/>
  <c r="A30" i="15"/>
  <c r="T30" i="15"/>
  <c r="P30" i="15"/>
  <c r="S30" i="15"/>
  <c r="D30" i="15"/>
  <c r="I30" i="15"/>
  <c r="J30" i="15"/>
  <c r="L69" i="3"/>
  <c r="F30" i="15"/>
  <c r="AD30" i="15"/>
  <c r="AC30" i="15"/>
  <c r="R30" i="15"/>
  <c r="L30" i="15"/>
  <c r="E30" i="15"/>
  <c r="Q30" i="15"/>
  <c r="M30" i="15"/>
  <c r="N30" i="15"/>
  <c r="H30" i="15"/>
  <c r="AC29" i="15"/>
  <c r="C29" i="15"/>
  <c r="O29" i="15" s="1"/>
  <c r="H29" i="15"/>
  <c r="B27" i="15"/>
  <c r="H33" i="15"/>
  <c r="S33" i="15"/>
  <c r="N33" i="15"/>
  <c r="T33" i="15"/>
  <c r="Z16" i="9"/>
  <c r="R16" i="11"/>
  <c r="Q9" i="11"/>
  <c r="Q8" i="11"/>
  <c r="AL15" i="20"/>
  <c r="AO15" i="20" s="1"/>
  <c r="AL14" i="20"/>
  <c r="AO14" i="20" s="1"/>
  <c r="AL13" i="20"/>
  <c r="AO13" i="20" s="1"/>
  <c r="AL12" i="20"/>
  <c r="AO12" i="20" s="1"/>
  <c r="AL10" i="20"/>
  <c r="AO10" i="20" s="1"/>
  <c r="AP17" i="20"/>
  <c r="F24" i="3" s="1"/>
  <c r="AN17" i="20"/>
  <c r="D24" i="3" s="1"/>
  <c r="AL8" i="20"/>
  <c r="AO8" i="20" s="1"/>
  <c r="L29" i="15"/>
  <c r="Q31" i="15"/>
  <c r="N29" i="15"/>
  <c r="K29" i="15"/>
  <c r="G33" i="15"/>
  <c r="E33" i="15"/>
  <c r="AC31" i="15"/>
  <c r="F31" i="15"/>
  <c r="L55" i="15"/>
  <c r="E42" i="15"/>
  <c r="K63" i="15"/>
  <c r="BA63" i="15"/>
  <c r="AK45" i="15"/>
  <c r="P32" i="15"/>
  <c r="D29" i="15"/>
  <c r="AX63" i="15"/>
  <c r="R29" i="15"/>
  <c r="P29" i="15"/>
  <c r="K33" i="15"/>
  <c r="J33" i="15"/>
  <c r="T31" i="15"/>
  <c r="N31" i="15"/>
  <c r="C45" i="15"/>
  <c r="O45" i="15" s="1"/>
  <c r="I55" i="15"/>
  <c r="L100" i="3"/>
  <c r="N100" i="3" s="1"/>
  <c r="S60" i="15"/>
  <c r="P55" i="15"/>
  <c r="A60" i="15"/>
  <c r="E65" i="15"/>
  <c r="Q63" i="15"/>
  <c r="AS63" i="15"/>
  <c r="F63" i="15"/>
  <c r="L88" i="3"/>
  <c r="O88" i="3" s="1"/>
  <c r="L68" i="3"/>
  <c r="O68" i="3" s="1"/>
  <c r="A29" i="15"/>
  <c r="D33" i="15"/>
  <c r="C33" i="15"/>
  <c r="O33" i="15" s="1"/>
  <c r="AD31" i="15"/>
  <c r="K31" i="15"/>
  <c r="R45" i="15"/>
  <c r="N55" i="15"/>
  <c r="AS60" i="15"/>
  <c r="R55" i="15"/>
  <c r="AO60" i="15"/>
  <c r="AP65" i="15"/>
  <c r="R63" i="15"/>
  <c r="AQ63" i="15"/>
  <c r="J63" i="15"/>
  <c r="D32" i="15"/>
  <c r="C32" i="15"/>
  <c r="O32" i="15" s="1"/>
  <c r="AD29" i="15"/>
  <c r="S29" i="15"/>
  <c r="AC33" i="15"/>
  <c r="I33" i="15"/>
  <c r="S31" i="15"/>
  <c r="D31" i="15"/>
  <c r="N45" i="15"/>
  <c r="P101" i="3"/>
  <c r="AX60" i="15"/>
  <c r="T63" i="15"/>
  <c r="AM63" i="15"/>
  <c r="AV63" i="15"/>
  <c r="M32" i="15"/>
  <c r="F32" i="15"/>
  <c r="M29" i="15"/>
  <c r="K45" i="15"/>
  <c r="M101" i="3"/>
  <c r="P63" i="15"/>
  <c r="K32" i="15"/>
  <c r="Q29" i="15"/>
  <c r="L72" i="3"/>
  <c r="N72" i="3" s="1"/>
  <c r="A33" i="15"/>
  <c r="P31" i="15"/>
  <c r="G31" i="15"/>
  <c r="E45" i="15"/>
  <c r="J60" i="15"/>
  <c r="D63" i="15"/>
  <c r="AI63" i="15"/>
  <c r="AU63" i="15"/>
  <c r="T32" i="15"/>
  <c r="Q32" i="15"/>
  <c r="C63" i="15"/>
  <c r="O63" i="15" s="1"/>
  <c r="J29" i="15"/>
  <c r="C55" i="15"/>
  <c r="O55" i="15" s="1"/>
  <c r="I45" i="15"/>
  <c r="F29" i="15"/>
  <c r="M33" i="15"/>
  <c r="L33" i="15"/>
  <c r="J31" i="15"/>
  <c r="D45" i="15"/>
  <c r="M60" i="15"/>
  <c r="AW63" i="15"/>
  <c r="AP63" i="15"/>
  <c r="M45" i="15"/>
  <c r="M43" i="15"/>
  <c r="AC32" i="15"/>
  <c r="M63" i="15"/>
  <c r="AZ63" i="15"/>
  <c r="T29" i="15"/>
  <c r="AD33" i="15"/>
  <c r="F33" i="15"/>
  <c r="A31" i="15"/>
  <c r="H45" i="15"/>
  <c r="R64" i="15"/>
  <c r="H60" i="15"/>
  <c r="L110" i="3"/>
  <c r="AY63" i="15"/>
  <c r="A45" i="15"/>
  <c r="N32" i="15"/>
  <c r="AD32" i="15"/>
  <c r="P33" i="15"/>
  <c r="H31" i="15"/>
  <c r="D64" i="15"/>
  <c r="C60" i="15"/>
  <c r="O60" i="15" s="1"/>
  <c r="S63" i="15"/>
  <c r="G63" i="15"/>
  <c r="Q45" i="15"/>
  <c r="D43" i="15"/>
  <c r="S32" i="15"/>
  <c r="N63" i="15"/>
  <c r="E29" i="15"/>
  <c r="I29" i="15"/>
  <c r="Q33" i="15"/>
  <c r="J45" i="15"/>
  <c r="G29" i="15"/>
  <c r="R33" i="15"/>
  <c r="E31" i="15"/>
  <c r="AI64" i="15"/>
  <c r="AU60" i="15"/>
  <c r="I63" i="15"/>
  <c r="N60" i="15"/>
  <c r="L63" i="15"/>
  <c r="AA45" i="15"/>
  <c r="L32" i="15"/>
  <c r="AG46" i="15"/>
  <c r="AU61" i="15"/>
  <c r="I61" i="15"/>
  <c r="AO64" i="15"/>
  <c r="AT65" i="15"/>
  <c r="T61" i="15"/>
  <c r="M61" i="15"/>
  <c r="AH45" i="15"/>
  <c r="AJ45" i="15"/>
  <c r="AA46" i="15"/>
  <c r="AK46" i="15"/>
  <c r="AI48" i="15"/>
  <c r="AI47" i="15"/>
  <c r="C47" i="15"/>
  <c r="O47" i="15" s="1"/>
  <c r="P45" i="15"/>
  <c r="E57" i="15"/>
  <c r="G46" i="15"/>
  <c r="AW64" i="15"/>
  <c r="I64" i="15"/>
  <c r="AN64" i="15"/>
  <c r="L65" i="15"/>
  <c r="AN61" i="15"/>
  <c r="T46" i="15"/>
  <c r="F47" i="15"/>
  <c r="P46" i="15"/>
  <c r="AP61" i="15"/>
  <c r="K64" i="15"/>
  <c r="AU64" i="15"/>
  <c r="AS64" i="15"/>
  <c r="T65" i="15"/>
  <c r="BA61" i="15"/>
  <c r="D46" i="15"/>
  <c r="L89" i="3"/>
  <c r="H47" i="15"/>
  <c r="G42" i="15"/>
  <c r="P61" i="15"/>
  <c r="Q42" i="15"/>
  <c r="P65" i="15"/>
  <c r="AR61" i="15"/>
  <c r="H46" i="15"/>
  <c r="L47" i="15"/>
  <c r="F61" i="15"/>
  <c r="C64" i="15"/>
  <c r="O64" i="15" s="1"/>
  <c r="BA65" i="15"/>
  <c r="G65" i="15"/>
  <c r="AM64" i="15"/>
  <c r="AY61" i="15"/>
  <c r="AE45" i="15"/>
  <c r="N46" i="15"/>
  <c r="J47" i="15"/>
  <c r="J46" i="15"/>
  <c r="AZ61" i="15"/>
  <c r="A61" i="15"/>
  <c r="K46" i="15"/>
  <c r="A46" i="15"/>
  <c r="G61" i="15"/>
  <c r="BA64" i="15"/>
  <c r="H65" i="15"/>
  <c r="F65" i="15"/>
  <c r="AM61" i="15"/>
  <c r="D61" i="15"/>
  <c r="S45" i="15"/>
  <c r="I46" i="15"/>
  <c r="S48" i="15"/>
  <c r="A47" i="15"/>
  <c r="Q47" i="15"/>
  <c r="M64" i="15"/>
  <c r="AV65" i="15"/>
  <c r="AQ65" i="15"/>
  <c r="AS61" i="15"/>
  <c r="AQ61" i="15"/>
  <c r="AI46" i="15"/>
  <c r="L90" i="3"/>
  <c r="AK47" i="15"/>
  <c r="C46" i="15"/>
  <c r="O46" i="15" s="1"/>
  <c r="AI61" i="15"/>
  <c r="L111" i="3"/>
  <c r="N111" i="3" s="1"/>
  <c r="R65" i="15"/>
  <c r="AW65" i="15"/>
  <c r="S61" i="15"/>
  <c r="H61" i="15"/>
  <c r="L45" i="15"/>
  <c r="R46" i="15"/>
  <c r="T48" i="15"/>
  <c r="AE47" i="15"/>
  <c r="AJ47" i="15"/>
  <c r="AJ46" i="15"/>
  <c r="C61" i="15"/>
  <c r="O61" i="15" s="1"/>
  <c r="AT61" i="15"/>
  <c r="AT64" i="15"/>
  <c r="AN65" i="15"/>
  <c r="N61" i="15"/>
  <c r="R61" i="15"/>
  <c r="AI45" i="15"/>
  <c r="AH46" i="15"/>
  <c r="S46" i="15"/>
  <c r="H48" i="15"/>
  <c r="AG47" i="15"/>
  <c r="AE42" i="15"/>
  <c r="Q101" i="3"/>
  <c r="AU58" i="15"/>
  <c r="C58" i="15"/>
  <c r="O58" i="15" s="1"/>
  <c r="D54" i="15"/>
  <c r="A55" i="15"/>
  <c r="H55" i="15"/>
  <c r="F55" i="15"/>
  <c r="G55" i="15"/>
  <c r="S55" i="15"/>
  <c r="Q55" i="15"/>
  <c r="E55" i="15"/>
  <c r="J55" i="15"/>
  <c r="T42" i="15"/>
  <c r="AZ58" i="15"/>
  <c r="AN58" i="15"/>
  <c r="N101" i="3"/>
  <c r="L102" i="3"/>
  <c r="J54" i="15"/>
  <c r="N108" i="3"/>
  <c r="O108" i="3"/>
  <c r="P108" i="3"/>
  <c r="P57" i="15"/>
  <c r="Q57" i="15"/>
  <c r="J42" i="15"/>
  <c r="K42" i="15"/>
  <c r="M54" i="15"/>
  <c r="O107" i="3"/>
  <c r="D55" i="15"/>
  <c r="M55" i="15"/>
  <c r="K55" i="15"/>
  <c r="P58" i="15"/>
  <c r="C54" i="15"/>
  <c r="O54" i="15" s="1"/>
  <c r="I54" i="15"/>
  <c r="N42" i="15"/>
  <c r="G57" i="15"/>
  <c r="M57" i="15"/>
  <c r="R57" i="15"/>
  <c r="H57" i="15"/>
  <c r="N57" i="15"/>
  <c r="L57" i="15"/>
  <c r="A57" i="15"/>
  <c r="D57" i="15"/>
  <c r="S57" i="15"/>
  <c r="F57" i="15"/>
  <c r="I57" i="15"/>
  <c r="AH42" i="15"/>
  <c r="L42" i="15"/>
  <c r="H42" i="15"/>
  <c r="AI42" i="15"/>
  <c r="I42" i="15"/>
  <c r="R42" i="15"/>
  <c r="S42" i="15"/>
  <c r="P42" i="15"/>
  <c r="D42" i="15"/>
  <c r="C42" i="15"/>
  <c r="O42" i="15" s="1"/>
  <c r="F42" i="15"/>
  <c r="AA42" i="15"/>
  <c r="AJ42" i="15"/>
  <c r="AG42" i="15"/>
  <c r="M42" i="15"/>
  <c r="F54" i="15"/>
  <c r="R54" i="15"/>
  <c r="L54" i="15"/>
  <c r="S54" i="15"/>
  <c r="N54" i="15"/>
  <c r="K54" i="15"/>
  <c r="L99" i="3"/>
  <c r="Q54" i="15"/>
  <c r="A54" i="15"/>
  <c r="A42" i="15"/>
  <c r="K57" i="15"/>
  <c r="L85" i="3"/>
  <c r="C57" i="15"/>
  <c r="O57" i="15" s="1"/>
  <c r="AL54" i="15"/>
  <c r="D58" i="15"/>
  <c r="A58" i="15"/>
  <c r="F58" i="15"/>
  <c r="AQ58" i="15"/>
  <c r="BA58" i="15"/>
  <c r="AI58" i="15"/>
  <c r="N58" i="15"/>
  <c r="AS58" i="15"/>
  <c r="AY58" i="15"/>
  <c r="AX58" i="15"/>
  <c r="T58" i="15"/>
  <c r="I58" i="15"/>
  <c r="Q58" i="15"/>
  <c r="R58" i="15"/>
  <c r="L105" i="3"/>
  <c r="G58" i="15"/>
  <c r="L58" i="15"/>
  <c r="AM58" i="15"/>
  <c r="Q108" i="3"/>
  <c r="M98" i="3"/>
  <c r="Q98" i="3"/>
  <c r="O98" i="3"/>
  <c r="AW60" i="15"/>
  <c r="AR62" i="15"/>
  <c r="AM60" i="15"/>
  <c r="L56" i="15"/>
  <c r="AL53" i="15"/>
  <c r="Q64" i="15"/>
  <c r="F64" i="15"/>
  <c r="J64" i="15"/>
  <c r="P60" i="15"/>
  <c r="AR60" i="15"/>
  <c r="J65" i="15"/>
  <c r="C65" i="15"/>
  <c r="O65" i="15" s="1"/>
  <c r="AI65" i="15"/>
  <c r="AP62" i="15"/>
  <c r="C53" i="15"/>
  <c r="O53" i="15" s="1"/>
  <c r="A63" i="15"/>
  <c r="AR63" i="15"/>
  <c r="E63" i="15"/>
  <c r="AM62" i="15"/>
  <c r="E61" i="15"/>
  <c r="K61" i="15"/>
  <c r="T44" i="15"/>
  <c r="K44" i="15"/>
  <c r="L86" i="3"/>
  <c r="N43" i="15"/>
  <c r="K48" i="15"/>
  <c r="E48" i="15"/>
  <c r="I47" i="15"/>
  <c r="S47" i="15"/>
  <c r="A32" i="15"/>
  <c r="L71" i="3"/>
  <c r="P109" i="3"/>
  <c r="S56" i="15"/>
  <c r="L64" i="15"/>
  <c r="T64" i="15"/>
  <c r="N64" i="15"/>
  <c r="AQ60" i="15"/>
  <c r="AY60" i="15"/>
  <c r="AY65" i="15"/>
  <c r="AU65" i="15"/>
  <c r="AR65" i="15"/>
  <c r="AO65" i="15"/>
  <c r="A62" i="15"/>
  <c r="Q109" i="3"/>
  <c r="J44" i="15"/>
  <c r="H43" i="15"/>
  <c r="G43" i="15"/>
  <c r="AE48" i="15"/>
  <c r="J48" i="15"/>
  <c r="AA47" i="15"/>
  <c r="R47" i="15"/>
  <c r="G32" i="15"/>
  <c r="I32" i="15"/>
  <c r="AU62" i="15"/>
  <c r="BA60" i="15"/>
  <c r="I60" i="15"/>
  <c r="M56" i="15"/>
  <c r="AY64" i="15"/>
  <c r="AQ64" i="15"/>
  <c r="P64" i="15"/>
  <c r="AI60" i="15"/>
  <c r="AP60" i="15"/>
  <c r="AM65" i="15"/>
  <c r="AX65" i="15"/>
  <c r="Q65" i="15"/>
  <c r="P62" i="15"/>
  <c r="Q56" i="15"/>
  <c r="AO63" i="15"/>
  <c r="AN63" i="15"/>
  <c r="M109" i="3"/>
  <c r="L61" i="15"/>
  <c r="J61" i="15"/>
  <c r="I62" i="15"/>
  <c r="L87" i="3"/>
  <c r="I44" i="15"/>
  <c r="AK43" i="15"/>
  <c r="P48" i="15"/>
  <c r="L91" i="3"/>
  <c r="G48" i="15"/>
  <c r="D47" i="15"/>
  <c r="AH47" i="15"/>
  <c r="R32" i="15"/>
  <c r="H32" i="15"/>
  <c r="F62" i="15"/>
  <c r="A56" i="15"/>
  <c r="J56" i="15"/>
  <c r="AP64" i="15"/>
  <c r="AR64" i="15"/>
  <c r="AX64" i="15"/>
  <c r="AN60" i="15"/>
  <c r="K60" i="15"/>
  <c r="K65" i="15"/>
  <c r="AS65" i="15"/>
  <c r="AO62" i="15"/>
  <c r="K62" i="15"/>
  <c r="AG43" i="15"/>
  <c r="D48" i="15"/>
  <c r="F48" i="15"/>
  <c r="AH48" i="15"/>
  <c r="E47" i="15"/>
  <c r="L62" i="15"/>
  <c r="K56" i="15"/>
  <c r="P56" i="15"/>
  <c r="G64" i="15"/>
  <c r="S64" i="15"/>
  <c r="AZ64" i="15"/>
  <c r="AZ60" i="15"/>
  <c r="L112" i="3"/>
  <c r="S65" i="15"/>
  <c r="D65" i="15"/>
  <c r="AZ62" i="15"/>
  <c r="H62" i="15"/>
  <c r="A43" i="15"/>
  <c r="AI62" i="15"/>
  <c r="A64" i="15"/>
  <c r="H64" i="15"/>
  <c r="AT60" i="15"/>
  <c r="AZ65" i="15"/>
  <c r="AS62" i="15"/>
  <c r="BA62" i="15"/>
  <c r="AD12" i="4" l="1"/>
  <c r="Z11" i="4"/>
  <c r="AD11" i="4"/>
  <c r="AC11" i="4"/>
  <c r="AD13" i="4"/>
  <c r="W8" i="5"/>
  <c r="X8" i="5"/>
  <c r="V8" i="5" s="1"/>
  <c r="Y8" i="4"/>
  <c r="C68" i="15"/>
  <c r="O68" i="15" s="1"/>
  <c r="F68" i="15"/>
  <c r="P68" i="15"/>
  <c r="C71" i="15"/>
  <c r="O71" i="15" s="1"/>
  <c r="H71" i="15"/>
  <c r="Q71" i="15"/>
  <c r="G71" i="15"/>
  <c r="N71" i="15"/>
  <c r="K68" i="15"/>
  <c r="J68" i="15"/>
  <c r="S67" i="15"/>
  <c r="A67" i="15"/>
  <c r="G68" i="15"/>
  <c r="I67" i="15"/>
  <c r="E68" i="15"/>
  <c r="I68" i="15"/>
  <c r="S68" i="15"/>
  <c r="L67" i="15"/>
  <c r="AB68" i="15"/>
  <c r="P67" i="15"/>
  <c r="L68" i="15"/>
  <c r="R67" i="15"/>
  <c r="M68" i="15"/>
  <c r="N68" i="15" s="1"/>
  <c r="Q68" i="15"/>
  <c r="F67" i="15"/>
  <c r="D68" i="15"/>
  <c r="E67" i="15"/>
  <c r="G67" i="15"/>
  <c r="R68" i="15"/>
  <c r="Q72" i="15"/>
  <c r="A72" i="15"/>
  <c r="S72" i="15"/>
  <c r="D67" i="15"/>
  <c r="R71" i="15"/>
  <c r="L117" i="3"/>
  <c r="O117" i="3" s="1"/>
  <c r="M71" i="15"/>
  <c r="R70" i="15"/>
  <c r="I72" i="15"/>
  <c r="C72" i="15"/>
  <c r="O72" i="15" s="1"/>
  <c r="J67" i="15"/>
  <c r="L122" i="3"/>
  <c r="P122" i="3" s="1"/>
  <c r="P72" i="15"/>
  <c r="Q67" i="15"/>
  <c r="M67" i="15"/>
  <c r="N67" i="15" s="1"/>
  <c r="R72" i="15"/>
  <c r="K72" i="15"/>
  <c r="AB67" i="15"/>
  <c r="C67" i="15"/>
  <c r="O67" i="15" s="1"/>
  <c r="L71" i="15"/>
  <c r="AB72" i="15"/>
  <c r="J72" i="15"/>
  <c r="I71" i="15"/>
  <c r="D72" i="15"/>
  <c r="E72" i="15"/>
  <c r="L121" i="3"/>
  <c r="Q121" i="3" s="1"/>
  <c r="L119" i="3"/>
  <c r="M119" i="3" s="1"/>
  <c r="D71" i="15"/>
  <c r="S69" i="15"/>
  <c r="K69" i="15"/>
  <c r="P69" i="15"/>
  <c r="AB71" i="15"/>
  <c r="F72" i="15"/>
  <c r="M69" i="15"/>
  <c r="N69" i="15" s="1"/>
  <c r="F71" i="15"/>
  <c r="P71" i="15"/>
  <c r="K71" i="15"/>
  <c r="G72" i="15"/>
  <c r="A70" i="15"/>
  <c r="E71" i="15"/>
  <c r="A71" i="15"/>
  <c r="J71" i="15"/>
  <c r="L123" i="3"/>
  <c r="P123" i="3" s="1"/>
  <c r="F73" i="15"/>
  <c r="S73" i="15"/>
  <c r="AB73" i="15"/>
  <c r="N73" i="15"/>
  <c r="N72" i="15"/>
  <c r="M72" i="15"/>
  <c r="L118" i="3"/>
  <c r="O118" i="3" s="1"/>
  <c r="R73" i="15"/>
  <c r="L72" i="15"/>
  <c r="Q73" i="15"/>
  <c r="E73" i="15"/>
  <c r="M73" i="15"/>
  <c r="A73" i="15"/>
  <c r="G66" i="15"/>
  <c r="H73" i="15"/>
  <c r="P73" i="15"/>
  <c r="I73" i="15"/>
  <c r="G73" i="15"/>
  <c r="L73" i="15"/>
  <c r="K73" i="15"/>
  <c r="D73" i="15"/>
  <c r="T17" i="7"/>
  <c r="V8" i="7"/>
  <c r="B26" i="15"/>
  <c r="AC26" i="15" s="1"/>
  <c r="V11" i="6"/>
  <c r="V13" i="6"/>
  <c r="W13" i="6" s="1"/>
  <c r="Y10" i="4"/>
  <c r="Z12" i="4"/>
  <c r="AC12" i="4" s="1"/>
  <c r="Q66" i="15"/>
  <c r="C66" i="15"/>
  <c r="O66" i="15" s="1"/>
  <c r="L66" i="15"/>
  <c r="AB66" i="15"/>
  <c r="A66" i="15"/>
  <c r="M66" i="15"/>
  <c r="N66" i="15" s="1"/>
  <c r="V9" i="6"/>
  <c r="W9" i="6" s="1"/>
  <c r="B17" i="15"/>
  <c r="M17" i="15" s="1"/>
  <c r="B14" i="15"/>
  <c r="R14" i="15" s="1"/>
  <c r="B16" i="15"/>
  <c r="Z16" i="15" s="1"/>
  <c r="B15" i="15"/>
  <c r="Q15" i="15" s="1"/>
  <c r="B13" i="15"/>
  <c r="D13" i="15" s="1"/>
  <c r="B12" i="15"/>
  <c r="G12" i="15" s="1"/>
  <c r="M70" i="15"/>
  <c r="N70" i="15" s="1"/>
  <c r="L70" i="15"/>
  <c r="L69" i="15"/>
  <c r="F69" i="15"/>
  <c r="F70" i="15"/>
  <c r="C70" i="15"/>
  <c r="O70" i="15" s="1"/>
  <c r="E69" i="15"/>
  <c r="Q70" i="15"/>
  <c r="I70" i="15"/>
  <c r="L120" i="3"/>
  <c r="M120" i="3" s="1"/>
  <c r="D70" i="15"/>
  <c r="AB69" i="15"/>
  <c r="E70" i="15"/>
  <c r="R69" i="15"/>
  <c r="G69" i="15"/>
  <c r="K70" i="15"/>
  <c r="A69" i="15"/>
  <c r="J70" i="15"/>
  <c r="Q69" i="15"/>
  <c r="AB70" i="15"/>
  <c r="S70" i="15"/>
  <c r="I69" i="15"/>
  <c r="D69" i="15"/>
  <c r="C73" i="15"/>
  <c r="O73" i="15" s="1"/>
  <c r="L116" i="3"/>
  <c r="K66" i="15"/>
  <c r="P66" i="15"/>
  <c r="I66" i="15"/>
  <c r="S66" i="15"/>
  <c r="E66" i="15"/>
  <c r="D66" i="15"/>
  <c r="J66" i="15"/>
  <c r="F66" i="15"/>
  <c r="R66" i="15"/>
  <c r="P70" i="15"/>
  <c r="C69" i="15"/>
  <c r="O69" i="15" s="1"/>
  <c r="J69" i="15"/>
  <c r="AD9" i="8"/>
  <c r="B35" i="15" s="1"/>
  <c r="AD35" i="15" s="1"/>
  <c r="AD11" i="8"/>
  <c r="B37" i="15" s="1"/>
  <c r="A37" i="15" s="1"/>
  <c r="AD14" i="8"/>
  <c r="B40" i="15" s="1"/>
  <c r="F40" i="15" s="1"/>
  <c r="AD13" i="8"/>
  <c r="B39" i="15" s="1"/>
  <c r="K39" i="15" s="1"/>
  <c r="AD12" i="8"/>
  <c r="B38" i="15" s="1"/>
  <c r="J38" i="15" s="1"/>
  <c r="AD15" i="8"/>
  <c r="B41" i="15" s="1"/>
  <c r="F41" i="15" s="1"/>
  <c r="AD10" i="8"/>
  <c r="B36" i="15" s="1"/>
  <c r="AA36" i="15" s="1"/>
  <c r="B34" i="15"/>
  <c r="AB17" i="8"/>
  <c r="W10" i="6"/>
  <c r="V12" i="6"/>
  <c r="W12" i="6" s="1"/>
  <c r="B20" i="15"/>
  <c r="P20" i="15" s="1"/>
  <c r="W15" i="6"/>
  <c r="W14" i="6"/>
  <c r="V8" i="6"/>
  <c r="AA8" i="6" s="1"/>
  <c r="Z13" i="4"/>
  <c r="AC13" i="4" s="1"/>
  <c r="O100" i="3"/>
  <c r="P100" i="3"/>
  <c r="N106" i="3"/>
  <c r="M106" i="3"/>
  <c r="O106" i="3"/>
  <c r="P106" i="3"/>
  <c r="P111" i="3"/>
  <c r="M100" i="3"/>
  <c r="Q100" i="3"/>
  <c r="N70" i="3"/>
  <c r="Q70" i="3"/>
  <c r="M95" i="3"/>
  <c r="M107" i="3"/>
  <c r="O95" i="3"/>
  <c r="O92" i="3"/>
  <c r="P92" i="3"/>
  <c r="M92" i="3"/>
  <c r="N92" i="3"/>
  <c r="Q92" i="3"/>
  <c r="O70" i="3"/>
  <c r="Q95" i="3"/>
  <c r="H50" i="15" s="1"/>
  <c r="P107" i="3"/>
  <c r="N107" i="3"/>
  <c r="O109" i="3"/>
  <c r="N109" i="3"/>
  <c r="N95" i="3"/>
  <c r="Y9" i="4"/>
  <c r="AO17" i="20"/>
  <c r="E24" i="3" s="1"/>
  <c r="AC17" i="8"/>
  <c r="M68" i="3"/>
  <c r="P68" i="3"/>
  <c r="Y15" i="4"/>
  <c r="Y14" i="4"/>
  <c r="P70" i="3"/>
  <c r="P69" i="3"/>
  <c r="N69" i="3"/>
  <c r="O69" i="3"/>
  <c r="M69" i="3"/>
  <c r="Q69" i="3"/>
  <c r="G27" i="15"/>
  <c r="S27" i="15"/>
  <c r="A27" i="15"/>
  <c r="I27" i="15"/>
  <c r="E27" i="15"/>
  <c r="Q27" i="15"/>
  <c r="F27" i="15"/>
  <c r="P27" i="15"/>
  <c r="J27" i="15"/>
  <c r="D27" i="15"/>
  <c r="L27" i="15"/>
  <c r="C27" i="15"/>
  <c r="O27" i="15" s="1"/>
  <c r="AC27" i="15"/>
  <c r="T27" i="15"/>
  <c r="M27" i="15"/>
  <c r="N27" i="15" s="1"/>
  <c r="L66" i="3"/>
  <c r="AD27" i="15"/>
  <c r="K27" i="15"/>
  <c r="R27" i="15"/>
  <c r="M67" i="3"/>
  <c r="P67" i="3"/>
  <c r="O67" i="3"/>
  <c r="Q67" i="3"/>
  <c r="N67" i="3"/>
  <c r="B51" i="15"/>
  <c r="Q16" i="11"/>
  <c r="P8" i="11"/>
  <c r="P9" i="11"/>
  <c r="B52" i="15"/>
  <c r="M72" i="3"/>
  <c r="P88" i="3"/>
  <c r="P110" i="3"/>
  <c r="O110" i="3"/>
  <c r="M110" i="3"/>
  <c r="N110" i="3"/>
  <c r="Q110" i="3"/>
  <c r="M88" i="3"/>
  <c r="N88" i="3"/>
  <c r="Q72" i="3"/>
  <c r="Q88" i="3"/>
  <c r="O72" i="3"/>
  <c r="P72" i="3"/>
  <c r="Q68" i="3"/>
  <c r="N68" i="3"/>
  <c r="O111" i="3"/>
  <c r="Q89" i="3"/>
  <c r="O89" i="3"/>
  <c r="P89" i="3"/>
  <c r="M89" i="3"/>
  <c r="N89" i="3"/>
  <c r="P90" i="3"/>
  <c r="N90" i="3"/>
  <c r="M90" i="3"/>
  <c r="O90" i="3"/>
  <c r="Q90" i="3"/>
  <c r="M111" i="3"/>
  <c r="Q111" i="3"/>
  <c r="O87" i="3"/>
  <c r="P87" i="3"/>
  <c r="Q87" i="3"/>
  <c r="M87" i="3"/>
  <c r="N87" i="3"/>
  <c r="P71" i="3"/>
  <c r="M71" i="3"/>
  <c r="N71" i="3"/>
  <c r="Q71" i="3"/>
  <c r="O71" i="3"/>
  <c r="P85" i="3"/>
  <c r="N85" i="3"/>
  <c r="M85" i="3"/>
  <c r="Q85" i="3"/>
  <c r="O85" i="3"/>
  <c r="P91" i="3"/>
  <c r="M91" i="3"/>
  <c r="O91" i="3"/>
  <c r="Q91" i="3"/>
  <c r="N91" i="3"/>
  <c r="Q86" i="3"/>
  <c r="M86" i="3"/>
  <c r="P86" i="3"/>
  <c r="O86" i="3"/>
  <c r="N86" i="3"/>
  <c r="N99" i="3"/>
  <c r="O99" i="3"/>
  <c r="P99" i="3"/>
  <c r="Q99" i="3"/>
  <c r="M99" i="3"/>
  <c r="N102" i="3"/>
  <c r="M102" i="3"/>
  <c r="Q102" i="3"/>
  <c r="O102" i="3"/>
  <c r="P102" i="3"/>
  <c r="N105" i="3"/>
  <c r="N113" i="3" s="1"/>
  <c r="P105" i="3"/>
  <c r="P113" i="3" s="1"/>
  <c r="Q105" i="3"/>
  <c r="M105" i="3"/>
  <c r="M113" i="3" s="1"/>
  <c r="O105" i="3"/>
  <c r="O113" i="3" s="1"/>
  <c r="N112" i="3"/>
  <c r="M112" i="3"/>
  <c r="O112" i="3"/>
  <c r="Q112" i="3"/>
  <c r="P112" i="3"/>
  <c r="O122" i="3" l="1"/>
  <c r="Y8" i="6"/>
  <c r="AB8" i="6"/>
  <c r="AD10" i="4"/>
  <c r="AC10" i="4"/>
  <c r="AH12" i="4"/>
  <c r="AB12" i="4"/>
  <c r="AD9" i="4"/>
  <c r="AC9" i="4"/>
  <c r="AB13" i="4"/>
  <c r="AH13" i="4"/>
  <c r="AC14" i="4"/>
  <c r="AD14" i="4"/>
  <c r="B8" i="15" s="1"/>
  <c r="L8" i="15" s="1"/>
  <c r="AB11" i="4"/>
  <c r="AH11" i="4"/>
  <c r="AC15" i="4"/>
  <c r="AD15" i="4"/>
  <c r="M122" i="3"/>
  <c r="N122" i="3"/>
  <c r="AC8" i="4"/>
  <c r="AD8" i="4"/>
  <c r="B2" i="15" s="1"/>
  <c r="C2" i="15" s="1"/>
  <c r="O2" i="15" s="1"/>
  <c r="Q118" i="3"/>
  <c r="H68" i="15" s="1"/>
  <c r="O121" i="3"/>
  <c r="P121" i="3"/>
  <c r="Q117" i="3"/>
  <c r="H67" i="15" s="1"/>
  <c r="P117" i="3"/>
  <c r="Q122" i="3"/>
  <c r="N120" i="3"/>
  <c r="M117" i="3"/>
  <c r="N117" i="3"/>
  <c r="P120" i="3"/>
  <c r="N121" i="3"/>
  <c r="M121" i="3"/>
  <c r="Q119" i="3"/>
  <c r="H69" i="15" s="1"/>
  <c r="O119" i="3"/>
  <c r="N119" i="3"/>
  <c r="P119" i="3"/>
  <c r="O123" i="3"/>
  <c r="P118" i="3"/>
  <c r="M118" i="3"/>
  <c r="M123" i="3"/>
  <c r="N123" i="3"/>
  <c r="Q123" i="3"/>
  <c r="N118" i="3"/>
  <c r="M38" i="15"/>
  <c r="H41" i="15"/>
  <c r="E41" i="15"/>
  <c r="M41" i="15"/>
  <c r="L82" i="3"/>
  <c r="P82" i="3" s="1"/>
  <c r="C41" i="15"/>
  <c r="O41" i="15" s="1"/>
  <c r="D41" i="15"/>
  <c r="L41" i="15"/>
  <c r="A41" i="15"/>
  <c r="I41" i="15"/>
  <c r="S41" i="15"/>
  <c r="Q41" i="15"/>
  <c r="E40" i="15"/>
  <c r="Q40" i="15"/>
  <c r="L38" i="15"/>
  <c r="S38" i="15"/>
  <c r="N38" i="15"/>
  <c r="F38" i="15"/>
  <c r="R37" i="15"/>
  <c r="A40" i="15"/>
  <c r="L40" i="15"/>
  <c r="I40" i="15"/>
  <c r="J40" i="15"/>
  <c r="AF38" i="15"/>
  <c r="AC38" i="15"/>
  <c r="G40" i="15"/>
  <c r="P40" i="15"/>
  <c r="L79" i="3"/>
  <c r="O79" i="3" s="1"/>
  <c r="G41" i="15"/>
  <c r="M40" i="15"/>
  <c r="N37" i="15"/>
  <c r="S37" i="15"/>
  <c r="AA37" i="15"/>
  <c r="AC41" i="15"/>
  <c r="AE38" i="15"/>
  <c r="C37" i="15"/>
  <c r="O37" i="15" s="1"/>
  <c r="D35" i="15"/>
  <c r="AE37" i="15"/>
  <c r="L37" i="15"/>
  <c r="AD17" i="8"/>
  <c r="J41" i="15"/>
  <c r="N41" i="15"/>
  <c r="Q37" i="15"/>
  <c r="A35" i="15"/>
  <c r="G38" i="15"/>
  <c r="AF41" i="15"/>
  <c r="L78" i="3"/>
  <c r="Q78" i="3" s="1"/>
  <c r="L35" i="15"/>
  <c r="R35" i="15"/>
  <c r="E37" i="15"/>
  <c r="P35" i="15"/>
  <c r="R41" i="15"/>
  <c r="K41" i="15"/>
  <c r="I37" i="15"/>
  <c r="AC37" i="15"/>
  <c r="AA35" i="15"/>
  <c r="P41" i="15"/>
  <c r="P36" i="15"/>
  <c r="M35" i="15"/>
  <c r="N35" i="15" s="1"/>
  <c r="D36" i="15"/>
  <c r="S35" i="15"/>
  <c r="L77" i="3"/>
  <c r="Q77" i="3" s="1"/>
  <c r="G35" i="15"/>
  <c r="G36" i="15"/>
  <c r="F36" i="15"/>
  <c r="A36" i="15"/>
  <c r="A38" i="15"/>
  <c r="M37" i="15"/>
  <c r="AF35" i="15"/>
  <c r="AC36" i="15"/>
  <c r="K36" i="15"/>
  <c r="J36" i="15"/>
  <c r="AD36" i="15"/>
  <c r="M36" i="15"/>
  <c r="I35" i="15"/>
  <c r="AF36" i="15"/>
  <c r="K35" i="15"/>
  <c r="F35" i="15"/>
  <c r="Q35" i="15"/>
  <c r="L36" i="15"/>
  <c r="E36" i="15"/>
  <c r="R36" i="15"/>
  <c r="Q36" i="15"/>
  <c r="S36" i="15"/>
  <c r="I36" i="15"/>
  <c r="J35" i="15"/>
  <c r="H36" i="15"/>
  <c r="N36" i="15"/>
  <c r="AC35" i="15"/>
  <c r="AE35" i="15"/>
  <c r="AD41" i="15"/>
  <c r="G37" i="15"/>
  <c r="AA41" i="15"/>
  <c r="L76" i="3"/>
  <c r="P76" i="3" s="1"/>
  <c r="C35" i="15"/>
  <c r="O35" i="15" s="1"/>
  <c r="C36" i="15"/>
  <c r="O36" i="15" s="1"/>
  <c r="E35" i="15"/>
  <c r="U17" i="7"/>
  <c r="S26" i="15"/>
  <c r="M26" i="15"/>
  <c r="N26" i="15" s="1"/>
  <c r="I26" i="15"/>
  <c r="F26" i="15"/>
  <c r="J26" i="15"/>
  <c r="T26" i="15"/>
  <c r="P26" i="15"/>
  <c r="K26" i="15"/>
  <c r="AD26" i="15"/>
  <c r="G26" i="15"/>
  <c r="R26" i="15"/>
  <c r="E26" i="15"/>
  <c r="L26" i="15"/>
  <c r="A26" i="15"/>
  <c r="D26" i="15"/>
  <c r="L65" i="3"/>
  <c r="N65" i="3" s="1"/>
  <c r="Q26" i="15"/>
  <c r="C26" i="15"/>
  <c r="O26" i="15" s="1"/>
  <c r="W11" i="6"/>
  <c r="B23" i="15"/>
  <c r="R15" i="15"/>
  <c r="J16" i="15"/>
  <c r="H14" i="15"/>
  <c r="D16" i="15"/>
  <c r="L16" i="15"/>
  <c r="I16" i="15"/>
  <c r="K14" i="15"/>
  <c r="L14" i="15"/>
  <c r="L52" i="3"/>
  <c r="O52" i="3" s="1"/>
  <c r="C12" i="15"/>
  <c r="O12" i="15" s="1"/>
  <c r="D14" i="15"/>
  <c r="Q14" i="15"/>
  <c r="L49" i="3"/>
  <c r="P49" i="3" s="1"/>
  <c r="N14" i="15"/>
  <c r="U14" i="15"/>
  <c r="J14" i="15"/>
  <c r="S14" i="15"/>
  <c r="D17" i="15"/>
  <c r="N17" i="15"/>
  <c r="L15" i="15"/>
  <c r="Y14" i="15"/>
  <c r="A14" i="15"/>
  <c r="F17" i="15"/>
  <c r="J17" i="15"/>
  <c r="E17" i="15"/>
  <c r="Z15" i="15"/>
  <c r="U17" i="15"/>
  <c r="R17" i="15"/>
  <c r="E15" i="15"/>
  <c r="P14" i="15"/>
  <c r="C14" i="15"/>
  <c r="O14" i="15" s="1"/>
  <c r="L17" i="15"/>
  <c r="H17" i="15"/>
  <c r="F14" i="15"/>
  <c r="Q12" i="15"/>
  <c r="K17" i="15"/>
  <c r="I17" i="15"/>
  <c r="A17" i="15"/>
  <c r="G14" i="15"/>
  <c r="Z14" i="15"/>
  <c r="S17" i="15"/>
  <c r="Q17" i="15"/>
  <c r="P17" i="15"/>
  <c r="E14" i="15"/>
  <c r="Y17" i="15"/>
  <c r="G17" i="15"/>
  <c r="Z17" i="15"/>
  <c r="C17" i="15"/>
  <c r="O17" i="15" s="1"/>
  <c r="I14" i="15"/>
  <c r="M14" i="15"/>
  <c r="G16" i="15"/>
  <c r="C15" i="15"/>
  <c r="O15" i="15" s="1"/>
  <c r="I15" i="15"/>
  <c r="M15" i="15"/>
  <c r="U15" i="15"/>
  <c r="L51" i="3"/>
  <c r="Q51" i="3" s="1"/>
  <c r="L50" i="3"/>
  <c r="Q50" i="3" s="1"/>
  <c r="K15" i="15"/>
  <c r="K16" i="15"/>
  <c r="Y15" i="15"/>
  <c r="A15" i="15"/>
  <c r="H15" i="15"/>
  <c r="N15" i="15"/>
  <c r="G15" i="15"/>
  <c r="F15" i="15"/>
  <c r="M16" i="15"/>
  <c r="P15" i="15"/>
  <c r="U16" i="15"/>
  <c r="S15" i="15"/>
  <c r="D15" i="15"/>
  <c r="S16" i="15"/>
  <c r="J15" i="15"/>
  <c r="P16" i="15"/>
  <c r="Y13" i="15"/>
  <c r="E13" i="15"/>
  <c r="C13" i="15"/>
  <c r="O13" i="15" s="1"/>
  <c r="Z13" i="15"/>
  <c r="Q13" i="15"/>
  <c r="K13" i="15"/>
  <c r="A13" i="15"/>
  <c r="R13" i="15"/>
  <c r="L48" i="3"/>
  <c r="N48" i="3" s="1"/>
  <c r="P13" i="15"/>
  <c r="I13" i="15"/>
  <c r="F13" i="15"/>
  <c r="G13" i="15"/>
  <c r="S13" i="15"/>
  <c r="L13" i="15"/>
  <c r="M13" i="15"/>
  <c r="N13" i="15" s="1"/>
  <c r="J13" i="15"/>
  <c r="U13" i="15"/>
  <c r="Q120" i="3"/>
  <c r="H70" i="15" s="1"/>
  <c r="O120" i="3"/>
  <c r="A39" i="15"/>
  <c r="P39" i="15"/>
  <c r="H39" i="15"/>
  <c r="M39" i="15"/>
  <c r="E38" i="15"/>
  <c r="AE36" i="15"/>
  <c r="AE39" i="15"/>
  <c r="R40" i="15"/>
  <c r="J39" i="15"/>
  <c r="D39" i="15"/>
  <c r="R39" i="15"/>
  <c r="Z17" i="8"/>
  <c r="C38" i="15"/>
  <c r="O38" i="15" s="1"/>
  <c r="AA39" i="15"/>
  <c r="AD38" i="15"/>
  <c r="I39" i="15"/>
  <c r="S39" i="15"/>
  <c r="L39" i="15"/>
  <c r="N40" i="15"/>
  <c r="K40" i="15"/>
  <c r="Q38" i="15"/>
  <c r="I38" i="15"/>
  <c r="L80" i="3"/>
  <c r="N80" i="3" s="1"/>
  <c r="K38" i="15"/>
  <c r="AF39" i="15"/>
  <c r="N39" i="15"/>
  <c r="AD39" i="15"/>
  <c r="L81" i="3"/>
  <c r="P81" i="3" s="1"/>
  <c r="AA40" i="15"/>
  <c r="R38" i="15"/>
  <c r="F39" i="15"/>
  <c r="D38" i="15"/>
  <c r="C39" i="15"/>
  <c r="O39" i="15" s="1"/>
  <c r="G39" i="15"/>
  <c r="Q39" i="15"/>
  <c r="E39" i="15"/>
  <c r="AC39" i="15"/>
  <c r="B19" i="15"/>
  <c r="Y12" i="15"/>
  <c r="Y16" i="15"/>
  <c r="Q16" i="15"/>
  <c r="U12" i="15"/>
  <c r="K12" i="15"/>
  <c r="H16" i="15"/>
  <c r="F12" i="15"/>
  <c r="A12" i="15"/>
  <c r="R16" i="15"/>
  <c r="D12" i="15"/>
  <c r="Z12" i="15"/>
  <c r="J12" i="15"/>
  <c r="F16" i="15"/>
  <c r="L12" i="15"/>
  <c r="R12" i="15"/>
  <c r="P12" i="15"/>
  <c r="B11" i="15"/>
  <c r="U11" i="15" s="1"/>
  <c r="E12" i="15"/>
  <c r="C16" i="15"/>
  <c r="O16" i="15" s="1"/>
  <c r="B10" i="15"/>
  <c r="I10" i="15" s="1"/>
  <c r="A16" i="15"/>
  <c r="L47" i="3"/>
  <c r="M47" i="3" s="1"/>
  <c r="S12" i="15"/>
  <c r="N16" i="15"/>
  <c r="E16" i="15"/>
  <c r="M12" i="15"/>
  <c r="N12" i="15" s="1"/>
  <c r="I12" i="15"/>
  <c r="Q116" i="3"/>
  <c r="H66" i="15" s="1"/>
  <c r="N116" i="3"/>
  <c r="O116" i="3"/>
  <c r="M116" i="3"/>
  <c r="P116" i="3"/>
  <c r="AD37" i="15"/>
  <c r="AD40" i="15"/>
  <c r="H40" i="15"/>
  <c r="F37" i="15"/>
  <c r="AA38" i="15"/>
  <c r="K37" i="15"/>
  <c r="AC40" i="15"/>
  <c r="S40" i="15"/>
  <c r="J37" i="15"/>
  <c r="H37" i="15"/>
  <c r="AF40" i="15"/>
  <c r="C40" i="15"/>
  <c r="O40" i="15" s="1"/>
  <c r="AE40" i="15"/>
  <c r="P38" i="15"/>
  <c r="AE41" i="15"/>
  <c r="P37" i="15"/>
  <c r="D40" i="15"/>
  <c r="H38" i="15"/>
  <c r="AF37" i="15"/>
  <c r="D37" i="15"/>
  <c r="L57" i="3"/>
  <c r="P57" i="3" s="1"/>
  <c r="G20" i="15"/>
  <c r="H20" i="15"/>
  <c r="AA20" i="15"/>
  <c r="A20" i="15"/>
  <c r="D20" i="15"/>
  <c r="C20" i="15"/>
  <c r="O20" i="15" s="1"/>
  <c r="AD20" i="15"/>
  <c r="S20" i="15"/>
  <c r="I20" i="15"/>
  <c r="AB20" i="15"/>
  <c r="R20" i="15"/>
  <c r="Q20" i="15"/>
  <c r="AC20" i="15"/>
  <c r="N20" i="15"/>
  <c r="J20" i="15"/>
  <c r="B22" i="15"/>
  <c r="F20" i="15"/>
  <c r="E20" i="15"/>
  <c r="M20" i="15"/>
  <c r="B21" i="15"/>
  <c r="L58" i="3" s="1"/>
  <c r="B24" i="15"/>
  <c r="AC24" i="15" s="1"/>
  <c r="B25" i="15"/>
  <c r="AB25" i="15" s="1"/>
  <c r="K20" i="15"/>
  <c r="L20" i="15"/>
  <c r="T20" i="15"/>
  <c r="AC8" i="6"/>
  <c r="W8" i="6"/>
  <c r="B4" i="15"/>
  <c r="D4" i="15" s="1"/>
  <c r="B6" i="15"/>
  <c r="K6" i="15" s="1"/>
  <c r="B5" i="15"/>
  <c r="G5" i="15" s="1"/>
  <c r="G34" i="15"/>
  <c r="Q34" i="15"/>
  <c r="J34" i="15"/>
  <c r="AC34" i="15"/>
  <c r="M34" i="15"/>
  <c r="N34" i="15" s="1"/>
  <c r="AE34" i="15"/>
  <c r="S34" i="15"/>
  <c r="K34" i="15"/>
  <c r="I34" i="15"/>
  <c r="AA34" i="15"/>
  <c r="L34" i="15"/>
  <c r="P34" i="15"/>
  <c r="AD34" i="15"/>
  <c r="R34" i="15"/>
  <c r="D34" i="15"/>
  <c r="L75" i="3"/>
  <c r="A34" i="15"/>
  <c r="E34" i="15"/>
  <c r="AF34" i="15"/>
  <c r="C34" i="15"/>
  <c r="O34" i="15" s="1"/>
  <c r="F34" i="15"/>
  <c r="W17" i="5"/>
  <c r="X17" i="5"/>
  <c r="N49" i="3"/>
  <c r="M50" i="3"/>
  <c r="P66" i="3"/>
  <c r="Q66" i="3"/>
  <c r="H27" i="15" s="1"/>
  <c r="O66" i="3"/>
  <c r="M66" i="3"/>
  <c r="N66" i="3"/>
  <c r="L97" i="3"/>
  <c r="K52" i="15"/>
  <c r="E52" i="15"/>
  <c r="I52" i="15"/>
  <c r="P52" i="15"/>
  <c r="F52" i="15"/>
  <c r="D52" i="15"/>
  <c r="M52" i="15"/>
  <c r="R52" i="15"/>
  <c r="S52" i="15"/>
  <c r="N52" i="15"/>
  <c r="G52" i="15"/>
  <c r="A52" i="15"/>
  <c r="J52" i="15"/>
  <c r="L52" i="15"/>
  <c r="H52" i="15"/>
  <c r="AL52" i="15"/>
  <c r="Q52" i="15"/>
  <c r="C52" i="15"/>
  <c r="O52" i="15" s="1"/>
  <c r="P16" i="11"/>
  <c r="L96" i="3"/>
  <c r="C51" i="15"/>
  <c r="O51" i="15" s="1"/>
  <c r="L51" i="15"/>
  <c r="M51" i="15"/>
  <c r="E51" i="15"/>
  <c r="N51" i="15"/>
  <c r="D51" i="15"/>
  <c r="J51" i="15"/>
  <c r="G51" i="15"/>
  <c r="AL51" i="15"/>
  <c r="Q51" i="15"/>
  <c r="H51" i="15"/>
  <c r="F51" i="15"/>
  <c r="S51" i="15"/>
  <c r="R51" i="15"/>
  <c r="I51" i="15"/>
  <c r="K51" i="15"/>
  <c r="A51" i="15"/>
  <c r="P51" i="15"/>
  <c r="O93" i="3"/>
  <c r="M93" i="3"/>
  <c r="N93" i="3"/>
  <c r="P93" i="3"/>
  <c r="Z8" i="6" l="1"/>
  <c r="Z17" i="6" s="1"/>
  <c r="AB14" i="4"/>
  <c r="AH14" i="4"/>
  <c r="AB15" i="4"/>
  <c r="AH15" i="4"/>
  <c r="AB9" i="4"/>
  <c r="AH9" i="4"/>
  <c r="AB10" i="4"/>
  <c r="AH10" i="4"/>
  <c r="N82" i="3"/>
  <c r="Q82" i="3"/>
  <c r="N79" i="3"/>
  <c r="M82" i="3"/>
  <c r="M77" i="3"/>
  <c r="O77" i="3"/>
  <c r="AB8" i="4"/>
  <c r="AH8" i="4"/>
  <c r="P124" i="3"/>
  <c r="F25" i="3" s="1"/>
  <c r="N124" i="3"/>
  <c r="E25" i="3" s="1"/>
  <c r="M124" i="3"/>
  <c r="D25" i="3" s="1"/>
  <c r="O124" i="3"/>
  <c r="C25" i="3" s="1"/>
  <c r="N76" i="3"/>
  <c r="N77" i="3"/>
  <c r="P77" i="3"/>
  <c r="P79" i="3"/>
  <c r="M79" i="3"/>
  <c r="M76" i="3"/>
  <c r="O76" i="3"/>
  <c r="Q76" i="3"/>
  <c r="H35" i="15" s="1"/>
  <c r="Q79" i="3"/>
  <c r="O82" i="3"/>
  <c r="O78" i="3"/>
  <c r="P78" i="3"/>
  <c r="N78" i="3"/>
  <c r="M78" i="3"/>
  <c r="M80" i="3"/>
  <c r="P80" i="3"/>
  <c r="O80" i="3"/>
  <c r="Q80" i="3"/>
  <c r="Q65" i="3"/>
  <c r="H26" i="15" s="1"/>
  <c r="M65" i="3"/>
  <c r="M73" i="3" s="1"/>
  <c r="D22" i="3" s="1"/>
  <c r="O65" i="3"/>
  <c r="O73" i="3" s="1"/>
  <c r="C22" i="3" s="1"/>
  <c r="N73" i="3"/>
  <c r="E22" i="3" s="1"/>
  <c r="P65" i="3"/>
  <c r="P73" i="3" s="1"/>
  <c r="F22" i="3" s="1"/>
  <c r="AB17" i="6"/>
  <c r="H23" i="15"/>
  <c r="AC23" i="15"/>
  <c r="AD23" i="15"/>
  <c r="D23" i="15"/>
  <c r="C23" i="15"/>
  <c r="O23" i="15" s="1"/>
  <c r="R23" i="15"/>
  <c r="Q23" i="15"/>
  <c r="T23" i="15"/>
  <c r="P24" i="15"/>
  <c r="K24" i="15"/>
  <c r="G24" i="15"/>
  <c r="AB23" i="15"/>
  <c r="J23" i="15"/>
  <c r="S23" i="15"/>
  <c r="N23" i="15"/>
  <c r="L23" i="15"/>
  <c r="G23" i="15"/>
  <c r="E23" i="15"/>
  <c r="L60" i="3"/>
  <c r="N60" i="3" s="1"/>
  <c r="I23" i="15"/>
  <c r="AC21" i="15"/>
  <c r="M21" i="15"/>
  <c r="H21" i="15"/>
  <c r="AA23" i="15"/>
  <c r="P23" i="15"/>
  <c r="R21" i="15"/>
  <c r="P52" i="3"/>
  <c r="N52" i="3"/>
  <c r="M52" i="3"/>
  <c r="Q52" i="3"/>
  <c r="N50" i="3"/>
  <c r="Q49" i="3"/>
  <c r="Y10" i="15"/>
  <c r="O50" i="3"/>
  <c r="P50" i="3"/>
  <c r="M51" i="3"/>
  <c r="J10" i="15"/>
  <c r="P51" i="3"/>
  <c r="O51" i="3"/>
  <c r="N51" i="3"/>
  <c r="O49" i="3"/>
  <c r="M49" i="3"/>
  <c r="M48" i="3"/>
  <c r="Q48" i="3"/>
  <c r="H13" i="15" s="1"/>
  <c r="D11" i="15"/>
  <c r="O48" i="3"/>
  <c r="G10" i="15"/>
  <c r="S11" i="15"/>
  <c r="F11" i="15"/>
  <c r="L46" i="3"/>
  <c r="N46" i="3" s="1"/>
  <c r="A11" i="15"/>
  <c r="Z11" i="15"/>
  <c r="Q11" i="15"/>
  <c r="G11" i="15"/>
  <c r="I11" i="15"/>
  <c r="P11" i="15"/>
  <c r="E11" i="15"/>
  <c r="L11" i="15"/>
  <c r="C11" i="15"/>
  <c r="O11" i="15" s="1"/>
  <c r="D10" i="15"/>
  <c r="Y11" i="15"/>
  <c r="P48" i="3"/>
  <c r="R11" i="15"/>
  <c r="J11" i="15"/>
  <c r="M11" i="15"/>
  <c r="N11" i="15" s="1"/>
  <c r="K11" i="15"/>
  <c r="L6" i="15"/>
  <c r="J6" i="15"/>
  <c r="Q5" i="15"/>
  <c r="S5" i="15"/>
  <c r="M4" i="15"/>
  <c r="N4" i="15" s="1"/>
  <c r="S4" i="15"/>
  <c r="I4" i="15"/>
  <c r="K4" i="15"/>
  <c r="E4" i="15"/>
  <c r="F8" i="15"/>
  <c r="E8" i="15"/>
  <c r="W8" i="15"/>
  <c r="C4" i="15"/>
  <c r="O4" i="15" s="1"/>
  <c r="U4" i="15"/>
  <c r="L37" i="3"/>
  <c r="O37" i="3" s="1"/>
  <c r="H8" i="15"/>
  <c r="A4" i="15"/>
  <c r="G4" i="15"/>
  <c r="C8" i="15"/>
  <c r="O8" i="15" s="1"/>
  <c r="J4" i="15"/>
  <c r="D8" i="15"/>
  <c r="X4" i="15"/>
  <c r="W4" i="15"/>
  <c r="O81" i="3"/>
  <c r="N81" i="3"/>
  <c r="Q81" i="3"/>
  <c r="M81" i="3"/>
  <c r="AB19" i="15"/>
  <c r="AD19" i="15"/>
  <c r="K19" i="15"/>
  <c r="AC19" i="15"/>
  <c r="Q19" i="15"/>
  <c r="D21" i="15"/>
  <c r="Q24" i="15"/>
  <c r="S21" i="15"/>
  <c r="M23" i="15"/>
  <c r="A24" i="15"/>
  <c r="I21" i="15"/>
  <c r="J24" i="15"/>
  <c r="E24" i="15"/>
  <c r="L61" i="3"/>
  <c r="O61" i="3" s="1"/>
  <c r="AA24" i="15"/>
  <c r="Q47" i="3"/>
  <c r="H12" i="15" s="1"/>
  <c r="F10" i="15"/>
  <c r="Z10" i="15"/>
  <c r="P47" i="3"/>
  <c r="O47" i="3"/>
  <c r="R10" i="15"/>
  <c r="K10" i="15"/>
  <c r="M10" i="15"/>
  <c r="N10" i="15" s="1"/>
  <c r="C10" i="15"/>
  <c r="O10" i="15" s="1"/>
  <c r="U10" i="15"/>
  <c r="P10" i="15"/>
  <c r="Q10" i="15"/>
  <c r="L45" i="3"/>
  <c r="P45" i="3" s="1"/>
  <c r="E10" i="15"/>
  <c r="A10" i="15"/>
  <c r="L10" i="15"/>
  <c r="N47" i="3"/>
  <c r="S10" i="15"/>
  <c r="D5" i="15"/>
  <c r="A5" i="15"/>
  <c r="C5" i="15"/>
  <c r="O5" i="15" s="1"/>
  <c r="K5" i="15"/>
  <c r="U5" i="15"/>
  <c r="W5" i="15"/>
  <c r="X5" i="15"/>
  <c r="E5" i="15"/>
  <c r="L5" i="15"/>
  <c r="T5" i="15"/>
  <c r="Y5" i="15"/>
  <c r="I5" i="15"/>
  <c r="F5" i="15"/>
  <c r="H5" i="15"/>
  <c r="P5" i="15"/>
  <c r="T4" i="15"/>
  <c r="V8" i="15"/>
  <c r="F4" i="15"/>
  <c r="N5" i="15"/>
  <c r="V5" i="15"/>
  <c r="M5" i="15"/>
  <c r="J5" i="15"/>
  <c r="R5" i="15"/>
  <c r="L4" i="15"/>
  <c r="Y4" i="15"/>
  <c r="T8" i="15"/>
  <c r="V4" i="15"/>
  <c r="L38" i="3"/>
  <c r="N38" i="3" s="1"/>
  <c r="P4" i="15"/>
  <c r="R4" i="15"/>
  <c r="Q4" i="15"/>
  <c r="C19" i="15"/>
  <c r="O19" i="15" s="1"/>
  <c r="J19" i="15"/>
  <c r="L56" i="3"/>
  <c r="P56" i="3" s="1"/>
  <c r="C24" i="15"/>
  <c r="O24" i="15" s="1"/>
  <c r="L24" i="15"/>
  <c r="K21" i="15"/>
  <c r="N57" i="3"/>
  <c r="O57" i="3"/>
  <c r="S19" i="15"/>
  <c r="M57" i="3"/>
  <c r="L21" i="15"/>
  <c r="F19" i="15"/>
  <c r="R24" i="15"/>
  <c r="AB21" i="15"/>
  <c r="G21" i="15"/>
  <c r="A19" i="15"/>
  <c r="N19" i="15"/>
  <c r="I19" i="15"/>
  <c r="C21" i="15"/>
  <c r="O21" i="15" s="1"/>
  <c r="T21" i="15"/>
  <c r="P19" i="15"/>
  <c r="E19" i="15"/>
  <c r="P21" i="15"/>
  <c r="AA21" i="15"/>
  <c r="G19" i="15"/>
  <c r="D19" i="15"/>
  <c r="AB24" i="15"/>
  <c r="J21" i="15"/>
  <c r="Q21" i="15"/>
  <c r="T19" i="15"/>
  <c r="Q57" i="3"/>
  <c r="R19" i="15"/>
  <c r="H19" i="15"/>
  <c r="N24" i="15"/>
  <c r="F21" i="15"/>
  <c r="AD21" i="15"/>
  <c r="M25" i="15"/>
  <c r="F25" i="15"/>
  <c r="C25" i="15"/>
  <c r="O25" i="15" s="1"/>
  <c r="K25" i="15"/>
  <c r="T25" i="15"/>
  <c r="D25" i="15"/>
  <c r="P25" i="15"/>
  <c r="S25" i="15"/>
  <c r="M24" i="15"/>
  <c r="N25" i="15"/>
  <c r="R25" i="15"/>
  <c r="AC25" i="15"/>
  <c r="H24" i="15"/>
  <c r="D24" i="15"/>
  <c r="Q25" i="15"/>
  <c r="H25" i="15"/>
  <c r="S24" i="15"/>
  <c r="AD24" i="15"/>
  <c r="AA25" i="15"/>
  <c r="L25" i="15"/>
  <c r="E25" i="15"/>
  <c r="L62" i="3"/>
  <c r="O62" i="3" s="1"/>
  <c r="G25" i="15"/>
  <c r="J25" i="15"/>
  <c r="I25" i="15"/>
  <c r="F23" i="15"/>
  <c r="K23" i="15"/>
  <c r="L19" i="15"/>
  <c r="AA19" i="15"/>
  <c r="T24" i="15"/>
  <c r="I24" i="15"/>
  <c r="N21" i="15"/>
  <c r="E21" i="15"/>
  <c r="A25" i="15"/>
  <c r="AD25" i="15"/>
  <c r="A23" i="15"/>
  <c r="M19" i="15"/>
  <c r="F24" i="15"/>
  <c r="A21" i="15"/>
  <c r="H22" i="15"/>
  <c r="R22" i="15"/>
  <c r="C22" i="15"/>
  <c r="O22" i="15" s="1"/>
  <c r="AD22" i="15"/>
  <c r="L22" i="15"/>
  <c r="J22" i="15"/>
  <c r="AC22" i="15"/>
  <c r="G22" i="15"/>
  <c r="F22" i="15"/>
  <c r="S22" i="15"/>
  <c r="D22" i="15"/>
  <c r="I22" i="15"/>
  <c r="E22" i="15"/>
  <c r="AA22" i="15"/>
  <c r="P22" i="15"/>
  <c r="Q22" i="15"/>
  <c r="A22" i="15"/>
  <c r="K22" i="15"/>
  <c r="M22" i="15"/>
  <c r="T22" i="15"/>
  <c r="N22" i="15"/>
  <c r="L59" i="3"/>
  <c r="AB22" i="15"/>
  <c r="N58" i="3"/>
  <c r="Q58" i="3"/>
  <c r="O58" i="3"/>
  <c r="P58" i="3"/>
  <c r="M58" i="3"/>
  <c r="AA17" i="6"/>
  <c r="A6" i="15"/>
  <c r="B7" i="15"/>
  <c r="R7" i="15" s="1"/>
  <c r="G6" i="15"/>
  <c r="P6" i="15"/>
  <c r="G8" i="15"/>
  <c r="J8" i="15"/>
  <c r="B9" i="15"/>
  <c r="I9" i="15" s="1"/>
  <c r="R6" i="15"/>
  <c r="V6" i="15"/>
  <c r="L41" i="3"/>
  <c r="P41" i="3" s="1"/>
  <c r="K8" i="15"/>
  <c r="S6" i="15"/>
  <c r="E6" i="15"/>
  <c r="L39" i="3"/>
  <c r="O39" i="3" s="1"/>
  <c r="F6" i="15"/>
  <c r="N6" i="15"/>
  <c r="N8" i="15"/>
  <c r="H6" i="15"/>
  <c r="Y8" i="15"/>
  <c r="D6" i="15"/>
  <c r="I8" i="15"/>
  <c r="U8" i="15"/>
  <c r="W6" i="15"/>
  <c r="X6" i="15"/>
  <c r="S8" i="15"/>
  <c r="I6" i="15"/>
  <c r="R8" i="15"/>
  <c r="T6" i="15"/>
  <c r="U6" i="15"/>
  <c r="Q6" i="15"/>
  <c r="X8" i="15"/>
  <c r="A8" i="15"/>
  <c r="B3" i="15"/>
  <c r="M6" i="15"/>
  <c r="Y6" i="15"/>
  <c r="M8" i="15"/>
  <c r="P8" i="15"/>
  <c r="C6" i="15"/>
  <c r="O6" i="15" s="1"/>
  <c r="Q8" i="15"/>
  <c r="G2" i="15"/>
  <c r="Y2" i="15"/>
  <c r="D2" i="15"/>
  <c r="X2" i="15"/>
  <c r="V2" i="15"/>
  <c r="R2" i="15"/>
  <c r="E2" i="15"/>
  <c r="Q2" i="15"/>
  <c r="S2" i="15"/>
  <c r="T2" i="15"/>
  <c r="L2" i="15"/>
  <c r="U2" i="15"/>
  <c r="L35" i="3"/>
  <c r="Q35" i="3" s="1"/>
  <c r="H2" i="15" s="1"/>
  <c r="A2" i="15"/>
  <c r="M2" i="15"/>
  <c r="N2" i="15" s="1"/>
  <c r="P2" i="15"/>
  <c r="I2" i="15"/>
  <c r="J2" i="15"/>
  <c r="W2" i="15"/>
  <c r="F2" i="15"/>
  <c r="K2" i="15"/>
  <c r="P75" i="3"/>
  <c r="O75" i="3"/>
  <c r="Q75" i="3"/>
  <c r="H34" i="15" s="1"/>
  <c r="M75" i="3"/>
  <c r="N75" i="3"/>
  <c r="P96" i="3"/>
  <c r="Q96" i="3"/>
  <c r="O96" i="3"/>
  <c r="N96" i="3"/>
  <c r="M96" i="3"/>
  <c r="Q97" i="3"/>
  <c r="N97" i="3"/>
  <c r="O97" i="3"/>
  <c r="M97" i="3"/>
  <c r="P97" i="3"/>
  <c r="O56" i="3" l="1"/>
  <c r="P83" i="3"/>
  <c r="F23" i="3" s="1"/>
  <c r="O60" i="3"/>
  <c r="P60" i="3"/>
  <c r="M60" i="3"/>
  <c r="B18" i="15"/>
  <c r="Q60" i="3"/>
  <c r="M61" i="3"/>
  <c r="Q61" i="3"/>
  <c r="P61" i="3"/>
  <c r="N61" i="3"/>
  <c r="N56" i="3"/>
  <c r="M56" i="3"/>
  <c r="Q46" i="3"/>
  <c r="H11" i="15" s="1"/>
  <c r="P46" i="3"/>
  <c r="P53" i="3" s="1"/>
  <c r="F20" i="3" s="1"/>
  <c r="M46" i="3"/>
  <c r="O46" i="3"/>
  <c r="O45" i="3"/>
  <c r="M45" i="3"/>
  <c r="N45" i="3"/>
  <c r="N53" i="3" s="1"/>
  <c r="E20" i="3" s="1"/>
  <c r="Q45" i="3"/>
  <c r="H10" i="15" s="1"/>
  <c r="V7" i="15"/>
  <c r="Q37" i="3"/>
  <c r="H4" i="15" s="1"/>
  <c r="P37" i="3"/>
  <c r="N7" i="15"/>
  <c r="X7" i="15"/>
  <c r="W7" i="15"/>
  <c r="Q7" i="15"/>
  <c r="T7" i="15"/>
  <c r="D7" i="15"/>
  <c r="R9" i="15"/>
  <c r="N37" i="3"/>
  <c r="G9" i="15"/>
  <c r="M9" i="15"/>
  <c r="M37" i="3"/>
  <c r="Y7" i="15"/>
  <c r="E7" i="15"/>
  <c r="Q39" i="3"/>
  <c r="P7" i="15"/>
  <c r="M7" i="15"/>
  <c r="J7" i="15"/>
  <c r="S7" i="15"/>
  <c r="N41" i="3"/>
  <c r="K7" i="15"/>
  <c r="M41" i="3"/>
  <c r="E9" i="15"/>
  <c r="F7" i="15"/>
  <c r="C7" i="15"/>
  <c r="O7" i="15" s="1"/>
  <c r="L7" i="15"/>
  <c r="O38" i="3"/>
  <c r="Y9" i="15"/>
  <c r="X9" i="15"/>
  <c r="S9" i="15"/>
  <c r="J9" i="15"/>
  <c r="Q38" i="3"/>
  <c r="L42" i="3"/>
  <c r="P42" i="3" s="1"/>
  <c r="L9" i="15"/>
  <c r="Q9" i="15"/>
  <c r="M83" i="3"/>
  <c r="D23" i="3" s="1"/>
  <c r="N83" i="3"/>
  <c r="E23" i="3" s="1"/>
  <c r="O83" i="3"/>
  <c r="C23" i="3" s="1"/>
  <c r="Q56" i="3"/>
  <c r="V9" i="15"/>
  <c r="M39" i="3"/>
  <c r="T9" i="15"/>
  <c r="P9" i="15"/>
  <c r="L40" i="3"/>
  <c r="O40" i="3" s="1"/>
  <c r="W9" i="15"/>
  <c r="A9" i="15"/>
  <c r="U9" i="15"/>
  <c r="M38" i="3"/>
  <c r="H9" i="15"/>
  <c r="K9" i="15"/>
  <c r="H7" i="15"/>
  <c r="P39" i="3"/>
  <c r="P38" i="3"/>
  <c r="D9" i="15"/>
  <c r="C9" i="15"/>
  <c r="O9" i="15" s="1"/>
  <c r="N39" i="3"/>
  <c r="Q41" i="3"/>
  <c r="F9" i="15"/>
  <c r="U7" i="15"/>
  <c r="I7" i="15"/>
  <c r="P62" i="3"/>
  <c r="N62" i="3"/>
  <c r="M62" i="3"/>
  <c r="Q62" i="3"/>
  <c r="Q59" i="3"/>
  <c r="P59" i="3"/>
  <c r="M59" i="3"/>
  <c r="O59" i="3"/>
  <c r="N59" i="3"/>
  <c r="Y3" i="15"/>
  <c r="W3" i="15"/>
  <c r="I3" i="15"/>
  <c r="C3" i="15"/>
  <c r="O3" i="15" s="1"/>
  <c r="T3" i="15"/>
  <c r="S3" i="15"/>
  <c r="P3" i="15"/>
  <c r="M3" i="15"/>
  <c r="L3" i="15"/>
  <c r="U3" i="15"/>
  <c r="N3" i="15"/>
  <c r="R3" i="15"/>
  <c r="G3" i="15"/>
  <c r="V3" i="15"/>
  <c r="D3" i="15"/>
  <c r="E3" i="15"/>
  <c r="Q3" i="15"/>
  <c r="K3" i="15"/>
  <c r="A3" i="15"/>
  <c r="L36" i="3"/>
  <c r="F3" i="15"/>
  <c r="X3" i="15"/>
  <c r="J3" i="15"/>
  <c r="O41" i="3"/>
  <c r="N9" i="15"/>
  <c r="G7" i="15"/>
  <c r="A7" i="15"/>
  <c r="P35" i="3"/>
  <c r="O35" i="3"/>
  <c r="M35" i="3"/>
  <c r="N35" i="3"/>
  <c r="M103" i="3"/>
  <c r="N103" i="3"/>
  <c r="O103" i="3"/>
  <c r="P103" i="3"/>
  <c r="Q18" i="15" l="1"/>
  <c r="L55" i="3"/>
  <c r="M55" i="3" s="1"/>
  <c r="M63" i="3" s="1"/>
  <c r="D21" i="3" s="1"/>
  <c r="C18" i="15"/>
  <c r="O18" i="15" s="1"/>
  <c r="I18" i="15"/>
  <c r="AA18" i="15"/>
  <c r="T18" i="15"/>
  <c r="K18" i="15"/>
  <c r="J18" i="15"/>
  <c r="E18" i="15"/>
  <c r="R18" i="15"/>
  <c r="S18" i="15"/>
  <c r="AD18" i="15"/>
  <c r="AC18" i="15"/>
  <c r="M18" i="15"/>
  <c r="N18" i="15" s="1"/>
  <c r="AB18" i="15"/>
  <c r="L18" i="15"/>
  <c r="G18" i="15"/>
  <c r="F18" i="15"/>
  <c r="A18" i="15"/>
  <c r="D18" i="15"/>
  <c r="P18" i="15"/>
  <c r="M53" i="3"/>
  <c r="D20" i="3" s="1"/>
  <c r="O53" i="3"/>
  <c r="C20" i="3" s="1"/>
  <c r="N42" i="3"/>
  <c r="O42" i="3"/>
  <c r="Q42" i="3"/>
  <c r="M42" i="3"/>
  <c r="N40" i="3"/>
  <c r="M40" i="3"/>
  <c r="Q40" i="3"/>
  <c r="P40" i="3"/>
  <c r="Q36" i="3"/>
  <c r="H3" i="15" s="1"/>
  <c r="N36" i="3"/>
  <c r="P36" i="3"/>
  <c r="M36" i="3"/>
  <c r="O36" i="3"/>
  <c r="P55" i="3" l="1"/>
  <c r="P63" i="3" s="1"/>
  <c r="F21" i="3" s="1"/>
  <c r="N55" i="3"/>
  <c r="N63" i="3" s="1"/>
  <c r="E21" i="3" s="1"/>
  <c r="Q55" i="3"/>
  <c r="H18" i="15" s="1"/>
  <c r="O55" i="3"/>
  <c r="O63" i="3" s="1"/>
  <c r="C21" i="3" s="1"/>
  <c r="O43" i="3"/>
  <c r="C19" i="3" s="1"/>
  <c r="N43" i="3"/>
  <c r="E19" i="3" s="1"/>
  <c r="M43" i="3"/>
  <c r="D19" i="3" s="1"/>
  <c r="D15" i="3" s="1"/>
  <c r="P43" i="3"/>
  <c r="F19" i="3" s="1"/>
  <c r="D16" i="3" l="1"/>
  <c r="D1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C. Hall</author>
  </authors>
  <commentList>
    <comment ref="B12" authorId="0" shapeId="0" xr:uid="{00000000-0006-0000-0200-000001000000}">
      <text>
        <r>
          <rPr>
            <sz val="9"/>
            <color indexed="81"/>
            <rFont val="Tahoma"/>
            <family val="2"/>
          </rPr>
          <t xml:space="preserve">Leave this field blank if submitting an application for pre-approval.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O6" authorId="0" shapeId="0" xr:uid="{F399DDB9-F14A-4F4C-9FE1-4BE6EF6A8060}">
      <text>
        <r>
          <rPr>
            <sz val="9"/>
            <color indexed="81"/>
            <rFont val="Tahoma"/>
            <family val="2"/>
          </rPr>
          <t xml:space="preserve">Total equiment cost per line excluding labor, shipping, and taxes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K6" authorId="0" shapeId="0" xr:uid="{182AB087-EBFC-4BB8-B5BB-B52B9A27A475}">
      <text>
        <r>
          <rPr>
            <sz val="9"/>
            <color indexed="81"/>
            <rFont val="Tahoma"/>
            <family val="2"/>
          </rPr>
          <t>Total equiment cost per line excluding labor, shipping, and taxes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L6" authorId="0" shapeId="0" xr:uid="{4B36A85D-0757-4176-A8BB-687B02A8E2A9}">
      <text>
        <r>
          <rPr>
            <sz val="9"/>
            <color indexed="81"/>
            <rFont val="Tahoma"/>
            <family val="2"/>
          </rPr>
          <t>Total equiment cost per line excluding labor, shipping, and taxes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I6" authorId="0" shapeId="0" xr:uid="{4EC14CCB-AB46-4BEB-A059-238639CE4B10}">
      <text>
        <r>
          <rPr>
            <sz val="9"/>
            <color indexed="81"/>
            <rFont val="Tahoma"/>
            <family val="2"/>
          </rPr>
          <t>Total equiment cost per line excluding labor, shipping, and taxes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H6" authorId="0" shapeId="0" xr:uid="{6CE11F47-277A-44DC-BDC7-DF2AA163CF0A}">
      <text>
        <r>
          <rPr>
            <sz val="9"/>
            <color indexed="81"/>
            <rFont val="Tahoma"/>
            <family val="2"/>
          </rPr>
          <t>Square footage of area served by water heater</t>
        </r>
      </text>
    </comment>
    <comment ref="N6" authorId="0" shapeId="0" xr:uid="{3384B959-A2E9-47EA-8C02-ACDFAF5BC850}">
      <text>
        <r>
          <rPr>
            <sz val="9"/>
            <color indexed="81"/>
            <rFont val="Tahoma"/>
            <family val="2"/>
          </rPr>
          <t>Total equiment cost per line excluding labor, shipping, and taxes</t>
        </r>
      </text>
    </comment>
    <comment ref="T6" authorId="0" shapeId="0" xr:uid="{F49D3F02-6C93-4EEB-AE5F-A61E6350DE7A}">
      <text>
        <r>
          <rPr>
            <sz val="9"/>
            <color indexed="81"/>
            <rFont val="Tahoma"/>
            <family val="2"/>
          </rPr>
          <t>Defaults to 4,000 sqft if not populated by customer/TA</t>
        </r>
      </text>
    </comment>
    <comment ref="V6" authorId="0" shapeId="0" xr:uid="{3FCAA71F-58CA-4654-B18E-C7A1D499795F}">
      <text>
        <r>
          <rPr>
            <sz val="9"/>
            <color indexed="81"/>
            <rFont val="Tahoma"/>
            <family val="2"/>
          </rPr>
          <t>algorithm factors the gallons per day to annual with gal/day x 365 from TRM algorithm</t>
        </r>
      </text>
    </comment>
    <comment ref="Y6" authorId="0" shapeId="0" xr:uid="{E66A7FEB-C1CD-4202-809F-4EBFA184C163}">
      <text>
        <r>
          <rPr>
            <sz val="9"/>
            <color indexed="81"/>
            <rFont val="Tahoma"/>
            <family val="2"/>
          </rPr>
          <t>Default populates as &lt;=55 gal = 2.0, &gt;55 gal = 2.2</t>
        </r>
      </text>
    </comment>
    <comment ref="F27" authorId="0" shapeId="0" xr:uid="{AB04DB89-62B3-44FB-83A1-FC9DDA17BF57}">
      <text>
        <r>
          <rPr>
            <sz val="9"/>
            <color indexed="81"/>
            <rFont val="Tahoma"/>
            <family val="2"/>
          </rPr>
          <t>Based on http://www.arch.ttu.edu/people/faculty/haq_s/HEALTH-DESIGN/10-SP/TTUCoA5503Program.pdf 
75,994</t>
        </r>
      </text>
    </comment>
    <comment ref="F28" authorId="0" shapeId="0" xr:uid="{ECE19F63-7942-48A6-A9D8-9096FFF017BF}">
      <text>
        <r>
          <rPr>
            <sz val="9"/>
            <color indexed="81"/>
            <rFont val="Tahoma"/>
            <family val="2"/>
          </rPr>
          <t>Based on number of physicians per clinic/office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Ashley Faircloth</author>
  </authors>
  <commentList>
    <comment ref="J6" authorId="0" shapeId="0" xr:uid="{005A07BD-BB58-4615-8601-C382E302D8CF}">
      <text>
        <r>
          <rPr>
            <sz val="9"/>
            <color indexed="81"/>
            <rFont val="Tahoma"/>
            <family val="2"/>
          </rPr>
          <t>Total equiment cost per line excluding labor, shipping, and taxes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<sst xmlns="http://schemas.openxmlformats.org/spreadsheetml/2006/main" count="5933" uniqueCount="599">
  <si>
    <t>INSTRUCTIONS</t>
  </si>
  <si>
    <t xml:space="preserve">Worksheet Version  </t>
  </si>
  <si>
    <t>Energy Solutions for Business Program</t>
  </si>
  <si>
    <t xml:space="preserve">Appliances and Electronics Incentive Program applicants must submit a completed, electronic copy of the Appliances and Electronics Equipment Worksheet along with an online Program application.  The most up-to-date verson of this calculator tool can be found on the Program website: www.energysavePA-business.com.
Use the calculator index to find the type of equipment being installed.  Click on the equipment type label to bring up the appropriate calculator worksheet.  The Project Summary tab displays the calculated incentive as well as the estimated annual energy and demand savings. Only new, ENERGY STAR®-certified equipment is eligible for incentives through the Appliances and Electronics incentive program. For more information regarding the Appliances and Electronics incentive program, we encourage you to please visit: www.energysavePA-business.com. If you have questions regarding this calculator, please call 844-323-6399 or send an email to energysavePA@franklinenergy.com. </t>
  </si>
  <si>
    <t>Calculator Key</t>
  </si>
  <si>
    <t>Yellow Cells</t>
  </si>
  <si>
    <t>This is a read only or calculated field</t>
  </si>
  <si>
    <t>White Cells</t>
  </si>
  <si>
    <t>Equipment input fields</t>
  </si>
  <si>
    <t>Gray Cells</t>
  </si>
  <si>
    <t>Cell not applicable to the particular piece of proposed equipment</t>
  </si>
  <si>
    <t>Red Cells</t>
  </si>
  <si>
    <t>Indicates a required field was left blank or the proposed equipment does not qualify for incentives</t>
  </si>
  <si>
    <t>Calculator Tabs</t>
  </si>
  <si>
    <r>
      <t xml:space="preserve">Project Summary: </t>
    </r>
    <r>
      <rPr>
        <sz val="10"/>
        <color indexed="8"/>
        <rFont val="Calibri"/>
        <family val="2"/>
      </rPr>
      <t xml:space="preserve">The Project Summary tab shows the estimated incentive, demand and energy savings.  Information such as the customer name, building name and the facility address should be entered on the Project Summary worksheet.  
Clicking on the title of each equipment type on the Project Summary tab will bring up the appropriate calculator worksheet.
Each type of Appliances and Electronics measure has its own calculation worksheet.  Complete one row for every unique project, and complete all white cells in each row to estimate the annual energy savings and incentive. 
The Project Summary tab shows the estimated incentive, demand and energy savings. </t>
    </r>
  </si>
  <si>
    <t>Project Estimated Summary</t>
  </si>
  <si>
    <t>Appliances and Electronic Equipment Incentive Program</t>
  </si>
  <si>
    <t xml:space="preserve"> Customer Name   </t>
  </si>
  <si>
    <t xml:space="preserve"> Building Name   </t>
  </si>
  <si>
    <t xml:space="preserve"> Building Address   </t>
  </si>
  <si>
    <t xml:space="preserve"> Project ID</t>
  </si>
  <si>
    <t xml:space="preserve"> External ID</t>
  </si>
  <si>
    <t xml:space="preserve"> Installation Date</t>
  </si>
  <si>
    <t xml:space="preserve"> Total Estimated Annual Energy Savings (kWh)   </t>
  </si>
  <si>
    <t xml:space="preserve"> Total Demand Reduction (kW)   </t>
  </si>
  <si>
    <t xml:space="preserve"> Total Calculated Project Incentive   </t>
  </si>
  <si>
    <r>
      <t xml:space="preserve">Equipment Type 
</t>
    </r>
    <r>
      <rPr>
        <b/>
        <sz val="8"/>
        <color indexed="9"/>
        <rFont val="Calibri"/>
        <family val="2"/>
      </rPr>
      <t>(click on titles below to jump to the associated calculator)</t>
    </r>
  </si>
  <si>
    <t>Quantity</t>
  </si>
  <si>
    <t>Demand Savings (kW)</t>
  </si>
  <si>
    <t>Energy Savings (kWh)</t>
  </si>
  <si>
    <t>Incentive</t>
  </si>
  <si>
    <t>Refrigerators</t>
  </si>
  <si>
    <t>Freezers</t>
  </si>
  <si>
    <t>Clothes Washers</t>
  </si>
  <si>
    <t>Clothes Dryers</t>
  </si>
  <si>
    <t>Water Heaters</t>
  </si>
  <si>
    <t>Uninterruptible Power Supplies (UPS)</t>
  </si>
  <si>
    <t>Office Equipment</t>
  </si>
  <si>
    <t>Franklin Energy - 844 324-6399 - energysavePA@franklinenergy.com</t>
  </si>
  <si>
    <t>Measure #</t>
  </si>
  <si>
    <t>Reporting Measure Name</t>
  </si>
  <si>
    <t>Total Incentive</t>
  </si>
  <si>
    <t>Retrofit ID</t>
  </si>
  <si>
    <t>Totals</t>
  </si>
  <si>
    <t>Measure ID</t>
  </si>
  <si>
    <t>Refrigerators - Tier I</t>
  </si>
  <si>
    <t>FEPA-15</t>
  </si>
  <si>
    <t>Refrigerators - Tier II</t>
  </si>
  <si>
    <t>FEPA-16</t>
  </si>
  <si>
    <t>Refrigerators - Tier III</t>
  </si>
  <si>
    <t>FEPA-17</t>
  </si>
  <si>
    <t>FEPA-20</t>
  </si>
  <si>
    <t>Clothes Washers - Tier I</t>
  </si>
  <si>
    <t>FEPA-10</t>
  </si>
  <si>
    <t>Clothes Washers - Tier II</t>
  </si>
  <si>
    <t>FEPA-11</t>
  </si>
  <si>
    <t>Clothes Washers - Tier III</t>
  </si>
  <si>
    <t>FEPA-12</t>
  </si>
  <si>
    <t>Clothes Dryer</t>
  </si>
  <si>
    <t>FEPA-13</t>
  </si>
  <si>
    <t>Heat Pump Clothes Dryer</t>
  </si>
  <si>
    <t>FEPA-14</t>
  </si>
  <si>
    <t>Water Heater - Heat Pump</t>
  </si>
  <si>
    <t>FEPA-18</t>
  </si>
  <si>
    <t>Water Heater - Solar</t>
  </si>
  <si>
    <t>FEPA-19</t>
  </si>
  <si>
    <t>Room Air Conditioners</t>
  </si>
  <si>
    <t>FEPA-9</t>
  </si>
  <si>
    <t>Pre Rinse Spray Nozzles</t>
  </si>
  <si>
    <t>FEPA-21</t>
  </si>
  <si>
    <t>Uninterruptable Power Supplies</t>
  </si>
  <si>
    <t>FEPA-22</t>
  </si>
  <si>
    <t>Computers</t>
  </si>
  <si>
    <t>FEPA-24</t>
  </si>
  <si>
    <t>Computer Monitors</t>
  </si>
  <si>
    <t>FEPA-23</t>
  </si>
  <si>
    <t>Copiers</t>
  </si>
  <si>
    <t>Copier1</t>
  </si>
  <si>
    <t>Fax Machine</t>
  </si>
  <si>
    <t>FEPA-25</t>
  </si>
  <si>
    <t>Multifunction Devices</t>
  </si>
  <si>
    <t>FEPA-27</t>
  </si>
  <si>
    <t>Printers</t>
  </si>
  <si>
    <t>FEPA-28</t>
  </si>
  <si>
    <t>PA TRM 2021 Res</t>
  </si>
  <si>
    <t>p 97</t>
  </si>
  <si>
    <t xml:space="preserve">   ENERGY STAR® Refrigerators (Residential style used in a commercial space)</t>
  </si>
  <si>
    <t>Return to Project Summary</t>
  </si>
  <si>
    <t>Eligible refrigerators must be ENERGY STAR certified, residential units. New refrigerator installations and replacement projects are eligible for incentives under this measure.</t>
  </si>
  <si>
    <t>Line</t>
  </si>
  <si>
    <t>Measure</t>
  </si>
  <si>
    <t>Installation Type</t>
  </si>
  <si>
    <t>New Equipment Manufacturer</t>
  </si>
  <si>
    <t>New Equipment Model Number</t>
  </si>
  <si>
    <t>Refrigerator Type</t>
  </si>
  <si>
    <t>Defrost Type</t>
  </si>
  <si>
    <t>Automatic Ice Maker?</t>
  </si>
  <si>
    <t>Through the Door Ice?</t>
  </si>
  <si>
    <r>
      <t>Refrigerator Volume ft</t>
    </r>
    <r>
      <rPr>
        <b/>
        <vertAlign val="superscript"/>
        <sz val="11"/>
        <color indexed="9"/>
        <rFont val="Calibri"/>
        <family val="2"/>
      </rPr>
      <t>3</t>
    </r>
  </si>
  <si>
    <r>
      <t>Freezer Volume ft</t>
    </r>
    <r>
      <rPr>
        <b/>
        <vertAlign val="superscript"/>
        <sz val="11"/>
        <color indexed="9"/>
        <rFont val="Calibri"/>
        <family val="2"/>
      </rPr>
      <t>3</t>
    </r>
  </si>
  <si>
    <t>Refrigerator Efficiency Level</t>
  </si>
  <si>
    <t>Equipment Cost</t>
  </si>
  <si>
    <t>FE Reporting Category</t>
  </si>
  <si>
    <t>Navigator Measure</t>
  </si>
  <si>
    <t>Salesforce Measure</t>
  </si>
  <si>
    <t>Volume lookup</t>
  </si>
  <si>
    <t>Adjusted Volume</t>
  </si>
  <si>
    <t>Coefficient A Base</t>
  </si>
  <si>
    <t>Coefficient B Base</t>
  </si>
  <si>
    <t>Coefficient A Energy Efficient</t>
  </si>
  <si>
    <t>Coefficient B Energy Efficient</t>
  </si>
  <si>
    <r>
      <t>kWh</t>
    </r>
    <r>
      <rPr>
        <b/>
        <vertAlign val="subscript"/>
        <sz val="11"/>
        <color indexed="9"/>
        <rFont val="Calibri"/>
        <family val="2"/>
      </rPr>
      <t>base</t>
    </r>
  </si>
  <si>
    <r>
      <t>kWh</t>
    </r>
    <r>
      <rPr>
        <b/>
        <vertAlign val="subscript"/>
        <sz val="11"/>
        <color indexed="9"/>
        <rFont val="Calibri"/>
        <family val="2"/>
      </rPr>
      <t>ee</t>
    </r>
  </si>
  <si>
    <t>Measure Life</t>
  </si>
  <si>
    <t>Total kW</t>
  </si>
  <si>
    <t>Total Demand Reductions (kW)</t>
  </si>
  <si>
    <t>Total Energy Savings (kWh)</t>
  </si>
  <si>
    <t>Uncapped Incentive</t>
  </si>
  <si>
    <t>Theoretical Capped Incentive</t>
  </si>
  <si>
    <t>Measure Qualifies?</t>
  </si>
  <si>
    <t>Defrost</t>
  </si>
  <si>
    <t>Auto Ice Maker?</t>
  </si>
  <si>
    <t>Key</t>
  </si>
  <si>
    <t>ReplType</t>
  </si>
  <si>
    <t>Manufacturer</t>
  </si>
  <si>
    <t>Model;ModelNumber</t>
  </si>
  <si>
    <t>Type</t>
  </si>
  <si>
    <t>DefType</t>
  </si>
  <si>
    <t>Auto</t>
  </si>
  <si>
    <t>ICE</t>
  </si>
  <si>
    <t>Vol</t>
  </si>
  <si>
    <t>FreVol</t>
  </si>
  <si>
    <t>EffLevel</t>
  </si>
  <si>
    <t>MeasureCost</t>
  </si>
  <si>
    <t>ExternalID</t>
  </si>
  <si>
    <t>NcpkW</t>
  </si>
  <si>
    <t>CoinckW</t>
  </si>
  <si>
    <t>kWh</t>
  </si>
  <si>
    <t>CapIncentive</t>
  </si>
  <si>
    <t>UncapIncentive</t>
  </si>
  <si>
    <t>MeasureQualifies</t>
  </si>
  <si>
    <t>Refrigerator Features</t>
  </si>
  <si>
    <t>Federal Standard 9/15/14</t>
  </si>
  <si>
    <t>Energy Star [CEE Tier I]</t>
  </si>
  <si>
    <t>CEE Tier II 
(15% above Energy Star)</t>
  </si>
  <si>
    <t>CEE Tier III 
(20% above Energy Star)</t>
  </si>
  <si>
    <t>Early Replacement</t>
  </si>
  <si>
    <t>New Installation</t>
  </si>
  <si>
    <t>Configuration</t>
  </si>
  <si>
    <t>Refrigerator Size</t>
  </si>
  <si>
    <t>Coefficient A</t>
  </si>
  <si>
    <t>Coefficient B</t>
  </si>
  <si>
    <t>Refrigerator</t>
  </si>
  <si>
    <t>Standard &gt; 7.75 ft3</t>
  </si>
  <si>
    <t>Manual</t>
  </si>
  <si>
    <t>No</t>
  </si>
  <si>
    <t>Automatic</t>
  </si>
  <si>
    <t>Refrigerator/Freezer</t>
  </si>
  <si>
    <t>Partial Automatic</t>
  </si>
  <si>
    <t>Compact &lt; 7.75 ft3</t>
  </si>
  <si>
    <t>Refrigerator with top mount freezer</t>
  </si>
  <si>
    <t>Yes</t>
  </si>
  <si>
    <t>ETDF</t>
  </si>
  <si>
    <t>Refrigerator with side mount freezer</t>
  </si>
  <si>
    <t>Refrigerator with bottom mount freezer</t>
  </si>
  <si>
    <t>Efficiency Level</t>
  </si>
  <si>
    <t>Energy Star ® CEE Tier 1</t>
  </si>
  <si>
    <t>CI-CO-PR-IT-CA-000015-01-FEPA-CI</t>
  </si>
  <si>
    <t>Refrigerator Level 1&amp; 2-Downstream-FEPA CI</t>
  </si>
  <si>
    <t>CEE Tier II</t>
  </si>
  <si>
    <t>CEE Tier III</t>
  </si>
  <si>
    <t>CI-CO-PR-IT-CA-000016-01-FEPA-CI</t>
  </si>
  <si>
    <t>Refrigerator Level 3-Downstream-FEPA CI</t>
  </si>
  <si>
    <t>p 105</t>
  </si>
  <si>
    <t xml:space="preserve">   ENERGY STAR® Freezers - (Residential style used in a commercial space)</t>
  </si>
  <si>
    <t>Eligible freezers must be ENERGY STAR certified, residential units. New freezer installations and replacement projects are eligible for incentives under this measure.</t>
  </si>
  <si>
    <t>Freezer Style</t>
  </si>
  <si>
    <t>Features</t>
  </si>
  <si>
    <t>Features Drop Down Logic</t>
  </si>
  <si>
    <t>Install</t>
  </si>
  <si>
    <t>Model</t>
  </si>
  <si>
    <t>Style</t>
  </si>
  <si>
    <t>Feat</t>
  </si>
  <si>
    <t>Energy Star</t>
  </si>
  <si>
    <t>Freezer Type</t>
  </si>
  <si>
    <t>Upright</t>
  </si>
  <si>
    <t>Manual defrost</t>
  </si>
  <si>
    <t>CI-CO-PR-IT-CA-000017-01-FEPA-CI</t>
  </si>
  <si>
    <t>Freezer-Downstream-FEPA CI</t>
  </si>
  <si>
    <t>Freezer Size</t>
  </si>
  <si>
    <t>Automatic defrost</t>
  </si>
  <si>
    <t>Automatic defrost with icemaker</t>
  </si>
  <si>
    <t>Built-In</t>
  </si>
  <si>
    <t>Chest</t>
  </si>
  <si>
    <t>Compact</t>
  </si>
  <si>
    <t>Upright with manual defrost</t>
  </si>
  <si>
    <t>Upright with automatic defrost</t>
  </si>
  <si>
    <t>Chest Freezer</t>
  </si>
  <si>
    <t>PA TRM 2021 C&amp;I</t>
  </si>
  <si>
    <t>p 191</t>
  </si>
  <si>
    <t xml:space="preserve">   ENERGY STAR® Commercial Clothers Washers</t>
  </si>
  <si>
    <t>Commercial ENERGY STAR certified clothes washers in laundromats and multifamily complexes are eligible for incentives. New installations and replacement projects are eligible. Must be connected to an electric water heating system. System also requires an electric dryer to be used in combination.</t>
  </si>
  <si>
    <t>Building Type</t>
  </si>
  <si>
    <t>Equipment Type</t>
  </si>
  <si>
    <t>Loading Type</t>
  </si>
  <si>
    <r>
      <t>Washer Capacity ft</t>
    </r>
    <r>
      <rPr>
        <b/>
        <vertAlign val="superscript"/>
        <sz val="11"/>
        <color indexed="9"/>
        <rFont val="Calibri"/>
        <family val="2"/>
      </rPr>
      <t>3</t>
    </r>
  </si>
  <si>
    <t>Salesforce Measure Name</t>
  </si>
  <si>
    <r>
      <t>MEF</t>
    </r>
    <r>
      <rPr>
        <b/>
        <vertAlign val="subscript"/>
        <sz val="11"/>
        <color indexed="9"/>
        <rFont val="Calibri"/>
        <family val="2"/>
      </rPr>
      <t>Base</t>
    </r>
  </si>
  <si>
    <r>
      <t>MEF</t>
    </r>
    <r>
      <rPr>
        <b/>
        <vertAlign val="subscript"/>
        <sz val="11"/>
        <color indexed="9"/>
        <rFont val="Calibri"/>
        <family val="2"/>
      </rPr>
      <t>EE</t>
    </r>
  </si>
  <si>
    <r>
      <t>DE</t>
    </r>
    <r>
      <rPr>
        <b/>
        <vertAlign val="subscript"/>
        <sz val="11"/>
        <color indexed="9"/>
        <rFont val="Calibri"/>
        <family val="2"/>
      </rPr>
      <t>Base</t>
    </r>
  </si>
  <si>
    <r>
      <t>DE</t>
    </r>
    <r>
      <rPr>
        <b/>
        <vertAlign val="subscript"/>
        <sz val="11"/>
        <color indexed="9"/>
        <rFont val="Calibri"/>
        <family val="2"/>
      </rPr>
      <t>EE</t>
    </r>
  </si>
  <si>
    <r>
      <t>HET</t>
    </r>
    <r>
      <rPr>
        <b/>
        <vertAlign val="subscript"/>
        <sz val="11"/>
        <color indexed="9"/>
        <rFont val="Calibri"/>
        <family val="2"/>
      </rPr>
      <t>Base</t>
    </r>
  </si>
  <si>
    <r>
      <t>HET</t>
    </r>
    <r>
      <rPr>
        <b/>
        <vertAlign val="subscript"/>
        <sz val="11"/>
        <color indexed="9"/>
        <rFont val="Calibri"/>
        <family val="2"/>
      </rPr>
      <t>EE</t>
    </r>
  </si>
  <si>
    <t>Energy Savings per unit (kWh)</t>
  </si>
  <si>
    <t>Demand Reductions per unit (kW)</t>
  </si>
  <si>
    <t>WasherBldgType</t>
  </si>
  <si>
    <t>EquipType</t>
  </si>
  <si>
    <t>LoadType</t>
  </si>
  <si>
    <t>WashCap</t>
  </si>
  <si>
    <t>Commercial Clothes Washer</t>
  </si>
  <si>
    <t>Federal Standard</t>
  </si>
  <si>
    <t>10% more efficient</t>
  </si>
  <si>
    <t xml:space="preserve">20% more efficient </t>
  </si>
  <si>
    <r>
      <t>New Installation MEF</t>
    </r>
    <r>
      <rPr>
        <b/>
        <vertAlign val="subscript"/>
        <sz val="11"/>
        <color indexed="8"/>
        <rFont val="Calibri"/>
        <family val="2"/>
      </rPr>
      <t>Base</t>
    </r>
  </si>
  <si>
    <r>
      <t>CEE Tier I MEF</t>
    </r>
    <r>
      <rPr>
        <b/>
        <vertAlign val="subscript"/>
        <sz val="11"/>
        <color indexed="8"/>
        <rFont val="Calibri"/>
        <family val="2"/>
      </rPr>
      <t>EE</t>
    </r>
  </si>
  <si>
    <r>
      <t>CEE Tier II MEF</t>
    </r>
    <r>
      <rPr>
        <b/>
        <vertAlign val="subscript"/>
        <sz val="11"/>
        <color indexed="8"/>
        <rFont val="Calibri"/>
        <family val="2"/>
      </rPr>
      <t>EE</t>
    </r>
  </si>
  <si>
    <r>
      <t>CEE Tier III MEF</t>
    </r>
    <r>
      <rPr>
        <b/>
        <vertAlign val="subscript"/>
        <sz val="11"/>
        <color indexed="8"/>
        <rFont val="Calibri"/>
        <family val="2"/>
      </rPr>
      <t>EE</t>
    </r>
  </si>
  <si>
    <t>Application</t>
  </si>
  <si>
    <t>Clothes Washer - Energy Star</t>
  </si>
  <si>
    <t>Top Load</t>
  </si>
  <si>
    <t>CI-CO-PR-IT-CA-000012-01-FEPA-CI</t>
  </si>
  <si>
    <t>Clothes Washer Level 1&amp;2-Downstream-FEPA CI</t>
  </si>
  <si>
    <t>Multifamily</t>
  </si>
  <si>
    <t>Front Load</t>
  </si>
  <si>
    <t>Laundromat</t>
  </si>
  <si>
    <t>Clothes Washer - CEE Tier II</t>
  </si>
  <si>
    <t>Clothes Washer - CEE Tier III</t>
  </si>
  <si>
    <t>Clothes Washer Level 3-Downstream-FEPA CI</t>
  </si>
  <si>
    <t>Factor Name</t>
  </si>
  <si>
    <t>Factor</t>
  </si>
  <si>
    <t>ME_t- Per-cycle machine electrical energy consumption (kWh/cycle)</t>
  </si>
  <si>
    <t>Load Adjustment Factor (LAF)</t>
  </si>
  <si>
    <t>Nominal energy required for clothes dryer to remove moisture from clothes (kWh/lb.)(DEF)</t>
  </si>
  <si>
    <t>Dryer usage factor, percentage of washer loads dried in a clothes dryer (DUF)</t>
  </si>
  <si>
    <t>Maximum test-load weight (lbs./cycle) (WGHT max)</t>
  </si>
  <si>
    <t>Multifamily - Number of cycles per year (N)</t>
  </si>
  <si>
    <t>Laundromats - Number of cycles per year (N)</t>
  </si>
  <si>
    <t>Utilization Factor (UF)</t>
  </si>
  <si>
    <t xml:space="preserve">Each commercial clothes washer manufactured between January 1, 2007, and January 8, 2013, shall have a modified energy factor of at least 1.26 and a water consumption factor of not more than 9.5.
Each commercial clothes washer manufactured on or after January 8, 2013, shall have a modified energy factor no less than and a water factor no greater than shown in Table 1.
Table 1. Energy Conservation Standards for Commercial Clothes Washers
Product Class
Modified Energy Factor (ft3/kWh/cycle), Water Factor (gal/ft3/cycle) 
1. Top-loading 1.60  8.5 
2. Front-loading 2.00 5.5 
http://www1.eere.energy.gov/buildings/appliance_standards/product.aspx/productid/46#standards
</t>
  </si>
  <si>
    <t>p 119</t>
  </si>
  <si>
    <t xml:space="preserve">   ENERGY STAR® Electric Clothes Dryers</t>
  </si>
  <si>
    <t>Eligible dryers are ENERGY STAR certified and have a higher combined energy factor (CEF) than standard dryers. New dryer installations and replacement projects are eligible. Non-electric clothes dryers are not eligible.</t>
  </si>
  <si>
    <t>Dryer Type</t>
  </si>
  <si>
    <r>
      <t xml:space="preserve">New Dryer Combined Energy Factor (CEF) </t>
    </r>
    <r>
      <rPr>
        <b/>
        <sz val="10"/>
        <color indexed="9"/>
        <rFont val="Calibri"/>
        <family val="2"/>
      </rPr>
      <t>leave blank if unknown</t>
    </r>
  </si>
  <si>
    <r>
      <t>CEF</t>
    </r>
    <r>
      <rPr>
        <b/>
        <vertAlign val="subscript"/>
        <sz val="11"/>
        <color indexed="9"/>
        <rFont val="Calibri"/>
        <family val="2"/>
      </rPr>
      <t>Base</t>
    </r>
  </si>
  <si>
    <r>
      <t>CEF</t>
    </r>
    <r>
      <rPr>
        <b/>
        <vertAlign val="subscript"/>
        <sz val="11"/>
        <color indexed="9"/>
        <rFont val="Calibri"/>
        <family val="2"/>
      </rPr>
      <t>EE</t>
    </r>
  </si>
  <si>
    <t>Standard or Compact?</t>
  </si>
  <si>
    <t>Theoretical Incentive</t>
  </si>
  <si>
    <t>DryType</t>
  </si>
  <si>
    <t>NewCEF</t>
  </si>
  <si>
    <t>Energy Star 5/19/2014</t>
  </si>
  <si>
    <r>
      <t>Cycles</t>
    </r>
    <r>
      <rPr>
        <b/>
        <vertAlign val="subscript"/>
        <sz val="11"/>
        <color indexed="8"/>
        <rFont val="Calibri"/>
        <family val="2"/>
      </rPr>
      <t>wash</t>
    </r>
  </si>
  <si>
    <t>Capacity</t>
  </si>
  <si>
    <r>
      <t>CEF</t>
    </r>
    <r>
      <rPr>
        <b/>
        <vertAlign val="subscript"/>
        <sz val="11"/>
        <color indexed="8"/>
        <rFont val="Calibri"/>
        <family val="2"/>
      </rPr>
      <t>base</t>
    </r>
    <r>
      <rPr>
        <b/>
        <sz val="11"/>
        <color indexed="8"/>
        <rFont val="Calibri"/>
        <family val="2"/>
      </rPr>
      <t xml:space="preserve">  (lbs/kWh)</t>
    </r>
  </si>
  <si>
    <r>
      <t>CEF</t>
    </r>
    <r>
      <rPr>
        <b/>
        <vertAlign val="subscript"/>
        <sz val="11"/>
        <color indexed="8"/>
        <rFont val="Calibri"/>
        <family val="2"/>
      </rPr>
      <t>ee</t>
    </r>
    <r>
      <rPr>
        <b/>
        <sz val="11"/>
        <color indexed="8"/>
        <rFont val="Calibri"/>
        <family val="2"/>
      </rPr>
      <t xml:space="preserve">  (lbs/kWh)</t>
    </r>
  </si>
  <si>
    <t>CI-CO-PR-IT-CA-000014-01-FEPA-CI</t>
  </si>
  <si>
    <t>Clothes Dryer-Downstream-FEPA CI</t>
  </si>
  <si>
    <r>
      <t>Load</t>
    </r>
    <r>
      <rPr>
        <b/>
        <vertAlign val="subscript"/>
        <sz val="11"/>
        <color indexed="8"/>
        <rFont val="Calibri"/>
        <family val="2"/>
      </rPr>
      <t>avg standard</t>
    </r>
  </si>
  <si>
    <r>
      <t xml:space="preserve">Vented Electric [240V], Standard Capacity </t>
    </r>
    <r>
      <rPr>
        <sz val="11"/>
        <color indexed="8"/>
        <rFont val="Calibri"/>
        <family val="2"/>
      </rPr>
      <t xml:space="preserve">≥ </t>
    </r>
    <r>
      <rPr>
        <sz val="11"/>
        <color theme="1"/>
        <rFont val="Calibri"/>
        <family val="2"/>
        <scheme val="minor"/>
      </rPr>
      <t>4.4 ft</t>
    </r>
    <r>
      <rPr>
        <vertAlign val="superscript"/>
        <sz val="11"/>
        <color indexed="8"/>
        <rFont val="Calibri"/>
        <family val="2"/>
      </rPr>
      <t>3</t>
    </r>
  </si>
  <si>
    <t>Standard</t>
  </si>
  <si>
    <r>
      <t>Load</t>
    </r>
    <r>
      <rPr>
        <b/>
        <vertAlign val="subscript"/>
        <sz val="11"/>
        <color indexed="8"/>
        <rFont val="Calibri"/>
        <family val="2"/>
      </rPr>
      <t>avg compact</t>
    </r>
  </si>
  <si>
    <r>
      <t xml:space="preserve">Ventless Electric [240V], Standard Capacity </t>
    </r>
    <r>
      <rPr>
        <sz val="11"/>
        <color indexed="8"/>
        <rFont val="Calibri"/>
        <family val="2"/>
      </rPr>
      <t xml:space="preserve">≥ </t>
    </r>
    <r>
      <rPr>
        <sz val="11"/>
        <color theme="1"/>
        <rFont val="Calibri"/>
        <family val="2"/>
        <scheme val="minor"/>
      </rPr>
      <t>4.4 ft</t>
    </r>
    <r>
      <rPr>
        <vertAlign val="superscript"/>
        <sz val="11"/>
        <color indexed="8"/>
        <rFont val="Calibri"/>
        <family val="2"/>
      </rPr>
      <t>3</t>
    </r>
  </si>
  <si>
    <r>
      <t>%</t>
    </r>
    <r>
      <rPr>
        <b/>
        <vertAlign val="subscript"/>
        <sz val="11"/>
        <color indexed="8"/>
        <rFont val="Calibri"/>
        <family val="2"/>
      </rPr>
      <t>dry/wash</t>
    </r>
  </si>
  <si>
    <r>
      <t xml:space="preserve">Vented Electric [120V], Compact Capacity </t>
    </r>
    <r>
      <rPr>
        <sz val="11"/>
        <color indexed="8"/>
        <rFont val="Calibri"/>
        <family val="2"/>
      </rPr>
      <t xml:space="preserve">&lt; </t>
    </r>
    <r>
      <rPr>
        <sz val="11"/>
        <color theme="1"/>
        <rFont val="Calibri"/>
        <family val="2"/>
        <scheme val="minor"/>
      </rPr>
      <t>4.4 ft</t>
    </r>
    <r>
      <rPr>
        <vertAlign val="superscript"/>
        <sz val="11"/>
        <color indexed="8"/>
        <rFont val="Calibri"/>
        <family val="2"/>
      </rPr>
      <t>3</t>
    </r>
  </si>
  <si>
    <r>
      <t>Time</t>
    </r>
    <r>
      <rPr>
        <b/>
        <vertAlign val="subscript"/>
        <sz val="11"/>
        <color indexed="8"/>
        <rFont val="Calibri"/>
        <family val="2"/>
      </rPr>
      <t>cycle</t>
    </r>
  </si>
  <si>
    <t>Electric w/sensor</t>
  </si>
  <si>
    <r>
      <t xml:space="preserve">Ventless Electric [120V], Compact Capacity </t>
    </r>
    <r>
      <rPr>
        <sz val="11"/>
        <color indexed="8"/>
        <rFont val="Calibri"/>
        <family val="2"/>
      </rPr>
      <t xml:space="preserve">&lt; </t>
    </r>
    <r>
      <rPr>
        <sz val="11"/>
        <color theme="1"/>
        <rFont val="Calibri"/>
        <family val="2"/>
        <scheme val="minor"/>
      </rPr>
      <t>4.4 ft</t>
    </r>
    <r>
      <rPr>
        <vertAlign val="superscript"/>
        <sz val="11"/>
        <color indexed="8"/>
        <rFont val="Calibri"/>
        <family val="2"/>
      </rPr>
      <t>3</t>
    </r>
  </si>
  <si>
    <t>Coincidence Factor</t>
  </si>
  <si>
    <t>Heat Pump</t>
  </si>
  <si>
    <r>
      <t xml:space="preserve">Vented Electric [240V], Compact Capacity </t>
    </r>
    <r>
      <rPr>
        <sz val="11"/>
        <color indexed="8"/>
        <rFont val="Calibri"/>
        <family val="2"/>
      </rPr>
      <t xml:space="preserve">&lt; </t>
    </r>
    <r>
      <rPr>
        <sz val="11"/>
        <color theme="1"/>
        <rFont val="Calibri"/>
        <family val="2"/>
        <scheme val="minor"/>
      </rPr>
      <t>4.4 ft</t>
    </r>
    <r>
      <rPr>
        <vertAlign val="superscript"/>
        <sz val="11"/>
        <color indexed="8"/>
        <rFont val="Calibri"/>
        <family val="2"/>
      </rPr>
      <t>3</t>
    </r>
  </si>
  <si>
    <r>
      <t xml:space="preserve">Vented Heat Pump [240V], Standard Capacity </t>
    </r>
    <r>
      <rPr>
        <sz val="11"/>
        <color indexed="8"/>
        <rFont val="Calibri"/>
        <family val="2"/>
      </rPr>
      <t xml:space="preserve">≥ </t>
    </r>
    <r>
      <rPr>
        <sz val="11"/>
        <color theme="1"/>
        <rFont val="Calibri"/>
        <family val="2"/>
        <scheme val="minor"/>
      </rPr>
      <t>4.4 ft</t>
    </r>
    <r>
      <rPr>
        <vertAlign val="superscript"/>
        <sz val="11"/>
        <color indexed="8"/>
        <rFont val="Calibri"/>
        <family val="2"/>
      </rPr>
      <t>3</t>
    </r>
  </si>
  <si>
    <r>
      <t xml:space="preserve">Ventless Heat Pump [240V], Compact Capacity </t>
    </r>
    <r>
      <rPr>
        <sz val="11"/>
        <color indexed="8"/>
        <rFont val="Calibri"/>
        <family val="2"/>
      </rPr>
      <t xml:space="preserve">&lt; </t>
    </r>
    <r>
      <rPr>
        <sz val="11"/>
        <color theme="1"/>
        <rFont val="Calibri"/>
        <family val="2"/>
        <scheme val="minor"/>
      </rPr>
      <t>4.4 ft</t>
    </r>
    <r>
      <rPr>
        <vertAlign val="superscript"/>
        <sz val="11"/>
        <color indexed="8"/>
        <rFont val="Calibri"/>
        <family val="2"/>
      </rPr>
      <t>3</t>
    </r>
  </si>
  <si>
    <t>PA TRM 2021</t>
  </si>
  <si>
    <t>Res p 93 &amp; C&amp;I p 132</t>
  </si>
  <si>
    <t xml:space="preserve">   ENERGY STAR® Heat Pump and Solar Powered Water Heaters</t>
  </si>
  <si>
    <t>Heat pump water heater installations must involve the direct retrofit of a standard resistive electric water heating system. Heat pump water heaters used in pre-heat applications or in combination with other water heating system types are not eligible for incentives through this measure. Eligible heat pump water heaters must be ENERGY STAR certified with an efficiency factor &gt;2.0.
Solar water heater installations must involve the direct retrofit of a standard resistive electric water heating system. Solar water heaters must be used with a backup electric water heater with an energy factor ≥ 1.8 to be eligible.</t>
  </si>
  <si>
    <t>Not used</t>
  </si>
  <si>
    <t>Building Square Footage</t>
  </si>
  <si>
    <t>Water Heater Placement</t>
  </si>
  <si>
    <t>Water Heater Type</t>
  </si>
  <si>
    <t>Rated Storage (gallons)</t>
  </si>
  <si>
    <t>New Water Heater Uniform Energy Factor [UEF]</t>
  </si>
  <si>
    <t>Solar 
UEFbase</t>
  </si>
  <si>
    <t>Heat Pump 
UEFbase</t>
  </si>
  <si>
    <t>Typical Square Footage</t>
  </si>
  <si>
    <t>Average Annual Load (kBtu)</t>
  </si>
  <si>
    <t>Average Annual Use (gallons)</t>
  </si>
  <si>
    <t>COP Adjustment Factor</t>
  </si>
  <si>
    <t>Proposed UEF</t>
  </si>
  <si>
    <t>kWh base solar</t>
  </si>
  <si>
    <t>WaterBldgTypeFEPA</t>
  </si>
  <si>
    <t>Sqft</t>
  </si>
  <si>
    <t>Placement</t>
  </si>
  <si>
    <t>Gal</t>
  </si>
  <si>
    <t>NUEF</t>
  </si>
  <si>
    <t>Heat Pump and Solar Water Heaters</t>
  </si>
  <si>
    <t>inherited, unknown source</t>
  </si>
  <si>
    <t>GPY per SQFT</t>
  </si>
  <si>
    <t>Avg Annual Use (gallons)</t>
  </si>
  <si>
    <t>ETFD Heat Pump</t>
  </si>
  <si>
    <t>Solar UEF table</t>
  </si>
  <si>
    <r>
      <t>T</t>
    </r>
    <r>
      <rPr>
        <b/>
        <vertAlign val="subscript"/>
        <sz val="11"/>
        <color indexed="8"/>
        <rFont val="Calibri"/>
        <family val="2"/>
      </rPr>
      <t>hot</t>
    </r>
  </si>
  <si>
    <t>Education</t>
  </si>
  <si>
    <t>UEF Base</t>
  </si>
  <si>
    <t>CI-CO-PR-IT-DH-000001-01-FEPA-CI</t>
  </si>
  <si>
    <t>Water Heater - Heat Pump-Downstream-FEPA CI</t>
  </si>
  <si>
    <r>
      <t>T</t>
    </r>
    <r>
      <rPr>
        <b/>
        <vertAlign val="subscript"/>
        <sz val="11"/>
        <color indexed="8"/>
        <rFont val="Calibri"/>
        <family val="2"/>
      </rPr>
      <t>cold</t>
    </r>
  </si>
  <si>
    <t>Grocery</t>
  </si>
  <si>
    <t>UEF ee</t>
  </si>
  <si>
    <t>ETDF Heat Pump</t>
  </si>
  <si>
    <t>&lt;remove, no longer used. Lookup by building type</t>
  </si>
  <si>
    <t>Lodging</t>
  </si>
  <si>
    <t>ETDFSolar</t>
  </si>
  <si>
    <t>Years</t>
  </si>
  <si>
    <t>Office</t>
  </si>
  <si>
    <t>RDF</t>
  </si>
  <si>
    <t>Energy Star Heat Pump Water Heater</t>
  </si>
  <si>
    <t>Restaurant</t>
  </si>
  <si>
    <t>HW (gallons per day)</t>
  </si>
  <si>
    <t>Solar Water Heater</t>
  </si>
  <si>
    <t>Retail</t>
  </si>
  <si>
    <t>Warehouse-Refrigerated</t>
  </si>
  <si>
    <t>Health-Hospital</t>
  </si>
  <si>
    <t>Health-Other</t>
  </si>
  <si>
    <t>Institutional/Public Service</t>
  </si>
  <si>
    <t>Miscellaneous/Other</t>
  </si>
  <si>
    <t>Heat Pump Placement</t>
  </si>
  <si>
    <t>Typical WB Temp</t>
  </si>
  <si>
    <t>Unconditioned Space</t>
  </si>
  <si>
    <t>Conditioned Space</t>
  </si>
  <si>
    <t>Kitchen</t>
  </si>
  <si>
    <t>C&amp;I p 80 &amp; Res p 35</t>
  </si>
  <si>
    <t xml:space="preserve">   ENERGY STAR® Window Air Conditioners</t>
  </si>
  <si>
    <t>Eligible window air conditioners must be ENERGY STAR certified and be used only for comfort cooling applications. Units must be CEE Tier II and meet version 4.0 of the Federal standard for window air conditioners with a CEER ≥10.2. New installations and replacement projects are eligible.</t>
  </si>
  <si>
    <t>Zip Code of the Facility</t>
  </si>
  <si>
    <t>Cooling Capacity (Btu/h)</t>
  </si>
  <si>
    <t>Room AC Type</t>
  </si>
  <si>
    <t>Does the new unit have louvered sides?</t>
  </si>
  <si>
    <r>
      <t xml:space="preserve">Existing Efficiency 
</t>
    </r>
    <r>
      <rPr>
        <b/>
        <sz val="9"/>
        <color indexed="9"/>
        <rFont val="Calibri"/>
        <family val="2"/>
      </rPr>
      <t>(CEER or EER) leave blank if unknown</t>
    </r>
  </si>
  <si>
    <r>
      <t xml:space="preserve">Proposed Efficiency 
</t>
    </r>
    <r>
      <rPr>
        <b/>
        <sz val="9"/>
        <color indexed="9"/>
        <rFont val="Calibri"/>
        <family val="2"/>
      </rPr>
      <t>(CEER or EER) leave blank if unknown</t>
    </r>
  </si>
  <si>
    <t>Capacity Range Finder (BTU/h) Part A</t>
  </si>
  <si>
    <t>Capacity Range Finder (BTU/h) Part B</t>
  </si>
  <si>
    <t>Base HVAC Unit Type</t>
  </si>
  <si>
    <t>EERbase</t>
  </si>
  <si>
    <t>EERee</t>
  </si>
  <si>
    <t xml:space="preserve">EFLH </t>
  </si>
  <si>
    <t>CF</t>
  </si>
  <si>
    <t>Location</t>
  </si>
  <si>
    <t>Room Air Conditioner</t>
  </si>
  <si>
    <t>Program Min. Eff Requirements</t>
  </si>
  <si>
    <t>CEER Defaults Energy Star® Version 4.1 Standards</t>
  </si>
  <si>
    <t>Air Conditioner EFLH by City and Building Type (Table 3-27 from PA TRM 2021, C&amp;I p 49)</t>
  </si>
  <si>
    <t xml:space="preserve">Energy Star® </t>
  </si>
  <si>
    <t>Louvered Sides</t>
  </si>
  <si>
    <t>Without Louvered Sides</t>
  </si>
  <si>
    <t>Space and/or Building Type</t>
  </si>
  <si>
    <t>Allentown</t>
  </si>
  <si>
    <t>Binghamton</t>
  </si>
  <si>
    <t>Bradford</t>
  </si>
  <si>
    <t>Erie</t>
  </si>
  <si>
    <t>Harrisburg</t>
  </si>
  <si>
    <t>Philadelphia</t>
  </si>
  <si>
    <t>Pittsburgh</t>
  </si>
  <si>
    <t>Scranton</t>
  </si>
  <si>
    <t>Williamsport</t>
  </si>
  <si>
    <t>Product Type</t>
  </si>
  <si>
    <t>Capacity (Btu/h)</t>
  </si>
  <si>
    <t>Federal Standard with louvered sides (CEER)</t>
  </si>
  <si>
    <t>Federal Standard without louvered sides (CEER)</t>
  </si>
  <si>
    <t>ENERGY STAR with louvered sides (CEER)</t>
  </si>
  <si>
    <t>ENERGY STAR without louvered sides (CEER)</t>
  </si>
  <si>
    <t>Education - College/University</t>
  </si>
  <si>
    <t>HVAC Product Type Selector</t>
  </si>
  <si>
    <t>Louvered Sides?</t>
  </si>
  <si>
    <t>Without Reverse Cycle</t>
  </si>
  <si>
    <t>&lt; 6,000</t>
  </si>
  <si>
    <t>Education - Other</t>
  </si>
  <si>
    <t>6,000 to 7,999</t>
  </si>
  <si>
    <t>With Reverse Cycle</t>
  </si>
  <si>
    <t>8,000 to 10,999</t>
  </si>
  <si>
    <t>Health - Hospital</t>
  </si>
  <si>
    <t>Casement Only</t>
  </si>
  <si>
    <t>11,000 to 13,999</t>
  </si>
  <si>
    <t>Health - Other</t>
  </si>
  <si>
    <t>Casement-Slider</t>
  </si>
  <si>
    <t>14,000 to 19,999</t>
  </si>
  <si>
    <t>Industrial Manufacturing</t>
  </si>
  <si>
    <t>20,000 to 24,999</t>
  </si>
  <si>
    <t>25,000 to 27,999</t>
  </si>
  <si>
    <t>≥ 28,000</t>
  </si>
  <si>
    <t>Multifamily (Common Areas)</t>
  </si>
  <si>
    <t>N/A</t>
  </si>
  <si>
    <t>Warehouse - Other</t>
  </si>
  <si>
    <t>Res Air Conditioner EFLH by City, PA TRM 2021 Appendix A</t>
  </si>
  <si>
    <t>Warehouse - Refrigerated</t>
  </si>
  <si>
    <t>Reference Location</t>
  </si>
  <si>
    <t>EFLH_RAC or secondary zone EFLH_cool</t>
  </si>
  <si>
    <t>Binghamton, NY</t>
  </si>
  <si>
    <t>Air Conditioner Demand CF by City and Building Type (Table 3-28 from PA TRM 2021, p 50)</t>
  </si>
  <si>
    <t>ZCTA</t>
  </si>
  <si>
    <t>Climate Region</t>
  </si>
  <si>
    <t>H</t>
  </si>
  <si>
    <t>E</t>
  </si>
  <si>
    <t>I</t>
  </si>
  <si>
    <t>G</t>
  </si>
  <si>
    <t>F</t>
  </si>
  <si>
    <t>B</t>
  </si>
  <si>
    <t>D</t>
  </si>
  <si>
    <t>C</t>
  </si>
  <si>
    <t>A</t>
  </si>
  <si>
    <t>p 138</t>
  </si>
  <si>
    <t xml:space="preserve">   Pre-Rinse Spray Nozzels</t>
  </si>
  <si>
    <t>New pre-rinse spray nozzles must have an on/off squeeze lever, use less than 1.6 gallons per minute, and have a cleaning performance of at least 26 seconds to qualify. Only spray nozzles associated with electric water heating qualify for this measure.</t>
  </si>
  <si>
    <t xml:space="preserve">Application </t>
  </si>
  <si>
    <t>Fbase</t>
  </si>
  <si>
    <t>Fee</t>
  </si>
  <si>
    <t>Ubase</t>
  </si>
  <si>
    <t>Uee</t>
  </si>
  <si>
    <t>Incentive (per spray nozzle)</t>
  </si>
  <si>
    <t>Pre Rinse Sprayer</t>
  </si>
  <si>
    <t>Table 3-87</t>
  </si>
  <si>
    <t>Commercial Prototype Building</t>
  </si>
  <si>
    <t>Quick-service Restaurant</t>
  </si>
  <si>
    <t>Full-service Restaurant</t>
  </si>
  <si>
    <t>Standalone Retail (Grocery)</t>
  </si>
  <si>
    <t>Default - Unknown</t>
  </si>
  <si>
    <t>Table 3-89</t>
  </si>
  <si>
    <t>Program: Application</t>
  </si>
  <si>
    <t>Flow Rate (GPM)</t>
  </si>
  <si>
    <t>Usage Duration (min/day)</t>
  </si>
  <si>
    <t>UEF</t>
  </si>
  <si>
    <t>Th</t>
  </si>
  <si>
    <t>TC</t>
  </si>
  <si>
    <t>Validation Options</t>
  </si>
  <si>
    <t>Nice Name</t>
  </si>
  <si>
    <t>Medium Sized Casual 
Dining Restaurants</t>
  </si>
  <si>
    <t>Full Service Restaurant</t>
  </si>
  <si>
    <t>Small Quick Service 
Restaurants</t>
  </si>
  <si>
    <t>Grocery or Unknown</t>
  </si>
  <si>
    <t>Limited Service (Fast Food) Restaurant</t>
  </si>
  <si>
    <t>Large Institutional Establishments 
with Cafeteria</t>
  </si>
  <si>
    <t>Other or Unknown</t>
  </si>
  <si>
    <t xml:space="preserve">   ENERGY STAR® Uninterruptable Power Supplies [UPS]</t>
  </si>
  <si>
    <t>ENERGY STAR certified UPS systems use less energy than standard efficiency systems. Only units 12kW or less are eligible for incentives under this measure. Units with capacities greater than 12kW may be eligible for incentives under the Custom Equipment program.</t>
  </si>
  <si>
    <t>&lt;=1500</t>
  </si>
  <si>
    <t>1500-10000</t>
  </si>
  <si>
    <t>&gt;10000</t>
  </si>
  <si>
    <t>&lt;350</t>
  </si>
  <si>
    <t>350-1500</t>
  </si>
  <si>
    <t>Existing</t>
  </si>
  <si>
    <t>New</t>
  </si>
  <si>
    <t>base (energy star v1 per CUMA Energy Efficiency Technical Reference Manual 2017)</t>
  </si>
  <si>
    <t>Efficient (energy star v2)</t>
  </si>
  <si>
    <t xml:space="preserve">Measure </t>
  </si>
  <si>
    <t>UPS Technology Type (input dependency characteristics)</t>
  </si>
  <si>
    <t>UPS Power Rating [kVA]</t>
  </si>
  <si>
    <t>VFD</t>
  </si>
  <si>
    <t>VI</t>
  </si>
  <si>
    <t>VFI</t>
  </si>
  <si>
    <t>Base Efficiency</t>
  </si>
  <si>
    <t>EFLHbase</t>
  </si>
  <si>
    <t>EFLHee</t>
  </si>
  <si>
    <t>Efficient Efficiency</t>
  </si>
  <si>
    <t>kWh Savings</t>
  </si>
  <si>
    <t>kW Savings</t>
  </si>
  <si>
    <t>Uninterruptable Power Supplies (UPS)</t>
  </si>
  <si>
    <t>Table 1: AC-output UPS Loading Assumptions for Calculating Average Efficiency</t>
  </si>
  <si>
    <t>Energy Star V2</t>
  </si>
  <si>
    <t>Rated Output Power, P, in watts (W)</t>
  </si>
  <si>
    <t>Input Dependency Characteristic*</t>
  </si>
  <si>
    <r>
      <t>Proportion of Time Spent at Specified Proportion of Reference Test Load, t</t>
    </r>
    <r>
      <rPr>
        <b/>
        <vertAlign val="subscript"/>
        <sz val="10"/>
        <color indexed="63"/>
        <rFont val="Arial"/>
        <family val="2"/>
      </rPr>
      <t>n%</t>
    </r>
  </si>
  <si>
    <t>Energy Star V1</t>
  </si>
  <si>
    <t>EFLH</t>
  </si>
  <si>
    <t>P ≤ 1500 W</t>
  </si>
  <si>
    <t>Output Power Range</t>
  </si>
  <si>
    <t>VI or VFI</t>
  </si>
  <si>
    <r>
      <t xml:space="preserve">P </t>
    </r>
    <r>
      <rPr>
        <sz val="11"/>
        <color indexed="8"/>
        <rFont val="Calibri"/>
        <family val="2"/>
      </rPr>
      <t>≤ 1.5 kW</t>
    </r>
  </si>
  <si>
    <t>1500 W &lt;P ≤ 10,000 W</t>
  </si>
  <si>
    <t>VFD, VI, or VFI</t>
  </si>
  <si>
    <t>1.5 kW &lt; P ≤ 10 kW</t>
  </si>
  <si>
    <t>P &gt; 10,000 W</t>
  </si>
  <si>
    <t>&gt;10 kW</t>
  </si>
  <si>
    <t>Efficiency Selector</t>
  </si>
  <si>
    <t>Default Efficiency</t>
  </si>
  <si>
    <t xml:space="preserve">User Defined Efficiency </t>
  </si>
  <si>
    <t>Incentive (per kW)</t>
  </si>
  <si>
    <t>C&amp;I p 237</t>
  </si>
  <si>
    <t xml:space="preserve">   ENERGY STAR® Office Equipment</t>
  </si>
  <si>
    <t>Eligible Office equipment must be ENERGY STAR®-certified. Only new equipment is eligible for incentives.</t>
  </si>
  <si>
    <t>Size</t>
  </si>
  <si>
    <t>Replacement Type</t>
  </si>
  <si>
    <t>kW deemed</t>
  </si>
  <si>
    <t>kWh deemed</t>
  </si>
  <si>
    <t>Equipment Capacity Lookup</t>
  </si>
  <si>
    <r>
      <rPr>
        <b/>
        <sz val="11"/>
        <color indexed="8"/>
        <rFont val="Calibri"/>
        <family val="2"/>
      </rPr>
      <t>Δ</t>
    </r>
    <r>
      <rPr>
        <b/>
        <sz val="11"/>
        <color indexed="8"/>
        <rFont val="Calibri"/>
        <family val="2"/>
      </rPr>
      <t>kWh</t>
    </r>
  </si>
  <si>
    <r>
      <rPr>
        <b/>
        <sz val="11"/>
        <color indexed="8"/>
        <rFont val="Calibri"/>
        <family val="2"/>
      </rPr>
      <t>Δ</t>
    </r>
    <r>
      <rPr>
        <b/>
        <sz val="11"/>
        <color indexed="8"/>
        <rFont val="Calibri"/>
        <family val="2"/>
      </rPr>
      <t>kW</t>
    </r>
  </si>
  <si>
    <t>Navigator</t>
  </si>
  <si>
    <t>Salesforce</t>
  </si>
  <si>
    <t>Computer (desktop)</t>
  </si>
  <si>
    <t>CI-CO-PR-IT-CE-000002-01-FEPA-CI</t>
  </si>
  <si>
    <t>Computer-Downstream-FEPA CI</t>
  </si>
  <si>
    <t>New Equipment</t>
  </si>
  <si>
    <t>Computer (laptop)</t>
  </si>
  <si>
    <t>Computer Monitor</t>
  </si>
  <si>
    <t>Less than 12 inches</t>
  </si>
  <si>
    <t>CI-CO-PR-IT-CE-000001-01-FEPA-CI</t>
  </si>
  <si>
    <t>Monitor-Downstream-FEPA CI</t>
  </si>
  <si>
    <t>12.0 – 16.9 inches</t>
  </si>
  <si>
    <t>Fax Machine (laser)</t>
  </si>
  <si>
    <t>17.0 – 22.9 inches</t>
  </si>
  <si>
    <t>Copier (black and white)</t>
  </si>
  <si>
    <t>23.0 – 24.9 inches</t>
  </si>
  <si>
    <t>Printer (laser, black and white)</t>
  </si>
  <si>
    <t>25.0 – 60.9 inches</t>
  </si>
  <si>
    <t>Multifunction (laser, black and white)</t>
  </si>
  <si>
    <t>CI-CO-PR-IT-CE-000004-01-FEPA-CI</t>
  </si>
  <si>
    <t>Imaging-Downstream-FEPA CI</t>
  </si>
  <si>
    <t>1-25 images/min</t>
  </si>
  <si>
    <t>26-50 images/min</t>
  </si>
  <si>
    <t>51 + images/min</t>
  </si>
  <si>
    <t>1-10 images/min</t>
  </si>
  <si>
    <t>11-20 images/min</t>
  </si>
  <si>
    <t>21-30 images/min</t>
  </si>
  <si>
    <t>31-40 images/min</t>
  </si>
  <si>
    <t>41-50 images/min</t>
  </si>
  <si>
    <t>51+ images/min</t>
  </si>
  <si>
    <t>21-44 images/min</t>
  </si>
  <si>
    <t>45-99 images/min</t>
  </si>
  <si>
    <t>100+ images/min</t>
  </si>
  <si>
    <t>Date</t>
  </si>
  <si>
    <t>Version</t>
  </si>
  <si>
    <t>Update Description</t>
  </si>
  <si>
    <t>Staff</t>
  </si>
  <si>
    <t>Peer</t>
  </si>
  <si>
    <t>Added total kW into each calculator; Added equipment cost column to each calculator tab; added portal mapping</t>
  </si>
  <si>
    <t>Ashley F</t>
  </si>
  <si>
    <t>Sarah S</t>
  </si>
  <si>
    <t>AG</t>
  </si>
  <si>
    <t>Refrigeratiors - changed standard size refrigerator with autormatic defrost to match TRM "refrigerator-freezers and refrigerators other than all refrigerators with manual defrost"</t>
  </si>
  <si>
    <t>changed incentive rate for teir 3 energy star refrigerators</t>
  </si>
  <si>
    <t>Clothes Washer - updated federal standards for clothes washers to match with PY10-PY12 according to PA TRM</t>
  </si>
  <si>
    <t>This creates a strange situation where the lowest level of Energy Star Commercial Washer MEF (as listed in TRM and as seen on Energy Star Website : https://www.energystar.gov/productfinder/product/certified-commercial-clothes-washers/results?formId=5548-677-4028-5-957031&amp;scrollTo=400&amp;search_text=&amp;brand_name_isopen=0&amp;volume_cubic_feet_filter=&amp;markets_filter=United+States&amp;zip_code_filter=&amp;product_types=Select+a+Product+Category&amp;sort_by=modified_energy_factor_mef&amp;sort_direction=ASC&amp;currentZipCode=02362&amp;page_number=0&amp;lastpage=0) is less than the baseline in the front loading case. I can't confirm if these proposed baselines are correct, as all I'm seeing on the DOE ruling is listed in IMEF (see table to the right).</t>
  </si>
  <si>
    <t>2016 TRM Calc Assumptions</t>
  </si>
  <si>
    <t>2021 TRM calc assumptions</t>
  </si>
  <si>
    <t>Looking at the new TRM, it does not look like these exact future values proposed by the 2016 TRM for PY10-PY12 came to pass. I am unsure what to do with this calculator since we are trying to QC it based on the currently implemented TRM. If we base it off of the new TRM, it seems to drop the calculations for top loading washers altogether.</t>
  </si>
  <si>
    <t>Changed CEFee for heat pump clothjes dryers because I could not find supporting data for them in the 2016 TRM, and when looking to the 2021 TRM they were much smaller than what was in the calculations (both around 7.5 before)</t>
  </si>
  <si>
    <t>Heat Pump/Solar Water Heaters</t>
  </si>
  <si>
    <t>Added separate EDTF for solar, since only the one for Heat pumps was being used for both calcs. This solar EDTF is listed in the TRM for residential calculations</t>
  </si>
  <si>
    <t>Energy Star Window Air Conditioners</t>
  </si>
  <si>
    <t>changed index/match for EER base and EER ee+ range to include bottom 2 lines of table (casement sliders &gt;28000 and 25000=27999)</t>
  </si>
  <si>
    <t>Changed Th values for food service on retrofit and new construction to match up with values given on 2016 TRM</t>
  </si>
  <si>
    <t>Note : Calculator used Ub and Up values from new construction in both new con and retrofit - this is because values are broken out into site sizes only in new con defaults</t>
  </si>
  <si>
    <t>Line Item</t>
  </si>
  <si>
    <t>Project Measure Name</t>
  </si>
  <si>
    <t>Project ID</t>
  </si>
  <si>
    <t>Project Name</t>
  </si>
  <si>
    <t>Program ID</t>
  </si>
  <si>
    <t>Account ID</t>
  </si>
  <si>
    <t>Calculator Version</t>
  </si>
  <si>
    <t>Project Type</t>
  </si>
  <si>
    <t>Measure Quantity</t>
  </si>
  <si>
    <t>Demand Savings PJM (kW)</t>
  </si>
  <si>
    <t>Auto Ice Maker</t>
  </si>
  <si>
    <t>Through the Door Ice</t>
  </si>
  <si>
    <t>Refrigerator Volume</t>
  </si>
  <si>
    <t>Freezer Volume</t>
  </si>
  <si>
    <t>Base Energy Factor</t>
  </si>
  <si>
    <t>New Energy Factor</t>
  </si>
  <si>
    <t>Equipment Size</t>
  </si>
  <si>
    <t>New Cooling Capacity</t>
  </si>
  <si>
    <t>Base EER</t>
  </si>
  <si>
    <t>New EER</t>
  </si>
  <si>
    <t>Annual Hours</t>
  </si>
  <si>
    <t>Application Type</t>
  </si>
  <si>
    <t>Base Quantity</t>
  </si>
  <si>
    <t>Base Power Rating</t>
  </si>
  <si>
    <t>Base Power Factor</t>
  </si>
  <si>
    <t>Base Heat Dissipation</t>
  </si>
  <si>
    <t>Base Efficiency at 25 Percent Load</t>
  </si>
  <si>
    <t>Base Efficiency at 50 Percent Load</t>
  </si>
  <si>
    <t>Base Efficiency at 75 Percent Load</t>
  </si>
  <si>
    <t>Base Efficiency at 100 Percent Load</t>
  </si>
  <si>
    <t>New Power Rating</t>
  </si>
  <si>
    <t>New Power Factor</t>
  </si>
  <si>
    <t>New Heat Dissipation</t>
  </si>
  <si>
    <t>New Efficiency at 25 Percent Load</t>
  </si>
  <si>
    <t>New Efficiency at 50 Percent Load</t>
  </si>
  <si>
    <t>New Efficiency at 75 Percent Load</t>
  </si>
  <si>
    <t>New Efficiency at 100 Percent Load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</si>
</sst>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quot;$&quot;#,##0.00"/>
    <numFmt numFmtId="165" formatCode="0.000"/>
    <numFmt numFmtId="166" formatCode="0.0"/>
    <numFmt numFmtId="167" formatCode="#,##0.0"/>
    <numFmt numFmtId="168" formatCode="0.0%"/>
    <numFmt numFmtId="169" formatCode="0.0000"/>
    <numFmt numFmtId="170" formatCode="0.0000000"/>
    <numFmt numFmtId="171" formatCode="_(* #,##0_);_(* \(#,##0\);_(* &quot;-&quot;??_);_(@_)"/>
    <numFmt numFmtId="172" formatCode="0.00000000"/>
    <numFmt numFmtId="173" formatCode="_(* #,##0.0000_);_(* \(#,##0.0000\);_(* &quot;-&quot;??_);_(@_)"/>
    <numFmt numFmtId="174" formatCode="_(* #,##0.00000000_);_(* \(#,##0.00000000\);_(* &quot;-&quot;??_);_(@_)"/>
    <numFmt numFmtId="175" formatCode="#,##0.00000"/>
    <numFmt numFmtId="176" formatCode="_(* #,##0.0000_);_(* \(#,##0.0000\);_(* &quot;-&quot;????_);_(@_)"/>
    <numFmt numFmtId="177" formatCode="#,##0.0000"/>
    <numFmt numFmtId="178" formatCode="0.00000"/>
  </numFmts>
  <fonts count="45">
    <font>
      <sz val="11"/>
      <color theme="1"/>
      <name val="Calibri"/>
      <family val="2"/>
      <scheme val="minor"/>
    </font>
    <font>
      <sz val="11"/>
      <color indexed="8"/>
      <name val="Calibri"/>
      <family val="2"/>
    </font>
    <font>
      <b/>
      <sz val="11"/>
      <color indexed="8"/>
      <name val="Calibri"/>
      <family val="2"/>
    </font>
    <font>
      <b/>
      <sz val="10"/>
      <color indexed="9"/>
      <name val="Calibri"/>
      <family val="2"/>
    </font>
    <font>
      <b/>
      <vertAlign val="subscript"/>
      <sz val="11"/>
      <color indexed="9"/>
      <name val="Calibri"/>
      <family val="2"/>
    </font>
    <font>
      <b/>
      <vertAlign val="subscript"/>
      <sz val="11"/>
      <color indexed="8"/>
      <name val="Calibri"/>
      <family val="2"/>
    </font>
    <font>
      <b/>
      <vertAlign val="subscript"/>
      <sz val="10"/>
      <color indexed="63"/>
      <name val="Arial"/>
      <family val="2"/>
    </font>
    <font>
      <b/>
      <vertAlign val="superscript"/>
      <sz val="11"/>
      <color indexed="9"/>
      <name val="Calibri"/>
      <family val="2"/>
    </font>
    <font>
      <vertAlign val="superscript"/>
      <sz val="11"/>
      <color indexed="8"/>
      <name val="Calibri"/>
      <family val="2"/>
    </font>
    <font>
      <b/>
      <sz val="9"/>
      <color indexed="9"/>
      <name val="Calibri"/>
      <family val="2"/>
    </font>
    <font>
      <sz val="10"/>
      <color indexed="8"/>
      <name val="Calibri"/>
      <family val="2"/>
    </font>
    <font>
      <b/>
      <sz val="10"/>
      <color indexed="8"/>
      <name val="Calibri"/>
      <family val="2"/>
    </font>
    <font>
      <b/>
      <sz val="8"/>
      <color indexed="9"/>
      <name val="Calibri"/>
      <family val="2"/>
    </font>
    <font>
      <sz val="9"/>
      <color indexed="81"/>
      <name val="Tahoma"/>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theme="0"/>
      <name val="Calibri"/>
      <family val="2"/>
      <scheme val="minor"/>
    </font>
    <font>
      <sz val="12"/>
      <color theme="1"/>
      <name val="Calibri"/>
      <family val="2"/>
      <scheme val="minor"/>
    </font>
    <font>
      <sz val="11"/>
      <color rgb="FF006100"/>
      <name val="Calibri"/>
      <family val="2"/>
      <scheme val="minor"/>
    </font>
    <font>
      <u/>
      <sz val="11"/>
      <color theme="10"/>
      <name val="Calibri"/>
      <family val="2"/>
      <scheme val="minor"/>
    </font>
    <font>
      <u/>
      <sz val="12"/>
      <color theme="10"/>
      <name val="Calibri"/>
      <family val="2"/>
      <scheme val="minor"/>
    </font>
    <font>
      <sz val="11"/>
      <color rgb="FF9C6500"/>
      <name val="Calibri"/>
      <family val="2"/>
      <scheme val="minor"/>
    </font>
    <font>
      <sz val="10"/>
      <color rgb="FF000000"/>
      <name val="Times New Roman"/>
      <family val="1"/>
    </font>
    <font>
      <b/>
      <sz val="11"/>
      <color theme="1"/>
      <name val="Calibri"/>
      <family val="2"/>
      <scheme val="minor"/>
    </font>
    <font>
      <b/>
      <sz val="11"/>
      <name val="Calibri"/>
      <family val="2"/>
      <scheme val="minor"/>
    </font>
    <font>
      <sz val="11"/>
      <name val="Calibri"/>
      <family val="2"/>
      <scheme val="minor"/>
    </font>
    <font>
      <sz val="8"/>
      <color theme="0"/>
      <name val="Calibri"/>
      <family val="2"/>
      <scheme val="minor"/>
    </font>
    <font>
      <sz val="10"/>
      <color theme="1"/>
      <name val="Calibri"/>
      <family val="2"/>
      <scheme val="minor"/>
    </font>
    <font>
      <b/>
      <sz val="16"/>
      <color theme="1"/>
      <name val="Calibri"/>
      <family val="2"/>
      <scheme val="minor"/>
    </font>
    <font>
      <b/>
      <sz val="11"/>
      <color theme="1"/>
      <name val="Calibri"/>
      <family val="2"/>
    </font>
    <font>
      <b/>
      <sz val="12"/>
      <color theme="1"/>
      <name val="Calibri"/>
      <family val="2"/>
      <scheme val="minor"/>
    </font>
    <font>
      <b/>
      <i/>
      <sz val="11"/>
      <color theme="1"/>
      <name val="Calibri"/>
      <family val="2"/>
      <scheme val="minor"/>
    </font>
    <font>
      <b/>
      <sz val="16"/>
      <color theme="0"/>
      <name val="Calibri"/>
      <family val="2"/>
      <scheme val="minor"/>
    </font>
    <font>
      <sz val="10"/>
      <name val="Calibri"/>
      <family val="2"/>
      <scheme val="minor"/>
    </font>
    <font>
      <b/>
      <sz val="10"/>
      <color theme="0"/>
      <name val="Calibri"/>
      <family val="2"/>
      <scheme val="minor"/>
    </font>
    <font>
      <sz val="14"/>
      <color theme="1"/>
      <name val="Calibri"/>
      <family val="2"/>
      <scheme val="minor"/>
    </font>
    <font>
      <b/>
      <sz val="10"/>
      <color theme="1"/>
      <name val="Calibri"/>
      <family val="2"/>
      <scheme val="minor"/>
    </font>
    <font>
      <b/>
      <sz val="24"/>
      <color theme="0"/>
      <name val="Calibri"/>
      <family val="2"/>
      <scheme val="minor"/>
    </font>
    <font>
      <sz val="14"/>
      <color theme="0"/>
      <name val="Calibri"/>
      <family val="2"/>
      <scheme val="minor"/>
    </font>
    <font>
      <b/>
      <sz val="12"/>
      <color theme="0"/>
      <name val="Calibri"/>
      <family val="2"/>
      <scheme val="minor"/>
    </font>
    <font>
      <i/>
      <sz val="11"/>
      <color theme="1"/>
      <name val="Calibri"/>
      <family val="2"/>
      <scheme val="minor"/>
    </font>
    <font>
      <b/>
      <i/>
      <sz val="11"/>
      <color theme="0"/>
      <name val="Calibri"/>
      <family val="2"/>
      <scheme val="minor"/>
    </font>
    <font>
      <i/>
      <sz val="11"/>
      <name val="Calibri"/>
      <family val="2"/>
      <scheme val="minor"/>
    </font>
  </fonts>
  <fills count="21">
    <fill>
      <patternFill patternType="none"/>
    </fill>
    <fill>
      <patternFill patternType="gray125"/>
    </fill>
    <fill>
      <patternFill patternType="solid">
        <fgColor rgb="FFFFC7CE"/>
      </patternFill>
    </fill>
    <fill>
      <patternFill patternType="solid">
        <fgColor rgb="FFC6EFCE"/>
      </patternFill>
    </fill>
    <fill>
      <patternFill patternType="solid">
        <fgColor rgb="FFFFEB9C"/>
      </patternFill>
    </fill>
    <fill>
      <patternFill patternType="solid">
        <fgColor theme="2" tint="-0.249977111117893"/>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bgColor indexed="64"/>
      </patternFill>
    </fill>
    <fill>
      <patternFill patternType="solid">
        <fgColor theme="2" tint="-0.499984740745262"/>
        <bgColor indexed="64"/>
      </patternFill>
    </fill>
    <fill>
      <patternFill patternType="solid">
        <fgColor theme="6" tint="0.39997558519241921"/>
        <bgColor indexed="64"/>
      </patternFill>
    </fill>
    <fill>
      <patternFill patternType="solid">
        <fgColor rgb="FF0070C0"/>
        <bgColor indexed="64"/>
      </patternFill>
    </fill>
    <fill>
      <patternFill patternType="solid">
        <fgColor theme="0" tint="-0.34998626667073579"/>
        <bgColor indexed="64"/>
      </patternFill>
    </fill>
    <fill>
      <patternFill patternType="solid">
        <fgColor rgb="FF7030A0"/>
        <bgColor indexed="64"/>
      </patternFill>
    </fill>
    <fill>
      <patternFill patternType="solid">
        <fgColor rgb="FFC00000"/>
        <bgColor indexed="64"/>
      </patternFill>
    </fill>
    <fill>
      <patternFill patternType="solid">
        <fgColor theme="1" tint="0.249977111117893"/>
        <bgColor indexed="64"/>
      </patternFill>
    </fill>
    <fill>
      <patternFill patternType="solid">
        <fgColor theme="9" tint="-0.249977111117893"/>
        <bgColor indexed="64"/>
      </patternFill>
    </fill>
  </fills>
  <borders count="60">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4">
    <xf numFmtId="0" fontId="0" fillId="0" borderId="0"/>
    <xf numFmtId="0" fontId="17" fillId="2" borderId="0" applyNumberFormat="0" applyBorder="0" applyAlignment="0" applyProtection="0"/>
    <xf numFmtId="43" fontId="15" fillId="0" borderId="0" applyFont="0" applyFill="0" applyBorder="0" applyAlignment="0" applyProtection="0"/>
    <xf numFmtId="43" fontId="19" fillId="0" borderId="0" applyFont="0" applyFill="0" applyBorder="0" applyAlignment="0" applyProtection="0"/>
    <xf numFmtId="44" fontId="15" fillId="0" borderId="0" applyFont="0" applyFill="0" applyBorder="0" applyAlignment="0" applyProtection="0"/>
    <xf numFmtId="0" fontId="20" fillId="3" borderId="0" applyNumberFormat="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4" borderId="0" applyNumberFormat="0" applyBorder="0" applyAlignment="0" applyProtection="0"/>
    <xf numFmtId="0" fontId="14" fillId="0" borderId="0"/>
    <xf numFmtId="0" fontId="19" fillId="0" borderId="0"/>
    <xf numFmtId="0" fontId="24" fillId="0" borderId="0"/>
    <xf numFmtId="9" fontId="15" fillId="0" borderId="0" applyFont="0" applyFill="0" applyBorder="0" applyAlignment="0" applyProtection="0"/>
    <xf numFmtId="9" fontId="19" fillId="0" borderId="0" applyFont="0" applyFill="0" applyBorder="0" applyAlignment="0" applyProtection="0"/>
  </cellStyleXfs>
  <cellXfs count="499">
    <xf numFmtId="0" fontId="0" fillId="0" borderId="0" xfId="0"/>
    <xf numFmtId="0" fontId="0" fillId="5" borderId="0" xfId="0" applyFill="1"/>
    <xf numFmtId="0" fontId="0" fillId="0" borderId="1" xfId="0" applyBorder="1" applyAlignment="1">
      <alignment horizontal="center" vertical="center"/>
    </xf>
    <xf numFmtId="0" fontId="0" fillId="0" borderId="2" xfId="0" applyBorder="1" applyAlignment="1">
      <alignment horizontal="center" vertical="center"/>
    </xf>
    <xf numFmtId="2" fontId="0" fillId="0" borderId="2" xfId="0" applyNumberFormat="1" applyBorder="1" applyAlignment="1">
      <alignment horizontal="center" vertical="center"/>
    </xf>
    <xf numFmtId="0" fontId="18" fillId="6" borderId="3" xfId="0" applyFont="1" applyFill="1" applyBorder="1" applyAlignment="1">
      <alignment horizontal="center" vertical="center"/>
    </xf>
    <xf numFmtId="0" fontId="18" fillId="6" borderId="3" xfId="0" applyFont="1" applyFill="1" applyBorder="1" applyAlignment="1">
      <alignment horizontal="center" vertical="center" wrapText="1"/>
    </xf>
    <xf numFmtId="0" fontId="18" fillId="6" borderId="4" xfId="0" applyFont="1" applyFill="1" applyBorder="1" applyAlignment="1">
      <alignment horizontal="center" vertical="center" wrapText="1"/>
    </xf>
    <xf numFmtId="0" fontId="0" fillId="7" borderId="0" xfId="0" applyFill="1"/>
    <xf numFmtId="0" fontId="0" fillId="0" borderId="0" xfId="0" applyAlignment="1">
      <alignment horizontal="center" vertical="center" wrapText="1"/>
    </xf>
    <xf numFmtId="0" fontId="0" fillId="0" borderId="0" xfId="0" applyAlignment="1">
      <alignment horizontal="center" vertical="center"/>
    </xf>
    <xf numFmtId="165" fontId="0" fillId="0" borderId="0" xfId="0" applyNumberFormat="1" applyAlignment="1">
      <alignment horizontal="center" vertical="center"/>
    </xf>
    <xf numFmtId="166" fontId="0" fillId="0" borderId="0" xfId="0" applyNumberFormat="1" applyAlignment="1">
      <alignment horizontal="center" vertical="center"/>
    </xf>
    <xf numFmtId="0" fontId="25" fillId="8" borderId="2" xfId="0" applyFont="1" applyFill="1" applyBorder="1" applyAlignment="1">
      <alignment horizontal="center" vertical="center"/>
    </xf>
    <xf numFmtId="0" fontId="25" fillId="8" borderId="2" xfId="0" applyFont="1" applyFill="1" applyBorder="1" applyAlignment="1">
      <alignment horizontal="center" vertical="center" wrapText="1"/>
    </xf>
    <xf numFmtId="0" fontId="0" fillId="0" borderId="2" xfId="0" applyBorder="1" applyAlignment="1">
      <alignment horizontal="center" vertical="center" wrapText="1"/>
    </xf>
    <xf numFmtId="164" fontId="0" fillId="0" borderId="2" xfId="0" applyNumberFormat="1" applyBorder="1" applyAlignment="1">
      <alignment horizontal="center" vertical="center"/>
    </xf>
    <xf numFmtId="44" fontId="15" fillId="0" borderId="0" xfId="4" applyFont="1" applyFill="1" applyBorder="1" applyAlignment="1">
      <alignment horizontal="center" vertical="center"/>
    </xf>
    <xf numFmtId="0" fontId="26" fillId="0" borderId="2" xfId="5" applyFont="1" applyFill="1" applyBorder="1" applyAlignment="1">
      <alignment horizontal="right" vertical="center" wrapText="1"/>
    </xf>
    <xf numFmtId="165" fontId="0" fillId="0" borderId="2" xfId="0" applyNumberFormat="1" applyBorder="1" applyAlignment="1">
      <alignment horizontal="center" vertical="center"/>
    </xf>
    <xf numFmtId="3" fontId="26" fillId="0" borderId="2" xfId="5" applyNumberFormat="1" applyFont="1" applyFill="1" applyBorder="1" applyAlignment="1">
      <alignment horizontal="right" vertical="center" wrapText="1"/>
    </xf>
    <xf numFmtId="0" fontId="25" fillId="0" borderId="2" xfId="0" applyFont="1" applyBorder="1" applyAlignment="1">
      <alignment horizontal="center" vertical="center"/>
    </xf>
    <xf numFmtId="3" fontId="20" fillId="0" borderId="0" xfId="5" applyNumberFormat="1" applyFill="1" applyBorder="1" applyAlignment="1">
      <alignment horizontal="center" vertical="center" wrapText="1"/>
    </xf>
    <xf numFmtId="0" fontId="18" fillId="6" borderId="2" xfId="0" applyFont="1" applyFill="1" applyBorder="1" applyAlignment="1">
      <alignment horizontal="center" vertical="center" wrapText="1"/>
    </xf>
    <xf numFmtId="2" fontId="0" fillId="8" borderId="2" xfId="0" applyNumberFormat="1" applyFill="1" applyBorder="1" applyAlignment="1">
      <alignment horizontal="center" vertical="center"/>
    </xf>
    <xf numFmtId="0" fontId="0" fillId="0" borderId="2" xfId="0" applyBorder="1" applyAlignment="1">
      <alignment horizontal="center"/>
    </xf>
    <xf numFmtId="164" fontId="0" fillId="0" borderId="0" xfId="0" applyNumberFormat="1"/>
    <xf numFmtId="0" fontId="25" fillId="0" borderId="0" xfId="0" applyFont="1"/>
    <xf numFmtId="0" fontId="25" fillId="8" borderId="2" xfId="0" applyFont="1" applyFill="1" applyBorder="1" applyAlignment="1">
      <alignment horizontal="center"/>
    </xf>
    <xf numFmtId="0" fontId="25" fillId="8" borderId="5" xfId="0" applyFont="1" applyFill="1" applyBorder="1" applyAlignment="1">
      <alignment horizontal="center"/>
    </xf>
    <xf numFmtId="3" fontId="0" fillId="0" borderId="2" xfId="0" applyNumberFormat="1" applyBorder="1" applyAlignment="1">
      <alignment horizontal="center"/>
    </xf>
    <xf numFmtId="0" fontId="25" fillId="8" borderId="6" xfId="0" applyFont="1" applyFill="1" applyBorder="1" applyAlignment="1">
      <alignment horizontal="center"/>
    </xf>
    <xf numFmtId="0" fontId="25" fillId="8" borderId="7" xfId="0" applyFont="1" applyFill="1" applyBorder="1" applyAlignment="1">
      <alignment horizontal="center"/>
    </xf>
    <xf numFmtId="0" fontId="0" fillId="9" borderId="2" xfId="0" applyFill="1" applyBorder="1" applyAlignment="1">
      <alignment horizontal="center" vertical="center" wrapText="1"/>
    </xf>
    <xf numFmtId="0" fontId="0" fillId="9" borderId="2" xfId="0" applyFill="1" applyBorder="1" applyAlignment="1">
      <alignment horizontal="center" vertical="center"/>
    </xf>
    <xf numFmtId="167" fontId="0" fillId="0" borderId="2" xfId="0" applyNumberFormat="1" applyBorder="1" applyAlignment="1">
      <alignment horizontal="center" vertical="center"/>
    </xf>
    <xf numFmtId="3" fontId="25" fillId="8" borderId="2" xfId="0" applyNumberFormat="1" applyFont="1" applyFill="1" applyBorder="1" applyAlignment="1">
      <alignment horizontal="center" vertical="center" wrapText="1"/>
    </xf>
    <xf numFmtId="0" fontId="0" fillId="10" borderId="2" xfId="0" applyFill="1" applyBorder="1" applyAlignment="1">
      <alignment horizontal="center" vertical="center" wrapText="1"/>
    </xf>
    <xf numFmtId="0" fontId="0" fillId="10" borderId="2" xfId="0" applyFill="1" applyBorder="1" applyAlignment="1">
      <alignment horizontal="center" vertical="center"/>
    </xf>
    <xf numFmtId="0" fontId="0" fillId="10" borderId="2" xfId="0" applyFill="1" applyBorder="1" applyAlignment="1">
      <alignment horizontal="center"/>
    </xf>
    <xf numFmtId="164" fontId="0" fillId="0" borderId="2" xfId="0" applyNumberFormat="1" applyBorder="1" applyAlignment="1">
      <alignment horizontal="center"/>
    </xf>
    <xf numFmtId="0" fontId="25" fillId="0" borderId="2" xfId="0" applyFont="1" applyBorder="1"/>
    <xf numFmtId="0" fontId="25" fillId="8" borderId="8" xfId="0" applyFont="1" applyFill="1" applyBorder="1" applyAlignment="1">
      <alignment horizontal="center" vertical="center"/>
    </xf>
    <xf numFmtId="3" fontId="25" fillId="8" borderId="2" xfId="0" applyNumberFormat="1" applyFont="1" applyFill="1" applyBorder="1" applyAlignment="1">
      <alignment horizontal="center"/>
    </xf>
    <xf numFmtId="0" fontId="27" fillId="0" borderId="0" xfId="0" applyFont="1" applyAlignment="1">
      <alignment horizontal="center" vertical="center" wrapText="1"/>
    </xf>
    <xf numFmtId="4" fontId="0" fillId="9" borderId="2" xfId="0" applyNumberFormat="1" applyFill="1" applyBorder="1" applyAlignment="1">
      <alignment horizontal="center" vertical="center"/>
    </xf>
    <xf numFmtId="164" fontId="15" fillId="9" borderId="2" xfId="4" applyNumberFormat="1" applyFont="1" applyFill="1" applyBorder="1" applyAlignment="1">
      <alignment horizontal="center" vertical="center"/>
    </xf>
    <xf numFmtId="0" fontId="25" fillId="9" borderId="2" xfId="0" applyFont="1" applyFill="1" applyBorder="1" applyAlignment="1">
      <alignment horizontal="center" vertical="center" wrapText="1"/>
    </xf>
    <xf numFmtId="0" fontId="0" fillId="0" borderId="2" xfId="0" applyBorder="1"/>
    <xf numFmtId="0" fontId="25" fillId="8" borderId="2" xfId="0" applyFont="1" applyFill="1" applyBorder="1"/>
    <xf numFmtId="0" fontId="25" fillId="8" borderId="2" xfId="0" applyFont="1" applyFill="1" applyBorder="1" applyAlignment="1">
      <alignment horizontal="left" vertical="center" wrapText="1"/>
    </xf>
    <xf numFmtId="0" fontId="25" fillId="8" borderId="2" xfId="0" applyFont="1" applyFill="1" applyBorder="1" applyAlignment="1">
      <alignment horizontal="left"/>
    </xf>
    <xf numFmtId="0" fontId="0" fillId="0" borderId="2" xfId="0" applyBorder="1" applyAlignment="1">
      <alignment horizontal="left"/>
    </xf>
    <xf numFmtId="0" fontId="0" fillId="0" borderId="0" xfId="0" applyAlignment="1">
      <alignment horizontal="center"/>
    </xf>
    <xf numFmtId="169" fontId="0" fillId="0" borderId="2" xfId="0" applyNumberFormat="1" applyBorder="1" applyAlignment="1">
      <alignment horizontal="center" vertical="center"/>
    </xf>
    <xf numFmtId="166" fontId="0" fillId="0" borderId="2" xfId="0" applyNumberFormat="1" applyBorder="1" applyAlignment="1">
      <alignment horizontal="center" vertical="center"/>
    </xf>
    <xf numFmtId="166" fontId="0" fillId="8" borderId="2" xfId="0" applyNumberFormat="1" applyFill="1" applyBorder="1" applyAlignment="1">
      <alignment horizontal="center" vertical="center"/>
    </xf>
    <xf numFmtId="169" fontId="0" fillId="8" borderId="2" xfId="0" applyNumberFormat="1" applyFill="1" applyBorder="1" applyAlignment="1">
      <alignment horizontal="center" vertical="center"/>
    </xf>
    <xf numFmtId="0" fontId="0" fillId="0" borderId="2" xfId="0" applyBorder="1" applyAlignment="1">
      <alignment horizontal="left" vertical="center"/>
    </xf>
    <xf numFmtId="0" fontId="26" fillId="8" borderId="2" xfId="0" applyFont="1" applyFill="1" applyBorder="1"/>
    <xf numFmtId="0" fontId="25" fillId="11" borderId="2" xfId="0" applyFont="1" applyFill="1" applyBorder="1" applyAlignment="1">
      <alignment horizontal="center" vertical="center"/>
    </xf>
    <xf numFmtId="0" fontId="25" fillId="11" borderId="2" xfId="0" applyFont="1" applyFill="1" applyBorder="1"/>
    <xf numFmtId="0" fontId="25" fillId="0" borderId="2" xfId="0" applyFont="1" applyBorder="1" applyAlignment="1">
      <alignment horizontal="left" vertical="center"/>
    </xf>
    <xf numFmtId="0" fontId="0" fillId="11" borderId="2" xfId="0" applyFill="1" applyBorder="1" applyAlignment="1">
      <alignment horizontal="center" vertical="center"/>
    </xf>
    <xf numFmtId="164" fontId="0" fillId="0" borderId="0" xfId="0" applyNumberFormat="1" applyAlignment="1">
      <alignment horizontal="center" vertical="center"/>
    </xf>
    <xf numFmtId="165" fontId="0" fillId="8" borderId="2" xfId="0" applyNumberFormat="1" applyFill="1" applyBorder="1" applyAlignment="1">
      <alignment horizontal="center" vertical="center"/>
    </xf>
    <xf numFmtId="0" fontId="26" fillId="11" borderId="2" xfId="0" applyFont="1" applyFill="1" applyBorder="1" applyAlignment="1">
      <alignment horizontal="center" vertical="center" wrapText="1"/>
    </xf>
    <xf numFmtId="0" fontId="26" fillId="11" borderId="2" xfId="0" applyFont="1" applyFill="1" applyBorder="1" applyAlignment="1">
      <alignment horizontal="center" vertical="center"/>
    </xf>
    <xf numFmtId="171" fontId="15" fillId="0" borderId="2" xfId="2" applyNumberFormat="1" applyFont="1" applyBorder="1" applyAlignment="1">
      <alignment horizontal="center" vertical="center"/>
    </xf>
    <xf numFmtId="0" fontId="25" fillId="11" borderId="2" xfId="0" applyFont="1" applyFill="1" applyBorder="1" applyAlignment="1">
      <alignment horizontal="left" vertical="center"/>
    </xf>
    <xf numFmtId="1" fontId="0" fillId="11" borderId="2" xfId="0" applyNumberFormat="1" applyFill="1" applyBorder="1" applyAlignment="1">
      <alignment horizontal="center" vertical="center"/>
    </xf>
    <xf numFmtId="2" fontId="0" fillId="11" borderId="2" xfId="0" applyNumberFormat="1" applyFill="1" applyBorder="1" applyAlignment="1">
      <alignment horizontal="center" vertical="center"/>
    </xf>
    <xf numFmtId="0" fontId="26" fillId="11" borderId="7" xfId="0" applyFont="1" applyFill="1" applyBorder="1" applyAlignment="1">
      <alignment horizontal="center" vertical="center"/>
    </xf>
    <xf numFmtId="167" fontId="0" fillId="11" borderId="2" xfId="0" applyNumberFormat="1" applyFill="1" applyBorder="1" applyAlignment="1">
      <alignment horizontal="center" vertical="center"/>
    </xf>
    <xf numFmtId="2" fontId="0" fillId="11" borderId="2" xfId="0" applyNumberFormat="1" applyFill="1" applyBorder="1" applyAlignment="1">
      <alignment horizontal="center" vertical="center" wrapText="1"/>
    </xf>
    <xf numFmtId="4" fontId="0" fillId="11" borderId="2" xfId="0" applyNumberFormat="1" applyFill="1" applyBorder="1" applyAlignment="1">
      <alignment horizontal="center" vertical="center"/>
    </xf>
    <xf numFmtId="0" fontId="27" fillId="12" borderId="2" xfId="5" applyFont="1" applyFill="1" applyBorder="1" applyAlignment="1">
      <alignment horizontal="center" vertical="center" wrapText="1"/>
    </xf>
    <xf numFmtId="164" fontId="27" fillId="12" borderId="2" xfId="4" applyNumberFormat="1" applyFont="1" applyFill="1" applyBorder="1" applyAlignment="1">
      <alignment horizontal="center" vertical="center" wrapText="1"/>
    </xf>
    <xf numFmtId="167" fontId="0" fillId="9" borderId="2" xfId="0" applyNumberFormat="1" applyFill="1" applyBorder="1" applyAlignment="1">
      <alignment horizontal="center" vertical="center"/>
    </xf>
    <xf numFmtId="165" fontId="15" fillId="9" borderId="2" xfId="2" applyNumberFormat="1" applyFont="1" applyFill="1" applyBorder="1" applyAlignment="1">
      <alignment horizontal="center" vertical="center" wrapText="1"/>
    </xf>
    <xf numFmtId="2" fontId="0" fillId="9" borderId="2" xfId="0" applyNumberFormat="1" applyFill="1" applyBorder="1" applyAlignment="1">
      <alignment horizontal="center" vertical="center" wrapText="1"/>
    </xf>
    <xf numFmtId="164" fontId="0" fillId="9" borderId="2" xfId="0" applyNumberFormat="1" applyFill="1" applyBorder="1" applyAlignment="1">
      <alignment horizontal="center" vertical="center" wrapText="1"/>
    </xf>
    <xf numFmtId="1" fontId="0" fillId="0" borderId="0" xfId="0" applyNumberFormat="1"/>
    <xf numFmtId="0" fontId="0" fillId="9" borderId="9" xfId="0" applyFill="1" applyBorder="1" applyAlignment="1">
      <alignment horizontal="center" vertical="center" wrapText="1"/>
    </xf>
    <xf numFmtId="0" fontId="26" fillId="9" borderId="10" xfId="0" applyFont="1" applyFill="1" applyBorder="1" applyAlignment="1">
      <alignment horizontal="center" vertical="center" wrapText="1"/>
    </xf>
    <xf numFmtId="0" fontId="26" fillId="9" borderId="11" xfId="0" applyFont="1" applyFill="1" applyBorder="1" applyAlignment="1">
      <alignment horizontal="center" vertical="center" wrapText="1"/>
    </xf>
    <xf numFmtId="0" fontId="25" fillId="0" borderId="2" xfId="0" applyFont="1" applyBorder="1" applyAlignment="1">
      <alignment horizontal="center"/>
    </xf>
    <xf numFmtId="9" fontId="25" fillId="0" borderId="2" xfId="0" applyNumberFormat="1" applyFont="1" applyBorder="1" applyAlignment="1">
      <alignment horizontal="center" vertical="center"/>
    </xf>
    <xf numFmtId="2" fontId="28" fillId="13" borderId="12" xfId="0" applyNumberFormat="1" applyFont="1" applyFill="1" applyBorder="1" applyAlignment="1">
      <alignment horizontal="center" vertical="center"/>
    </xf>
    <xf numFmtId="0" fontId="0" fillId="0" borderId="0" xfId="0" applyAlignment="1">
      <alignment vertical="top"/>
    </xf>
    <xf numFmtId="3" fontId="0" fillId="11" borderId="2" xfId="0" applyNumberFormat="1" applyFill="1" applyBorder="1" applyAlignment="1">
      <alignment horizontal="center" vertical="center"/>
    </xf>
    <xf numFmtId="1" fontId="0" fillId="8" borderId="2" xfId="0" applyNumberFormat="1" applyFill="1" applyBorder="1" applyAlignment="1">
      <alignment horizontal="center" vertical="center"/>
    </xf>
    <xf numFmtId="0" fontId="0" fillId="0" borderId="2" xfId="0"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0" fontId="0" fillId="14" borderId="2" xfId="0" applyFill="1" applyBorder="1" applyAlignment="1">
      <alignment horizontal="center" vertical="center"/>
    </xf>
    <xf numFmtId="44" fontId="15" fillId="0" borderId="2" xfId="4" applyFont="1" applyFill="1" applyBorder="1" applyAlignment="1">
      <alignment horizontal="center" vertical="center"/>
    </xf>
    <xf numFmtId="166" fontId="15" fillId="0" borderId="2" xfId="4" applyNumberFormat="1" applyFont="1" applyFill="1" applyBorder="1" applyAlignment="1">
      <alignment horizontal="center" vertical="center"/>
    </xf>
    <xf numFmtId="0" fontId="0" fillId="0" borderId="2" xfId="0" applyBorder="1" applyAlignment="1" applyProtection="1">
      <alignment horizontal="center" vertical="center" wrapText="1"/>
      <protection locked="0"/>
    </xf>
    <xf numFmtId="2" fontId="0" fillId="0" borderId="2" xfId="0" applyNumberFormat="1" applyBorder="1" applyAlignment="1" applyProtection="1">
      <alignment horizontal="center" vertical="center"/>
      <protection locked="0"/>
    </xf>
    <xf numFmtId="2" fontId="0" fillId="0" borderId="0" xfId="0" applyNumberFormat="1" applyAlignment="1">
      <alignment horizontal="center" vertical="center"/>
    </xf>
    <xf numFmtId="1" fontId="15" fillId="0" borderId="2" xfId="2" applyNumberFormat="1" applyFont="1" applyFill="1" applyBorder="1" applyAlignment="1" applyProtection="1">
      <alignment horizontal="center" vertical="center"/>
      <protection locked="0"/>
    </xf>
    <xf numFmtId="2" fontId="0" fillId="0" borderId="2" xfId="0" applyNumberFormat="1" applyBorder="1" applyAlignment="1" applyProtection="1">
      <alignment horizontal="center" vertical="center" wrapText="1"/>
      <protection locked="0"/>
    </xf>
    <xf numFmtId="166" fontId="0" fillId="0" borderId="2" xfId="0" applyNumberFormat="1" applyBorder="1" applyAlignment="1" applyProtection="1">
      <alignment horizontal="center" vertical="center"/>
      <protection locked="0"/>
    </xf>
    <xf numFmtId="0" fontId="0" fillId="0" borderId="0" xfId="0" applyAlignment="1">
      <alignment vertical="center"/>
    </xf>
    <xf numFmtId="0" fontId="0" fillId="15" borderId="0" xfId="0" applyFill="1"/>
    <xf numFmtId="0" fontId="26" fillId="9" borderId="13"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6" borderId="11" xfId="0" applyFont="1" applyFill="1" applyBorder="1" applyAlignment="1">
      <alignment horizontal="center" vertical="center" wrapText="1"/>
    </xf>
    <xf numFmtId="0" fontId="18" fillId="6" borderId="13" xfId="0" applyFont="1" applyFill="1" applyBorder="1" applyAlignment="1">
      <alignment horizontal="center" vertical="center" wrapText="1"/>
    </xf>
    <xf numFmtId="0" fontId="18" fillId="6" borderId="12" xfId="0" applyFont="1" applyFill="1" applyBorder="1" applyAlignment="1">
      <alignment horizontal="center" vertical="center" wrapText="1"/>
    </xf>
    <xf numFmtId="0" fontId="0" fillId="9" borderId="1" xfId="0" applyFill="1" applyBorder="1" applyAlignment="1">
      <alignment horizontal="center" vertical="center"/>
    </xf>
    <xf numFmtId="0" fontId="0" fillId="9" borderId="15" xfId="0" applyFill="1" applyBorder="1" applyAlignment="1">
      <alignment horizontal="center" vertical="center"/>
    </xf>
    <xf numFmtId="0" fontId="0" fillId="9" borderId="16" xfId="0" applyFill="1" applyBorder="1" applyAlignment="1">
      <alignment horizontal="center" vertical="center" wrapText="1"/>
    </xf>
    <xf numFmtId="0" fontId="0" fillId="13" borderId="17" xfId="0" applyFill="1" applyBorder="1"/>
    <xf numFmtId="0" fontId="0" fillId="13" borderId="18" xfId="0" applyFill="1" applyBorder="1"/>
    <xf numFmtId="0" fontId="29" fillId="13" borderId="19" xfId="0" applyFont="1" applyFill="1" applyBorder="1"/>
    <xf numFmtId="0" fontId="0" fillId="13" borderId="20" xfId="0" applyFill="1" applyBorder="1"/>
    <xf numFmtId="0" fontId="30" fillId="13" borderId="0" xfId="0" applyFont="1" applyFill="1" applyAlignment="1">
      <alignment horizontal="center" vertical="center" wrapText="1"/>
    </xf>
    <xf numFmtId="0" fontId="30" fillId="13" borderId="0" xfId="0" applyFont="1" applyFill="1" applyAlignment="1">
      <alignment horizontal="center" vertical="center"/>
    </xf>
    <xf numFmtId="0" fontId="0" fillId="13" borderId="0" xfId="0" applyFill="1"/>
    <xf numFmtId="0" fontId="29" fillId="13" borderId="21" xfId="0" applyFont="1" applyFill="1" applyBorder="1"/>
    <xf numFmtId="0" fontId="0" fillId="13" borderId="22" xfId="0" applyFill="1" applyBorder="1"/>
    <xf numFmtId="0" fontId="0" fillId="13" borderId="23" xfId="0" applyFill="1" applyBorder="1"/>
    <xf numFmtId="0" fontId="0" fillId="13" borderId="24" xfId="0" applyFill="1" applyBorder="1"/>
    <xf numFmtId="0" fontId="25" fillId="12" borderId="2" xfId="0" applyFont="1" applyFill="1" applyBorder="1"/>
    <xf numFmtId="0" fontId="25" fillId="12" borderId="2" xfId="0" applyFont="1" applyFill="1" applyBorder="1" applyAlignment="1">
      <alignment horizontal="center" vertical="center"/>
    </xf>
    <xf numFmtId="0" fontId="0" fillId="12" borderId="2" xfId="0" applyFill="1" applyBorder="1" applyAlignment="1">
      <alignment horizontal="center" vertical="center"/>
    </xf>
    <xf numFmtId="0" fontId="0" fillId="12" borderId="2" xfId="0" applyFill="1" applyBorder="1"/>
    <xf numFmtId="4" fontId="0" fillId="12" borderId="2" xfId="0" applyNumberFormat="1" applyFill="1" applyBorder="1" applyAlignment="1">
      <alignment horizontal="center" vertical="center"/>
    </xf>
    <xf numFmtId="1" fontId="0" fillId="12" borderId="2" xfId="0" applyNumberFormat="1" applyFill="1" applyBorder="1" applyAlignment="1">
      <alignment horizontal="center" vertical="center"/>
    </xf>
    <xf numFmtId="164" fontId="0" fillId="12" borderId="2" xfId="0" applyNumberFormat="1" applyFill="1" applyBorder="1" applyAlignment="1">
      <alignment horizontal="center" vertical="center"/>
    </xf>
    <xf numFmtId="0" fontId="0" fillId="12" borderId="0" xfId="0" applyFill="1"/>
    <xf numFmtId="0" fontId="0" fillId="12" borderId="2" xfId="0" applyFill="1" applyBorder="1" applyAlignment="1">
      <alignment horizontal="right"/>
    </xf>
    <xf numFmtId="4" fontId="0" fillId="12" borderId="2" xfId="0" applyNumberFormat="1" applyFill="1" applyBorder="1" applyAlignment="1">
      <alignment horizontal="center"/>
    </xf>
    <xf numFmtId="3" fontId="0" fillId="12" borderId="2" xfId="0" applyNumberFormat="1" applyFill="1" applyBorder="1" applyAlignment="1">
      <alignment horizontal="center"/>
    </xf>
    <xf numFmtId="164" fontId="0" fillId="12" borderId="2" xfId="0" applyNumberFormat="1" applyFill="1" applyBorder="1" applyAlignment="1">
      <alignment horizontal="center"/>
    </xf>
    <xf numFmtId="2" fontId="0" fillId="12" borderId="2" xfId="0" applyNumberFormat="1" applyFill="1" applyBorder="1" applyAlignment="1">
      <alignment horizontal="center" vertical="center"/>
    </xf>
    <xf numFmtId="3" fontId="0" fillId="12" borderId="2" xfId="0" applyNumberFormat="1" applyFill="1" applyBorder="1" applyAlignment="1">
      <alignment horizontal="center" vertical="center"/>
    </xf>
    <xf numFmtId="0" fontId="0" fillId="0" borderId="2" xfId="0" applyBorder="1" applyAlignment="1">
      <alignment horizontal="right"/>
    </xf>
    <xf numFmtId="4" fontId="0" fillId="0" borderId="2" xfId="0" applyNumberFormat="1" applyBorder="1" applyAlignment="1">
      <alignment horizontal="center" vertical="center"/>
    </xf>
    <xf numFmtId="3" fontId="0" fillId="0" borderId="2" xfId="0" applyNumberFormat="1" applyBorder="1" applyAlignment="1">
      <alignment horizontal="center" vertical="center"/>
    </xf>
    <xf numFmtId="1" fontId="0" fillId="0" borderId="2" xfId="0" applyNumberFormat="1" applyBorder="1" applyAlignment="1">
      <alignment horizontal="center" vertical="center"/>
    </xf>
    <xf numFmtId="0" fontId="0" fillId="0" borderId="0" xfId="0" applyAlignment="1">
      <alignment horizontal="right"/>
    </xf>
    <xf numFmtId="4" fontId="0" fillId="0" borderId="0" xfId="0" applyNumberFormat="1" applyAlignment="1">
      <alignment horizontal="center" vertical="center"/>
    </xf>
    <xf numFmtId="3" fontId="0" fillId="0" borderId="0" xfId="0" applyNumberFormat="1" applyAlignment="1">
      <alignment horizontal="center" vertical="center"/>
    </xf>
    <xf numFmtId="0" fontId="26" fillId="8" borderId="2" xfId="0" applyFont="1" applyFill="1" applyBorder="1" applyAlignment="1">
      <alignment horizontal="center" vertical="center" wrapText="1"/>
    </xf>
    <xf numFmtId="0" fontId="26" fillId="8" borderId="2" xfId="0" applyFont="1" applyFill="1" applyBorder="1" applyAlignment="1">
      <alignment horizontal="center" vertical="center"/>
    </xf>
    <xf numFmtId="0" fontId="31" fillId="11" borderId="2" xfId="0" applyFont="1" applyFill="1" applyBorder="1" applyAlignment="1">
      <alignment horizontal="center" vertical="center"/>
    </xf>
    <xf numFmtId="3" fontId="0" fillId="0" borderId="10" xfId="0" applyNumberFormat="1" applyBorder="1" applyAlignment="1">
      <alignment horizontal="center" vertical="center"/>
    </xf>
    <xf numFmtId="3" fontId="0" fillId="0" borderId="1" xfId="0" applyNumberFormat="1" applyBorder="1" applyAlignment="1">
      <alignment horizontal="center" vertical="center"/>
    </xf>
    <xf numFmtId="1" fontId="0" fillId="0" borderId="1" xfId="0" applyNumberFormat="1" applyBorder="1" applyAlignment="1">
      <alignment horizontal="center" vertical="center"/>
    </xf>
    <xf numFmtId="3" fontId="0" fillId="0" borderId="15" xfId="0" applyNumberFormat="1" applyBorder="1" applyAlignment="1">
      <alignment horizontal="center" vertical="center"/>
    </xf>
    <xf numFmtId="1" fontId="0" fillId="0" borderId="0" xfId="0" applyNumberFormat="1" applyAlignment="1">
      <alignment horizontal="center" vertical="center"/>
    </xf>
    <xf numFmtId="1" fontId="0" fillId="12" borderId="2" xfId="0" applyNumberFormat="1" applyFill="1" applyBorder="1" applyAlignment="1">
      <alignment horizontal="center"/>
    </xf>
    <xf numFmtId="2" fontId="0" fillId="0" borderId="11" xfId="0" applyNumberFormat="1" applyBorder="1" applyAlignment="1">
      <alignment horizontal="right" vertical="center"/>
    </xf>
    <xf numFmtId="2" fontId="0" fillId="0" borderId="2" xfId="0" applyNumberFormat="1" applyBorder="1" applyAlignment="1">
      <alignment horizontal="right" vertical="center"/>
    </xf>
    <xf numFmtId="2" fontId="0" fillId="0" borderId="25" xfId="0" applyNumberFormat="1" applyBorder="1" applyAlignment="1">
      <alignment horizontal="right" vertical="center"/>
    </xf>
    <xf numFmtId="43" fontId="26" fillId="12" borderId="26" xfId="2" applyFont="1" applyFill="1" applyBorder="1" applyAlignment="1" applyProtection="1">
      <alignment vertical="center"/>
    </xf>
    <xf numFmtId="43" fontId="26" fillId="12" borderId="27" xfId="2" applyFont="1" applyFill="1" applyBorder="1" applyAlignment="1" applyProtection="1">
      <alignment vertical="center"/>
    </xf>
    <xf numFmtId="164" fontId="26" fillId="12" borderId="28" xfId="0" applyNumberFormat="1" applyFont="1" applyFill="1" applyBorder="1" applyAlignment="1">
      <alignment vertical="center"/>
    </xf>
    <xf numFmtId="164" fontId="0" fillId="0" borderId="12" xfId="0" applyNumberFormat="1" applyBorder="1" applyAlignment="1">
      <alignment horizontal="right" vertical="center"/>
    </xf>
    <xf numFmtId="164" fontId="0" fillId="0" borderId="5" xfId="0" applyNumberFormat="1" applyBorder="1" applyAlignment="1">
      <alignment horizontal="right" vertical="center"/>
    </xf>
    <xf numFmtId="164" fontId="0" fillId="0" borderId="29" xfId="0" applyNumberFormat="1" applyBorder="1" applyAlignment="1">
      <alignment horizontal="right" vertical="center"/>
    </xf>
    <xf numFmtId="0" fontId="0" fillId="6" borderId="17" xfId="0" applyFill="1" applyBorder="1"/>
    <xf numFmtId="0" fontId="0" fillId="6" borderId="18" xfId="0" applyFill="1" applyBorder="1"/>
    <xf numFmtId="0" fontId="0" fillId="6" borderId="24" xfId="0" applyFill="1" applyBorder="1"/>
    <xf numFmtId="0" fontId="0" fillId="6" borderId="19" xfId="0" applyFill="1" applyBorder="1"/>
    <xf numFmtId="0" fontId="0" fillId="6" borderId="20" xfId="0" applyFill="1" applyBorder="1"/>
    <xf numFmtId="0" fontId="0" fillId="6" borderId="0" xfId="0" applyFill="1"/>
    <xf numFmtId="0" fontId="0" fillId="6" borderId="21" xfId="0" applyFill="1" applyBorder="1"/>
    <xf numFmtId="0" fontId="0" fillId="6" borderId="22" xfId="0" applyFill="1" applyBorder="1"/>
    <xf numFmtId="0" fontId="0" fillId="6" borderId="23" xfId="0" applyFill="1" applyBorder="1"/>
    <xf numFmtId="0" fontId="18" fillId="6" borderId="30" xfId="0" applyFont="1" applyFill="1" applyBorder="1" applyAlignment="1">
      <alignment horizontal="center" vertical="center" wrapText="1"/>
    </xf>
    <xf numFmtId="0" fontId="0" fillId="11" borderId="15" xfId="0" applyFill="1" applyBorder="1" applyAlignment="1">
      <alignment horizontal="center" vertical="center" wrapText="1"/>
    </xf>
    <xf numFmtId="0" fontId="0" fillId="11" borderId="1" xfId="0" applyFill="1" applyBorder="1" applyAlignment="1">
      <alignment horizontal="center" vertical="center" wrapText="1"/>
    </xf>
    <xf numFmtId="0" fontId="25" fillId="8" borderId="31" xfId="0" applyFont="1" applyFill="1" applyBorder="1" applyAlignment="1">
      <alignment horizontal="center" wrapText="1"/>
    </xf>
    <xf numFmtId="0" fontId="25" fillId="8" borderId="32" xfId="0" applyFont="1" applyFill="1" applyBorder="1" applyAlignment="1">
      <alignment horizontal="center" wrapText="1"/>
    </xf>
    <xf numFmtId="3" fontId="25" fillId="8" borderId="32" xfId="0" applyNumberFormat="1" applyFont="1" applyFill="1" applyBorder="1" applyAlignment="1">
      <alignment horizontal="center" wrapText="1"/>
    </xf>
    <xf numFmtId="3" fontId="25" fillId="8" borderId="33" xfId="0" applyNumberFormat="1" applyFont="1" applyFill="1" applyBorder="1" applyAlignment="1">
      <alignment horizontal="center" wrapText="1"/>
    </xf>
    <xf numFmtId="0" fontId="25" fillId="0" borderId="2" xfId="0" applyFont="1" applyBorder="1" applyAlignment="1">
      <alignment horizontal="left"/>
    </xf>
    <xf numFmtId="0" fontId="0" fillId="12" borderId="2" xfId="0" applyFill="1" applyBorder="1" applyAlignment="1">
      <alignment horizontal="left"/>
    </xf>
    <xf numFmtId="0" fontId="0" fillId="16" borderId="0" xfId="0" applyFill="1"/>
    <xf numFmtId="2" fontId="0" fillId="14" borderId="2" xfId="0" applyNumberFormat="1" applyFill="1" applyBorder="1" applyAlignment="1">
      <alignment horizontal="center" vertical="center"/>
    </xf>
    <xf numFmtId="169" fontId="0" fillId="14" borderId="2" xfId="0" applyNumberFormat="1" applyFill="1" applyBorder="1" applyAlignment="1">
      <alignment horizontal="center" vertical="center"/>
    </xf>
    <xf numFmtId="166" fontId="0" fillId="14" borderId="2" xfId="0" applyNumberFormat="1" applyFill="1" applyBorder="1" applyAlignment="1">
      <alignment horizontal="center" vertical="center"/>
    </xf>
    <xf numFmtId="1" fontId="0" fillId="14" borderId="2" xfId="0" applyNumberFormat="1" applyFill="1" applyBorder="1" applyAlignment="1">
      <alignment horizontal="center" vertical="center"/>
    </xf>
    <xf numFmtId="164" fontId="15" fillId="9" borderId="2" xfId="4" applyNumberFormat="1" applyFont="1" applyFill="1" applyBorder="1" applyAlignment="1" applyProtection="1">
      <alignment horizontal="center" vertical="center"/>
    </xf>
    <xf numFmtId="0" fontId="25" fillId="14" borderId="2" xfId="0" applyFont="1" applyFill="1" applyBorder="1" applyAlignment="1">
      <alignment horizontal="left"/>
    </xf>
    <xf numFmtId="0" fontId="25" fillId="14" borderId="34" xfId="0" applyFont="1" applyFill="1" applyBorder="1" applyAlignment="1">
      <alignment vertical="center"/>
    </xf>
    <xf numFmtId="0" fontId="25" fillId="14" borderId="35" xfId="0" applyFont="1" applyFill="1" applyBorder="1" applyAlignment="1">
      <alignment vertical="center"/>
    </xf>
    <xf numFmtId="0" fontId="25" fillId="14" borderId="36" xfId="0" applyFont="1" applyFill="1" applyBorder="1" applyAlignment="1">
      <alignment vertical="center"/>
    </xf>
    <xf numFmtId="0" fontId="25" fillId="14" borderId="37" xfId="0" applyFont="1" applyFill="1" applyBorder="1" applyAlignment="1">
      <alignment vertical="center"/>
    </xf>
    <xf numFmtId="0" fontId="25" fillId="14" borderId="2" xfId="0" applyFont="1" applyFill="1" applyBorder="1" applyAlignment="1">
      <alignment horizontal="center" vertical="center"/>
    </xf>
    <xf numFmtId="164" fontId="0" fillId="0" borderId="2" xfId="0" applyNumberFormat="1" applyBorder="1" applyAlignment="1">
      <alignment horizontal="left"/>
    </xf>
    <xf numFmtId="0" fontId="26" fillId="9" borderId="26" xfId="6" applyFont="1" applyFill="1" applyBorder="1" applyAlignment="1" applyProtection="1">
      <alignment horizontal="left" vertical="center"/>
      <protection locked="0"/>
    </xf>
    <xf numFmtId="0" fontId="26" fillId="9" borderId="27" xfId="6" applyFont="1" applyFill="1" applyBorder="1" applyAlignment="1" applyProtection="1">
      <alignment horizontal="left" vertical="center"/>
      <protection locked="0"/>
    </xf>
    <xf numFmtId="0" fontId="26" fillId="9" borderId="28" xfId="6" applyFont="1" applyFill="1" applyBorder="1" applyAlignment="1" applyProtection="1">
      <alignment horizontal="left" vertical="center"/>
      <protection locked="0"/>
    </xf>
    <xf numFmtId="0" fontId="0" fillId="12" borderId="0" xfId="0" applyFill="1" applyAlignment="1">
      <alignment horizontal="center" vertical="center"/>
    </xf>
    <xf numFmtId="172" fontId="0" fillId="0" borderId="0" xfId="0" applyNumberFormat="1" applyAlignment="1">
      <alignment horizontal="center" vertical="center"/>
    </xf>
    <xf numFmtId="0" fontId="26" fillId="9" borderId="38" xfId="0" applyFont="1" applyFill="1" applyBorder="1" applyAlignment="1">
      <alignment horizontal="left" vertical="center"/>
    </xf>
    <xf numFmtId="0" fontId="26" fillId="9" borderId="6" xfId="0" applyFont="1" applyFill="1" applyBorder="1" applyAlignment="1">
      <alignment horizontal="left" vertical="center"/>
    </xf>
    <xf numFmtId="0" fontId="26" fillId="9" borderId="39" xfId="0" applyFont="1" applyFill="1" applyBorder="1" applyAlignment="1">
      <alignment horizontal="left" vertical="center"/>
    </xf>
    <xf numFmtId="0" fontId="26" fillId="9" borderId="40" xfId="0" applyFont="1" applyFill="1" applyBorder="1" applyAlignment="1">
      <alignment horizontal="left" vertical="center"/>
    </xf>
    <xf numFmtId="0" fontId="0" fillId="0" borderId="37" xfId="0" applyBorder="1" applyAlignment="1">
      <alignment horizontal="center" vertical="center"/>
    </xf>
    <xf numFmtId="2" fontId="0" fillId="0" borderId="37" xfId="0" applyNumberFormat="1" applyBorder="1" applyAlignment="1">
      <alignment horizontal="center" vertical="center"/>
    </xf>
    <xf numFmtId="172" fontId="0" fillId="0" borderId="37" xfId="0" applyNumberFormat="1" applyBorder="1" applyAlignment="1">
      <alignment horizontal="center" vertical="center"/>
    </xf>
    <xf numFmtId="17" fontId="0" fillId="0" borderId="0" xfId="0" applyNumberFormat="1"/>
    <xf numFmtId="44" fontId="15" fillId="0" borderId="0" xfId="4" applyFont="1" applyFill="1" applyBorder="1" applyAlignment="1">
      <alignment horizontal="center" vertical="center" wrapText="1"/>
    </xf>
    <xf numFmtId="169" fontId="23" fillId="4" borderId="2" xfId="8" applyNumberFormat="1" applyBorder="1" applyAlignment="1">
      <alignment horizontal="center" vertical="center"/>
    </xf>
    <xf numFmtId="166" fontId="23" fillId="4" borderId="2" xfId="8" applyNumberFormat="1" applyBorder="1" applyAlignment="1">
      <alignment horizontal="center" vertical="center"/>
    </xf>
    <xf numFmtId="170" fontId="23" fillId="4" borderId="2" xfId="8" applyNumberFormat="1" applyBorder="1" applyAlignment="1">
      <alignment horizontal="center"/>
    </xf>
    <xf numFmtId="0" fontId="23" fillId="4" borderId="2" xfId="8" applyBorder="1" applyAlignment="1">
      <alignment horizontal="left"/>
    </xf>
    <xf numFmtId="2" fontId="23" fillId="4" borderId="2" xfId="8" applyNumberFormat="1" applyBorder="1" applyAlignment="1">
      <alignment horizontal="center" vertical="center"/>
    </xf>
    <xf numFmtId="0" fontId="23" fillId="4" borderId="2" xfId="8" applyBorder="1" applyAlignment="1">
      <alignment horizontal="center"/>
    </xf>
    <xf numFmtId="165" fontId="23" fillId="4" borderId="2" xfId="8" applyNumberFormat="1" applyBorder="1" applyAlignment="1">
      <alignment horizontal="center" vertical="center"/>
    </xf>
    <xf numFmtId="0" fontId="23" fillId="4" borderId="2" xfId="8" applyBorder="1" applyAlignment="1">
      <alignment horizontal="center" vertical="center"/>
    </xf>
    <xf numFmtId="0" fontId="23" fillId="4" borderId="0" xfId="8"/>
    <xf numFmtId="0" fontId="23" fillId="4" borderId="0" xfId="8" applyProtection="1"/>
    <xf numFmtId="0" fontId="23" fillId="4" borderId="0" xfId="8" applyAlignment="1">
      <alignment horizontal="left" vertical="center"/>
    </xf>
    <xf numFmtId="0" fontId="23" fillId="4" borderId="0" xfId="8" applyAlignment="1">
      <alignment horizontal="center" vertical="center"/>
    </xf>
    <xf numFmtId="0" fontId="17" fillId="2" borderId="2" xfId="1" applyBorder="1" applyAlignment="1">
      <alignment horizontal="left" vertical="center"/>
    </xf>
    <xf numFmtId="0" fontId="17" fillId="2" borderId="2" xfId="1" applyBorder="1" applyAlignment="1">
      <alignment horizontal="center" vertical="center"/>
    </xf>
    <xf numFmtId="174" fontId="23" fillId="4" borderId="2" xfId="8" applyNumberFormat="1" applyBorder="1" applyAlignment="1">
      <alignment horizontal="center" vertical="center"/>
    </xf>
    <xf numFmtId="171" fontId="23" fillId="4" borderId="2" xfId="8" applyNumberFormat="1" applyBorder="1" applyAlignment="1">
      <alignment horizontal="center" vertical="center"/>
    </xf>
    <xf numFmtId="173" fontId="23" fillId="4" borderId="2" xfId="8" applyNumberFormat="1" applyBorder="1" applyAlignment="1">
      <alignment horizontal="center" vertical="center"/>
    </xf>
    <xf numFmtId="0" fontId="20" fillId="3" borderId="2" xfId="5" applyBorder="1" applyAlignment="1">
      <alignment horizontal="left" vertical="center"/>
    </xf>
    <xf numFmtId="0" fontId="20" fillId="3" borderId="2" xfId="5" applyBorder="1" applyAlignment="1">
      <alignment horizontal="center" vertical="center"/>
    </xf>
    <xf numFmtId="4" fontId="23" fillId="4" borderId="2" xfId="8" applyNumberFormat="1" applyBorder="1" applyAlignment="1">
      <alignment horizontal="center" vertical="center"/>
    </xf>
    <xf numFmtId="0" fontId="17" fillId="2" borderId="0" xfId="1"/>
    <xf numFmtId="0" fontId="23" fillId="4" borderId="0" xfId="8" applyAlignment="1">
      <alignment vertical="center"/>
    </xf>
    <xf numFmtId="0" fontId="17" fillId="2" borderId="0" xfId="1" applyAlignment="1">
      <alignment wrapText="1"/>
    </xf>
    <xf numFmtId="167" fontId="23" fillId="4" borderId="2" xfId="8" applyNumberFormat="1" applyBorder="1" applyAlignment="1">
      <alignment horizontal="center" vertical="center"/>
    </xf>
    <xf numFmtId="167" fontId="17" fillId="2" borderId="2" xfId="1" applyNumberFormat="1" applyBorder="1" applyAlignment="1">
      <alignment horizontal="center" vertical="center"/>
    </xf>
    <xf numFmtId="0" fontId="15" fillId="0" borderId="1" xfId="10" applyFont="1" applyBorder="1"/>
    <xf numFmtId="0" fontId="15" fillId="0" borderId="15" xfId="10" applyFont="1" applyBorder="1"/>
    <xf numFmtId="0" fontId="32" fillId="10" borderId="17" xfId="10" applyFont="1" applyFill="1" applyBorder="1" applyAlignment="1">
      <alignment wrapText="1"/>
    </xf>
    <xf numFmtId="3" fontId="15" fillId="0" borderId="2" xfId="10" applyNumberFormat="1" applyFont="1" applyBorder="1"/>
    <xf numFmtId="0" fontId="32" fillId="10" borderId="2" xfId="10" applyFont="1" applyFill="1" applyBorder="1" applyAlignment="1">
      <alignment horizontal="center" wrapText="1"/>
    </xf>
    <xf numFmtId="3" fontId="15" fillId="0" borderId="25" xfId="10" applyNumberFormat="1" applyFont="1" applyBorder="1"/>
    <xf numFmtId="0" fontId="23" fillId="4" borderId="41" xfId="8" applyBorder="1" applyAlignment="1">
      <alignment horizontal="center"/>
    </xf>
    <xf numFmtId="0" fontId="23" fillId="4" borderId="8" xfId="8" applyBorder="1" applyAlignment="1">
      <alignment horizontal="center"/>
    </xf>
    <xf numFmtId="0" fontId="23" fillId="4" borderId="5" xfId="8" applyBorder="1" applyAlignment="1">
      <alignment horizontal="center"/>
    </xf>
    <xf numFmtId="0" fontId="23" fillId="4" borderId="1" xfId="8" applyBorder="1" applyAlignment="1">
      <alignment horizontal="left" vertical="center"/>
    </xf>
    <xf numFmtId="0" fontId="23" fillId="4" borderId="5" xfId="8" applyBorder="1"/>
    <xf numFmtId="0" fontId="23" fillId="4" borderId="1" xfId="8" applyBorder="1"/>
    <xf numFmtId="2" fontId="23" fillId="4" borderId="5" xfId="8" applyNumberFormat="1" applyBorder="1" applyAlignment="1">
      <alignment horizontal="center" vertical="center"/>
    </xf>
    <xf numFmtId="0" fontId="23" fillId="4" borderId="15" xfId="8" applyBorder="1"/>
    <xf numFmtId="0" fontId="23" fillId="4" borderId="25" xfId="8" applyBorder="1" applyAlignment="1">
      <alignment horizontal="center" vertical="center"/>
    </xf>
    <xf numFmtId="2" fontId="23" fillId="4" borderId="25" xfId="8" applyNumberFormat="1" applyBorder="1" applyAlignment="1">
      <alignment horizontal="center" vertical="center"/>
    </xf>
    <xf numFmtId="2" fontId="23" fillId="4" borderId="29" xfId="8" applyNumberFormat="1" applyBorder="1" applyAlignment="1">
      <alignment horizontal="center" vertical="center"/>
    </xf>
    <xf numFmtId="0" fontId="23" fillId="4" borderId="1" xfId="8" applyBorder="1" applyAlignment="1">
      <alignment horizontal="center"/>
    </xf>
    <xf numFmtId="1" fontId="23" fillId="4" borderId="2" xfId="8" applyNumberFormat="1" applyBorder="1" applyAlignment="1" applyProtection="1">
      <alignment horizontal="center" vertical="center"/>
      <protection locked="0"/>
    </xf>
    <xf numFmtId="0" fontId="32" fillId="10" borderId="2" xfId="0" applyFont="1" applyFill="1" applyBorder="1"/>
    <xf numFmtId="0" fontId="32" fillId="10" borderId="2" xfId="0" applyFont="1" applyFill="1" applyBorder="1" applyAlignment="1">
      <alignment horizontal="center"/>
    </xf>
    <xf numFmtId="0" fontId="0" fillId="0" borderId="42" xfId="0" applyBorder="1"/>
    <xf numFmtId="0" fontId="0" fillId="10" borderId="43" xfId="0" applyFill="1" applyBorder="1" applyAlignment="1">
      <alignment horizontal="center" vertical="center"/>
    </xf>
    <xf numFmtId="0" fontId="0" fillId="0" borderId="32" xfId="0" applyBorder="1"/>
    <xf numFmtId="0" fontId="31" fillId="11" borderId="0" xfId="0" applyFont="1" applyFill="1" applyAlignment="1">
      <alignment horizontal="center" vertical="center"/>
    </xf>
    <xf numFmtId="0" fontId="23" fillId="4" borderId="2" xfId="8" applyBorder="1"/>
    <xf numFmtId="164" fontId="23" fillId="4" borderId="2" xfId="8" applyNumberFormat="1" applyBorder="1" applyAlignment="1">
      <alignment horizontal="center" vertical="center"/>
    </xf>
    <xf numFmtId="0" fontId="23" fillId="4" borderId="0" xfId="8" applyBorder="1"/>
    <xf numFmtId="2" fontId="23" fillId="4" borderId="2" xfId="8" applyNumberFormat="1" applyBorder="1" applyAlignment="1">
      <alignment horizontal="center" vertical="center" wrapText="1"/>
    </xf>
    <xf numFmtId="164" fontId="23" fillId="4" borderId="2" xfId="8" applyNumberFormat="1" applyBorder="1" applyAlignment="1">
      <alignment horizontal="center" vertical="center" wrapText="1"/>
    </xf>
    <xf numFmtId="0" fontId="27" fillId="12" borderId="0" xfId="0" applyFont="1" applyFill="1" applyAlignment="1">
      <alignment horizontal="center" vertical="center" wrapText="1"/>
    </xf>
    <xf numFmtId="1" fontId="15" fillId="0" borderId="2" xfId="2" applyNumberFormat="1" applyBorder="1" applyAlignment="1">
      <alignment horizontal="center" vertical="center"/>
    </xf>
    <xf numFmtId="0" fontId="27" fillId="0" borderId="2" xfId="0" applyFont="1" applyBorder="1" applyAlignment="1">
      <alignment horizontal="center" vertical="center" wrapText="1"/>
    </xf>
    <xf numFmtId="168" fontId="15" fillId="0" borderId="0" xfId="12" applyNumberFormat="1" applyAlignment="1">
      <alignment vertical="center" wrapText="1"/>
    </xf>
    <xf numFmtId="168" fontId="15" fillId="0" borderId="0" xfId="12" applyNumberFormat="1" applyAlignment="1">
      <alignment horizontal="center"/>
    </xf>
    <xf numFmtId="3" fontId="0" fillId="0" borderId="0" xfId="0" applyNumberFormat="1" applyAlignment="1">
      <alignment horizontal="center"/>
    </xf>
    <xf numFmtId="9" fontId="25" fillId="0" borderId="0" xfId="0" applyNumberFormat="1" applyFont="1" applyAlignment="1">
      <alignment horizontal="center" wrapText="1"/>
    </xf>
    <xf numFmtId="0" fontId="25" fillId="0" borderId="0" xfId="0" applyFont="1" applyAlignment="1">
      <alignment horizontal="center"/>
    </xf>
    <xf numFmtId="0" fontId="0" fillId="0" borderId="2" xfId="0" applyBorder="1" applyAlignment="1">
      <alignment vertical="center"/>
    </xf>
    <xf numFmtId="0" fontId="33" fillId="0" borderId="2" xfId="0" applyFont="1" applyBorder="1" applyAlignment="1">
      <alignment vertical="center"/>
    </xf>
    <xf numFmtId="164" fontId="15" fillId="9" borderId="5" xfId="4" applyNumberFormat="1" applyFill="1" applyBorder="1" applyAlignment="1">
      <alignment horizontal="center" vertical="center"/>
    </xf>
    <xf numFmtId="175" fontId="0" fillId="9" borderId="1" xfId="0" applyNumberFormat="1" applyFill="1" applyBorder="1" applyAlignment="1">
      <alignment horizontal="center" vertical="center"/>
    </xf>
    <xf numFmtId="0" fontId="0" fillId="11" borderId="28" xfId="0" applyFill="1" applyBorder="1" applyAlignment="1">
      <alignment horizontal="center" vertical="center" wrapText="1"/>
    </xf>
    <xf numFmtId="0" fontId="0" fillId="11" borderId="40" xfId="0" applyFill="1" applyBorder="1" applyAlignment="1">
      <alignment horizontal="center" vertical="center" wrapText="1"/>
    </xf>
    <xf numFmtId="0" fontId="0" fillId="11" borderId="44" xfId="0" applyFill="1" applyBorder="1" applyAlignment="1">
      <alignment horizontal="center" vertical="center" wrapText="1"/>
    </xf>
    <xf numFmtId="0" fontId="0" fillId="11" borderId="27" xfId="0" applyFill="1" applyBorder="1" applyAlignment="1">
      <alignment horizontal="center" vertical="center" wrapText="1"/>
    </xf>
    <xf numFmtId="0" fontId="0" fillId="11" borderId="45" xfId="0" applyFill="1" applyBorder="1" applyAlignment="1">
      <alignment horizontal="center" vertical="center" wrapText="1"/>
    </xf>
    <xf numFmtId="0" fontId="0" fillId="11" borderId="46" xfId="0" applyFill="1" applyBorder="1" applyAlignment="1">
      <alignment horizontal="center" vertical="center" wrapText="1"/>
    </xf>
    <xf numFmtId="0" fontId="0" fillId="0" borderId="25" xfId="0" applyBorder="1" applyAlignment="1" applyProtection="1">
      <alignment horizontal="center" vertical="center"/>
      <protection locked="0"/>
    </xf>
    <xf numFmtId="166" fontId="0" fillId="0" borderId="25" xfId="0" applyNumberFormat="1" applyBorder="1" applyAlignment="1" applyProtection="1">
      <alignment horizontal="center" vertical="center"/>
      <protection locked="0"/>
    </xf>
    <xf numFmtId="0" fontId="0" fillId="0" borderId="46" xfId="0" applyBorder="1" applyAlignment="1" applyProtection="1">
      <alignment horizontal="center" vertical="center" wrapText="1"/>
      <protection locked="0"/>
    </xf>
    <xf numFmtId="166" fontId="0" fillId="0" borderId="46" xfId="0" applyNumberFormat="1" applyBorder="1" applyAlignment="1" applyProtection="1">
      <alignment horizontal="center" vertical="center"/>
      <protection locked="0"/>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6" fontId="0" fillId="0" borderId="7" xfId="0" applyNumberFormat="1" applyBorder="1" applyAlignment="1" applyProtection="1">
      <alignment horizontal="center" vertical="center"/>
      <protection locked="0"/>
    </xf>
    <xf numFmtId="0" fontId="18" fillId="17" borderId="26" xfId="0" applyFont="1" applyFill="1" applyBorder="1" applyAlignment="1">
      <alignment horizontal="center" vertical="center" wrapText="1"/>
    </xf>
    <xf numFmtId="0" fontId="18" fillId="17" borderId="38" xfId="0" applyFont="1" applyFill="1" applyBorder="1" applyAlignment="1">
      <alignment horizontal="center" vertical="center" wrapText="1"/>
    </xf>
    <xf numFmtId="0" fontId="18" fillId="17" borderId="47" xfId="0" applyFont="1" applyFill="1" applyBorder="1" applyAlignment="1">
      <alignment horizontal="center" vertical="center" wrapText="1"/>
    </xf>
    <xf numFmtId="0" fontId="18" fillId="17" borderId="13" xfId="0" applyFont="1" applyFill="1" applyBorder="1" applyAlignment="1">
      <alignment horizontal="center" vertical="center" wrapText="1"/>
    </xf>
    <xf numFmtId="0" fontId="18" fillId="17" borderId="10" xfId="0" applyFont="1" applyFill="1" applyBorder="1" applyAlignment="1">
      <alignment horizontal="center" vertical="center" wrapText="1"/>
    </xf>
    <xf numFmtId="0" fontId="0" fillId="17" borderId="0" xfId="0" applyFill="1"/>
    <xf numFmtId="0" fontId="0" fillId="17" borderId="48" xfId="0" applyFill="1" applyBorder="1"/>
    <xf numFmtId="0" fontId="0" fillId="17" borderId="49" xfId="0" applyFill="1" applyBorder="1"/>
    <xf numFmtId="0" fontId="0" fillId="17" borderId="50" xfId="0" applyFill="1" applyBorder="1"/>
    <xf numFmtId="0" fontId="0" fillId="17" borderId="51" xfId="0" applyFill="1" applyBorder="1"/>
    <xf numFmtId="0" fontId="0" fillId="17" borderId="49" xfId="0" applyFill="1" applyBorder="1" applyAlignment="1">
      <alignment horizontal="center"/>
    </xf>
    <xf numFmtId="0" fontId="32" fillId="9" borderId="49" xfId="0" applyFont="1" applyFill="1" applyBorder="1" applyAlignment="1">
      <alignment vertical="center"/>
    </xf>
    <xf numFmtId="0" fontId="32" fillId="9" borderId="50" xfId="0" applyFont="1" applyFill="1" applyBorder="1" applyAlignment="1">
      <alignment vertical="center"/>
    </xf>
    <xf numFmtId="0" fontId="26" fillId="9" borderId="52" xfId="6" applyFont="1" applyFill="1" applyBorder="1" applyAlignment="1" applyProtection="1">
      <alignment vertical="center"/>
      <protection locked="0"/>
    </xf>
    <xf numFmtId="0" fontId="26" fillId="9" borderId="9" xfId="6" applyFont="1" applyFill="1" applyBorder="1" applyAlignment="1" applyProtection="1">
      <alignment vertical="center"/>
      <protection locked="0"/>
    </xf>
    <xf numFmtId="0" fontId="34" fillId="6" borderId="53" xfId="0" applyFont="1" applyFill="1" applyBorder="1" applyAlignment="1">
      <alignment vertical="center"/>
    </xf>
    <xf numFmtId="0" fontId="34" fillId="6" borderId="35" xfId="0" applyFont="1" applyFill="1" applyBorder="1" applyAlignment="1">
      <alignment vertical="center"/>
    </xf>
    <xf numFmtId="0" fontId="34" fillId="6" borderId="34" xfId="0" applyFont="1" applyFill="1" applyBorder="1" applyAlignment="1">
      <alignment vertical="center"/>
    </xf>
    <xf numFmtId="175" fontId="0" fillId="0" borderId="0" xfId="0" applyNumberFormat="1"/>
    <xf numFmtId="0" fontId="0" fillId="0" borderId="0" xfId="0" applyAlignment="1">
      <alignment horizontal="center" wrapText="1"/>
    </xf>
    <xf numFmtId="0" fontId="0" fillId="0" borderId="0" xfId="0" applyAlignment="1">
      <alignment horizontal="left" vertical="top"/>
    </xf>
    <xf numFmtId="0" fontId="0" fillId="10" borderId="9" xfId="0" applyFill="1" applyBorder="1" applyAlignment="1">
      <alignment horizontal="center" vertical="center"/>
    </xf>
    <xf numFmtId="0" fontId="23" fillId="4" borderId="2" xfId="8" applyBorder="1" applyAlignment="1">
      <alignment horizontal="center" vertical="center" wrapText="1"/>
    </xf>
    <xf numFmtId="1" fontId="23" fillId="4" borderId="2" xfId="8" applyNumberFormat="1" applyBorder="1" applyAlignment="1">
      <alignment horizontal="center"/>
    </xf>
    <xf numFmtId="0" fontId="23" fillId="4" borderId="2" xfId="8" applyBorder="1" applyAlignment="1" applyProtection="1">
      <alignment horizontal="left"/>
    </xf>
    <xf numFmtId="164" fontId="0" fillId="0" borderId="0" xfId="0" applyNumberFormat="1" applyAlignment="1">
      <alignment horizontal="left"/>
    </xf>
    <xf numFmtId="2" fontId="23" fillId="4" borderId="0" xfId="8" applyNumberFormat="1" applyBorder="1" applyAlignment="1">
      <alignment horizontal="center" vertical="center"/>
    </xf>
    <xf numFmtId="0" fontId="26" fillId="11" borderId="0" xfId="0" applyFont="1" applyFill="1" applyAlignment="1">
      <alignment horizontal="center" vertical="center"/>
    </xf>
    <xf numFmtId="173" fontId="23" fillId="4" borderId="32" xfId="8" applyNumberFormat="1" applyBorder="1" applyAlignment="1">
      <alignment horizontal="center" vertical="center"/>
    </xf>
    <xf numFmtId="174" fontId="23" fillId="4" borderId="32" xfId="8" applyNumberFormat="1" applyBorder="1" applyAlignment="1">
      <alignment horizontal="center" vertical="center"/>
    </xf>
    <xf numFmtId="171" fontId="15" fillId="0" borderId="32" xfId="2" applyNumberFormat="1" applyFont="1" applyFill="1" applyBorder="1" applyAlignment="1">
      <alignment horizontal="center" vertical="center"/>
    </xf>
    <xf numFmtId="171" fontId="15" fillId="0" borderId="43" xfId="2" applyNumberFormat="1" applyFont="1" applyFill="1" applyBorder="1" applyAlignment="1">
      <alignment horizontal="center" vertical="center"/>
    </xf>
    <xf numFmtId="171" fontId="23" fillId="4" borderId="32" xfId="8" applyNumberFormat="1" applyBorder="1" applyAlignment="1">
      <alignment horizontal="center" vertical="center"/>
    </xf>
    <xf numFmtId="176" fontId="0" fillId="11" borderId="2" xfId="0" applyNumberFormat="1" applyFill="1" applyBorder="1" applyAlignment="1">
      <alignment horizontal="center" vertical="center"/>
    </xf>
    <xf numFmtId="43" fontId="23" fillId="4" borderId="2" xfId="8" applyNumberFormat="1" applyBorder="1" applyAlignment="1">
      <alignment horizontal="center" vertical="center"/>
    </xf>
    <xf numFmtId="0" fontId="34" fillId="6" borderId="0" xfId="0" applyFont="1" applyFill="1" applyAlignment="1">
      <alignment horizontal="left" vertical="center"/>
    </xf>
    <xf numFmtId="0" fontId="25" fillId="8" borderId="35" xfId="0" applyFont="1" applyFill="1" applyBorder="1" applyAlignment="1">
      <alignment horizontal="center" vertical="center" wrapText="1"/>
    </xf>
    <xf numFmtId="0" fontId="25" fillId="8" borderId="37" xfId="0" applyFont="1" applyFill="1" applyBorder="1" applyAlignment="1">
      <alignment horizontal="center" vertical="center" wrapText="1"/>
    </xf>
    <xf numFmtId="177" fontId="0" fillId="9" borderId="2" xfId="0" applyNumberFormat="1" applyFill="1" applyBorder="1" applyAlignment="1">
      <alignment horizontal="center" vertical="center"/>
    </xf>
    <xf numFmtId="178" fontId="0" fillId="11" borderId="2" xfId="0" applyNumberFormat="1" applyFill="1" applyBorder="1" applyAlignment="1">
      <alignment horizontal="center" vertical="center"/>
    </xf>
    <xf numFmtId="14" fontId="0" fillId="0" borderId="0" xfId="0" applyNumberFormat="1"/>
    <xf numFmtId="0" fontId="0" fillId="0" borderId="0" xfId="0" applyAlignment="1">
      <alignment wrapText="1"/>
    </xf>
    <xf numFmtId="0" fontId="25" fillId="14" borderId="0" xfId="0" applyFont="1" applyFill="1" applyAlignment="1">
      <alignment horizontal="center" vertical="center"/>
    </xf>
    <xf numFmtId="0" fontId="25" fillId="11" borderId="0" xfId="0" applyFont="1" applyFill="1" applyAlignment="1">
      <alignment horizontal="left" vertical="center"/>
    </xf>
    <xf numFmtId="0" fontId="25" fillId="11" borderId="0" xfId="0" applyFont="1" applyFill="1" applyAlignment="1">
      <alignment horizontal="center" vertical="center"/>
    </xf>
    <xf numFmtId="0" fontId="23" fillId="4" borderId="0" xfId="8" applyBorder="1" applyAlignment="1">
      <alignment horizontal="center" vertical="center" wrapText="1"/>
    </xf>
    <xf numFmtId="0" fontId="42" fillId="5" borderId="0" xfId="0" applyFont="1" applyFill="1"/>
    <xf numFmtId="0" fontId="42" fillId="0" borderId="0" xfId="0" applyFont="1"/>
    <xf numFmtId="0" fontId="44" fillId="0" borderId="0" xfId="0" applyFont="1" applyAlignment="1">
      <alignment horizontal="center" vertical="center" wrapText="1"/>
    </xf>
    <xf numFmtId="0" fontId="42" fillId="0" borderId="0" xfId="0" applyFont="1" applyAlignment="1">
      <alignment horizontal="center" vertical="center" wrapText="1"/>
    </xf>
    <xf numFmtId="0" fontId="42" fillId="16" borderId="0" xfId="0" applyFont="1" applyFill="1"/>
    <xf numFmtId="0" fontId="42" fillId="12" borderId="0" xfId="0" applyFont="1" applyFill="1"/>
    <xf numFmtId="0" fontId="18" fillId="6" borderId="0" xfId="0" applyFont="1" applyFill="1" applyAlignment="1">
      <alignment horizontal="center" vertical="center" wrapText="1"/>
    </xf>
    <xf numFmtId="164" fontId="0" fillId="8" borderId="2" xfId="4" applyNumberFormat="1" applyFont="1" applyFill="1" applyBorder="1" applyAlignment="1">
      <alignment horizontal="center" vertical="center"/>
    </xf>
    <xf numFmtId="0" fontId="43" fillId="20" borderId="2" xfId="0" applyFont="1" applyFill="1" applyBorder="1" applyAlignment="1">
      <alignment horizontal="center" vertical="center" wrapText="1"/>
    </xf>
    <xf numFmtId="0" fontId="43" fillId="20" borderId="0" xfId="0" applyFont="1" applyFill="1" applyAlignment="1">
      <alignment horizontal="center" vertical="center" wrapText="1"/>
    </xf>
    <xf numFmtId="164" fontId="0" fillId="14" borderId="2" xfId="0" applyNumberFormat="1" applyFill="1" applyBorder="1" applyAlignment="1">
      <alignment horizontal="center" vertical="center"/>
    </xf>
    <xf numFmtId="44" fontId="25" fillId="0" borderId="0" xfId="4" applyFont="1" applyFill="1" applyBorder="1" applyAlignment="1">
      <alignment horizontal="center" vertical="center"/>
    </xf>
    <xf numFmtId="164" fontId="0" fillId="11" borderId="2" xfId="0" applyNumberFormat="1" applyFill="1" applyBorder="1" applyAlignment="1">
      <alignment horizontal="center" vertical="center"/>
    </xf>
    <xf numFmtId="164" fontId="0" fillId="11" borderId="0" xfId="0" applyNumberFormat="1" applyFill="1" applyAlignment="1">
      <alignment horizontal="center" vertical="center"/>
    </xf>
    <xf numFmtId="0" fontId="28" fillId="13" borderId="54" xfId="0" applyFont="1" applyFill="1" applyBorder="1" applyAlignment="1">
      <alignment horizontal="right" vertical="center"/>
    </xf>
    <xf numFmtId="0" fontId="28" fillId="13" borderId="13" xfId="0" applyFont="1" applyFill="1" applyBorder="1" applyAlignment="1">
      <alignment horizontal="right" vertical="center"/>
    </xf>
    <xf numFmtId="0" fontId="16" fillId="13" borderId="35" xfId="0" applyFont="1" applyFill="1" applyBorder="1" applyAlignment="1">
      <alignment horizontal="center" vertical="center" wrapText="1"/>
    </xf>
    <xf numFmtId="0" fontId="16" fillId="13" borderId="55" xfId="0" applyFont="1" applyFill="1" applyBorder="1" applyAlignment="1">
      <alignment horizontal="center" vertical="center" wrapText="1"/>
    </xf>
    <xf numFmtId="0" fontId="16" fillId="13" borderId="22" xfId="0" applyFont="1" applyFill="1" applyBorder="1" applyAlignment="1">
      <alignment horizontal="center" vertical="center" wrapText="1"/>
    </xf>
    <xf numFmtId="0" fontId="16" fillId="13" borderId="23" xfId="0" applyFont="1" applyFill="1" applyBorder="1" applyAlignment="1">
      <alignment horizontal="center" vertical="center" wrapText="1"/>
    </xf>
    <xf numFmtId="0" fontId="35" fillId="12" borderId="17" xfId="0" applyFont="1" applyFill="1" applyBorder="1" applyAlignment="1">
      <alignment horizontal="left" vertical="center" wrapText="1"/>
    </xf>
    <xf numFmtId="0" fontId="27" fillId="12" borderId="18" xfId="0" applyFont="1" applyFill="1" applyBorder="1" applyAlignment="1">
      <alignment horizontal="left" vertical="center" wrapText="1"/>
    </xf>
    <xf numFmtId="0" fontId="27" fillId="12" borderId="24" xfId="0" applyFont="1" applyFill="1" applyBorder="1" applyAlignment="1">
      <alignment horizontal="left" vertical="center" wrapText="1"/>
    </xf>
    <xf numFmtId="0" fontId="27" fillId="12" borderId="19"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0" xfId="0" applyFont="1" applyFill="1" applyBorder="1" applyAlignment="1">
      <alignment horizontal="left" vertical="center" wrapText="1"/>
    </xf>
    <xf numFmtId="0" fontId="27" fillId="12" borderId="21" xfId="0" applyFont="1" applyFill="1" applyBorder="1" applyAlignment="1">
      <alignment horizontal="left" vertical="center" wrapText="1"/>
    </xf>
    <xf numFmtId="0" fontId="27" fillId="12" borderId="22" xfId="0" applyFont="1" applyFill="1" applyBorder="1" applyAlignment="1">
      <alignment horizontal="left" vertical="center" wrapText="1"/>
    </xf>
    <xf numFmtId="0" fontId="27" fillId="12" borderId="23" xfId="0" applyFont="1" applyFill="1" applyBorder="1" applyAlignment="1">
      <alignment horizontal="left" vertical="center" wrapText="1"/>
    </xf>
    <xf numFmtId="0" fontId="36" fillId="13" borderId="50" xfId="0" applyFont="1" applyFill="1" applyBorder="1" applyAlignment="1">
      <alignment horizontal="center" vertical="center"/>
    </xf>
    <xf numFmtId="0" fontId="36" fillId="13" borderId="49" xfId="0" applyFont="1" applyFill="1" applyBorder="1" applyAlignment="1">
      <alignment horizontal="center" vertical="center"/>
    </xf>
    <xf numFmtId="0" fontId="36" fillId="13" borderId="48" xfId="0" applyFont="1" applyFill="1" applyBorder="1" applyAlignment="1">
      <alignment horizontal="center" vertical="center"/>
    </xf>
    <xf numFmtId="0" fontId="34" fillId="13" borderId="10" xfId="0" applyFont="1" applyFill="1" applyBorder="1" applyAlignment="1">
      <alignment horizontal="center" vertical="center"/>
    </xf>
    <xf numFmtId="0" fontId="34" fillId="13" borderId="11" xfId="0" applyFont="1" applyFill="1" applyBorder="1" applyAlignment="1">
      <alignment horizontal="center" vertical="center"/>
    </xf>
    <xf numFmtId="0" fontId="34" fillId="13" borderId="12" xfId="0" applyFont="1" applyFill="1" applyBorder="1" applyAlignment="1">
      <alignment horizontal="center" vertical="center"/>
    </xf>
    <xf numFmtId="0" fontId="34" fillId="13" borderId="1" xfId="0" applyFont="1" applyFill="1" applyBorder="1" applyAlignment="1">
      <alignment horizontal="center" vertical="center"/>
    </xf>
    <xf numFmtId="0" fontId="34" fillId="13" borderId="2" xfId="0" applyFont="1" applyFill="1" applyBorder="1" applyAlignment="1">
      <alignment horizontal="center" vertical="center"/>
    </xf>
    <xf numFmtId="0" fontId="34" fillId="13" borderId="5" xfId="0" applyFont="1" applyFill="1" applyBorder="1" applyAlignment="1">
      <alignment horizontal="center" vertical="center"/>
    </xf>
    <xf numFmtId="0" fontId="34" fillId="13" borderId="15" xfId="0" applyFont="1" applyFill="1" applyBorder="1" applyAlignment="1">
      <alignment horizontal="center" vertical="center"/>
    </xf>
    <xf numFmtId="0" fontId="34" fillId="13" borderId="25" xfId="0" applyFont="1" applyFill="1" applyBorder="1" applyAlignment="1">
      <alignment horizontal="center" vertical="center"/>
    </xf>
    <xf numFmtId="0" fontId="34" fillId="13" borderId="29" xfId="0" applyFont="1" applyFill="1" applyBorder="1" applyAlignment="1">
      <alignment horizontal="center" vertical="center"/>
    </xf>
    <xf numFmtId="0" fontId="37" fillId="12" borderId="17" xfId="0" applyFont="1" applyFill="1" applyBorder="1" applyAlignment="1">
      <alignment horizontal="center" vertical="center"/>
    </xf>
    <xf numFmtId="0" fontId="37" fillId="12" borderId="18" xfId="0" applyFont="1" applyFill="1" applyBorder="1" applyAlignment="1">
      <alignment horizontal="center" vertical="center"/>
    </xf>
    <xf numFmtId="0" fontId="37" fillId="12" borderId="19" xfId="0" applyFont="1" applyFill="1" applyBorder="1" applyAlignment="1">
      <alignment horizontal="center" vertical="center"/>
    </xf>
    <xf numFmtId="0" fontId="37" fillId="12" borderId="0" xfId="0" applyFont="1" applyFill="1" applyAlignment="1">
      <alignment horizontal="center" vertical="center"/>
    </xf>
    <xf numFmtId="0" fontId="37" fillId="12" borderId="21" xfId="0" applyFont="1" applyFill="1" applyBorder="1" applyAlignment="1">
      <alignment horizontal="center" vertical="center"/>
    </xf>
    <xf numFmtId="0" fontId="37" fillId="12" borderId="22" xfId="0" applyFont="1" applyFill="1" applyBorder="1" applyAlignment="1">
      <alignment horizontal="center" vertical="center"/>
    </xf>
    <xf numFmtId="0" fontId="16" fillId="18" borderId="39" xfId="0" applyFont="1" applyFill="1" applyBorder="1" applyAlignment="1">
      <alignment horizontal="center" vertical="center" wrapText="1"/>
    </xf>
    <xf numFmtId="0" fontId="16" fillId="18" borderId="35" xfId="0" applyFont="1" applyFill="1" applyBorder="1" applyAlignment="1">
      <alignment horizontal="center" vertical="center" wrapText="1"/>
    </xf>
    <xf numFmtId="0" fontId="16" fillId="18" borderId="53" xfId="0" applyFont="1" applyFill="1" applyBorder="1" applyAlignment="1">
      <alignment horizontal="center" vertical="center" wrapText="1"/>
    </xf>
    <xf numFmtId="0" fontId="35" fillId="12" borderId="34" xfId="0" applyFont="1" applyFill="1" applyBorder="1" applyAlignment="1">
      <alignment horizontal="left" vertical="center" wrapText="1"/>
    </xf>
    <xf numFmtId="0" fontId="35" fillId="12" borderId="35" xfId="0" applyFont="1" applyFill="1" applyBorder="1" applyAlignment="1">
      <alignment horizontal="left" vertical="center" wrapText="1"/>
    </xf>
    <xf numFmtId="0" fontId="35" fillId="12" borderId="55" xfId="0" applyFont="1" applyFill="1" applyBorder="1" applyAlignment="1">
      <alignment horizontal="left" vertical="center" wrapText="1"/>
    </xf>
    <xf numFmtId="0" fontId="11" fillId="12" borderId="50" xfId="0" applyFont="1" applyFill="1" applyBorder="1" applyAlignment="1">
      <alignment horizontal="left" vertical="center" wrapText="1"/>
    </xf>
    <xf numFmtId="0" fontId="29" fillId="12" borderId="49" xfId="0" applyFont="1" applyFill="1" applyBorder="1" applyAlignment="1">
      <alignment horizontal="left" vertical="center" wrapText="1"/>
    </xf>
    <xf numFmtId="0" fontId="29" fillId="12" borderId="48" xfId="0" applyFont="1" applyFill="1" applyBorder="1" applyAlignment="1">
      <alignment horizontal="left" vertical="center" wrapText="1"/>
    </xf>
    <xf numFmtId="0" fontId="27" fillId="9" borderId="56" xfId="0" applyFont="1" applyFill="1" applyBorder="1" applyAlignment="1">
      <alignment horizontal="center" vertical="center" wrapText="1"/>
    </xf>
    <xf numFmtId="0" fontId="27" fillId="9" borderId="42" xfId="0" applyFont="1" applyFill="1" applyBorder="1" applyAlignment="1">
      <alignment horizontal="center" vertical="center" wrapText="1"/>
    </xf>
    <xf numFmtId="0" fontId="35" fillId="12" borderId="42" xfId="0" applyFont="1" applyFill="1" applyBorder="1" applyAlignment="1">
      <alignment horizontal="left" vertical="center" wrapText="1"/>
    </xf>
    <xf numFmtId="0" fontId="35" fillId="12" borderId="57" xfId="0" applyFont="1" applyFill="1" applyBorder="1" applyAlignment="1">
      <alignment horizontal="left" vertical="center" wrapText="1"/>
    </xf>
    <xf numFmtId="0" fontId="27" fillId="12" borderId="1" xfId="0" applyFont="1" applyFill="1" applyBorder="1" applyAlignment="1">
      <alignment horizontal="center" vertical="center" wrapText="1"/>
    </xf>
    <xf numFmtId="0" fontId="27" fillId="12" borderId="2" xfId="0" applyFont="1" applyFill="1" applyBorder="1" applyAlignment="1">
      <alignment horizontal="center" vertical="center" wrapText="1"/>
    </xf>
    <xf numFmtId="0" fontId="35" fillId="12" borderId="9" xfId="0" applyFont="1" applyFill="1" applyBorder="1" applyAlignment="1">
      <alignment horizontal="left" vertical="center" wrapText="1"/>
    </xf>
    <xf numFmtId="0" fontId="35" fillId="12" borderId="52" xfId="0" applyFont="1" applyFill="1" applyBorder="1" applyAlignment="1">
      <alignment horizontal="left" vertical="center" wrapText="1"/>
    </xf>
    <xf numFmtId="0" fontId="35" fillId="12" borderId="44" xfId="0" applyFont="1" applyFill="1" applyBorder="1" applyAlignment="1">
      <alignment horizontal="left" vertical="center" wrapText="1"/>
    </xf>
    <xf numFmtId="0" fontId="16" fillId="19" borderId="1" xfId="0" applyFont="1" applyFill="1" applyBorder="1" applyAlignment="1">
      <alignment horizontal="center" vertical="center" wrapText="1"/>
    </xf>
    <xf numFmtId="0" fontId="16" fillId="19" borderId="2" xfId="0" applyFont="1" applyFill="1" applyBorder="1" applyAlignment="1">
      <alignment horizontal="center" vertical="center" wrapText="1"/>
    </xf>
    <xf numFmtId="0" fontId="38" fillId="0" borderId="6" xfId="0" applyFont="1" applyBorder="1" applyAlignment="1" applyProtection="1">
      <alignment horizontal="left" vertical="center"/>
      <protection locked="0"/>
    </xf>
    <xf numFmtId="0" fontId="38" fillId="0" borderId="52" xfId="0" applyFont="1" applyBorder="1" applyAlignment="1" applyProtection="1">
      <alignment horizontal="left" vertical="center"/>
      <protection locked="0"/>
    </xf>
    <xf numFmtId="0" fontId="38" fillId="0" borderId="44" xfId="0" applyFont="1" applyBorder="1" applyAlignment="1" applyProtection="1">
      <alignment horizontal="left" vertical="center"/>
      <protection locked="0"/>
    </xf>
    <xf numFmtId="14" fontId="38" fillId="0" borderId="15" xfId="0" applyNumberFormat="1" applyFont="1" applyBorder="1" applyAlignment="1" applyProtection="1">
      <alignment horizontal="left" vertical="center"/>
      <protection locked="0"/>
    </xf>
    <xf numFmtId="0" fontId="38" fillId="0" borderId="25" xfId="0" applyFont="1" applyBorder="1" applyAlignment="1" applyProtection="1">
      <alignment horizontal="left" vertical="center"/>
      <protection locked="0"/>
    </xf>
    <xf numFmtId="0" fontId="38" fillId="0" borderId="29" xfId="0" applyFont="1" applyBorder="1" applyAlignment="1" applyProtection="1">
      <alignment horizontal="left" vertical="center"/>
      <protection locked="0"/>
    </xf>
    <xf numFmtId="0" fontId="39" fillId="6" borderId="50" xfId="0" applyFont="1" applyFill="1" applyBorder="1" applyAlignment="1">
      <alignment horizontal="center" vertical="center" wrapText="1"/>
    </xf>
    <xf numFmtId="0" fontId="39" fillId="6" borderId="49" xfId="0" applyFont="1" applyFill="1" applyBorder="1" applyAlignment="1">
      <alignment horizontal="center" vertical="center" wrapText="1"/>
    </xf>
    <xf numFmtId="0" fontId="39" fillId="6" borderId="48" xfId="0" applyFont="1" applyFill="1" applyBorder="1" applyAlignment="1">
      <alignment horizontal="center" vertical="center" wrapText="1"/>
    </xf>
    <xf numFmtId="0" fontId="40" fillId="6" borderId="17" xfId="0" applyFont="1" applyFill="1" applyBorder="1" applyAlignment="1">
      <alignment horizontal="center" vertical="center"/>
    </xf>
    <xf numFmtId="0" fontId="40" fillId="6" borderId="18" xfId="0" applyFont="1" applyFill="1" applyBorder="1" applyAlignment="1">
      <alignment horizontal="center" vertical="center"/>
    </xf>
    <xf numFmtId="0" fontId="40" fillId="6" borderId="24" xfId="0" applyFont="1" applyFill="1" applyBorder="1" applyAlignment="1">
      <alignment horizontal="center" vertical="center"/>
    </xf>
    <xf numFmtId="0" fontId="40" fillId="6" borderId="21" xfId="0" applyFont="1" applyFill="1" applyBorder="1" applyAlignment="1">
      <alignment horizontal="center" vertical="center"/>
    </xf>
    <xf numFmtId="0" fontId="40" fillId="6" borderId="22" xfId="0" applyFont="1" applyFill="1" applyBorder="1" applyAlignment="1">
      <alignment horizontal="center" vertical="center"/>
    </xf>
    <xf numFmtId="0" fontId="40" fillId="6" borderId="23" xfId="0" applyFont="1" applyFill="1" applyBorder="1" applyAlignment="1">
      <alignment horizontal="center" vertical="center"/>
    </xf>
    <xf numFmtId="0" fontId="16" fillId="6" borderId="50" xfId="0" applyFont="1" applyFill="1" applyBorder="1" applyAlignment="1">
      <alignment horizontal="center" vertical="center"/>
    </xf>
    <xf numFmtId="0" fontId="16" fillId="6" borderId="49" xfId="0" applyFont="1" applyFill="1" applyBorder="1" applyAlignment="1">
      <alignment horizontal="center" vertical="center"/>
    </xf>
    <xf numFmtId="0" fontId="16" fillId="6" borderId="48" xfId="0" applyFont="1" applyFill="1" applyBorder="1" applyAlignment="1">
      <alignment horizontal="center" vertical="center"/>
    </xf>
    <xf numFmtId="0" fontId="38" fillId="0" borderId="10" xfId="0" applyFont="1" applyBorder="1" applyAlignment="1" applyProtection="1">
      <alignment horizontal="left" vertical="center"/>
      <protection locked="0"/>
    </xf>
    <xf numFmtId="0" fontId="38" fillId="0" borderId="11" xfId="0" applyFont="1" applyBorder="1" applyAlignment="1" applyProtection="1">
      <alignment horizontal="left" vertical="center"/>
      <protection locked="0"/>
    </xf>
    <xf numFmtId="0" fontId="38" fillId="0" borderId="12" xfId="0" applyFont="1" applyBorder="1" applyAlignment="1" applyProtection="1">
      <alignment horizontal="left" vertical="center"/>
      <protection locked="0"/>
    </xf>
    <xf numFmtId="0" fontId="38" fillId="0" borderId="1" xfId="0" applyFont="1" applyBorder="1" applyAlignment="1" applyProtection="1">
      <alignment horizontal="left" vertical="center"/>
      <protection locked="0"/>
    </xf>
    <xf numFmtId="0" fontId="38" fillId="0" borderId="2" xfId="0" applyFont="1" applyBorder="1" applyAlignment="1" applyProtection="1">
      <alignment horizontal="left" vertical="center"/>
      <protection locked="0"/>
    </xf>
    <xf numFmtId="0" fontId="38" fillId="0" borderId="5" xfId="0" applyFont="1" applyBorder="1" applyAlignment="1" applyProtection="1">
      <alignment horizontal="left" vertical="center"/>
      <protection locked="0"/>
    </xf>
    <xf numFmtId="0" fontId="25" fillId="9" borderId="10" xfId="0" applyFont="1" applyFill="1" applyBorder="1" applyAlignment="1">
      <alignment horizontal="left" vertical="center"/>
    </xf>
    <xf numFmtId="0" fontId="25" fillId="9" borderId="14" xfId="0" applyFont="1" applyFill="1" applyBorder="1" applyAlignment="1">
      <alignment horizontal="left" vertical="center"/>
    </xf>
    <xf numFmtId="0" fontId="25" fillId="9" borderId="1" xfId="0" applyFont="1" applyFill="1" applyBorder="1" applyAlignment="1">
      <alignment horizontal="left" vertical="center"/>
    </xf>
    <xf numFmtId="0" fontId="25" fillId="9" borderId="9" xfId="0" applyFont="1" applyFill="1" applyBorder="1" applyAlignment="1">
      <alignment horizontal="left" vertical="center"/>
    </xf>
    <xf numFmtId="0" fontId="25" fillId="9" borderId="15" xfId="0" applyFont="1" applyFill="1" applyBorder="1" applyAlignment="1">
      <alignment horizontal="left" vertical="center"/>
    </xf>
    <xf numFmtId="0" fontId="25" fillId="9" borderId="16" xfId="0" applyFont="1" applyFill="1" applyBorder="1" applyAlignment="1">
      <alignment horizontal="left" vertical="center"/>
    </xf>
    <xf numFmtId="0" fontId="34" fillId="6" borderId="43" xfId="0" applyFont="1" applyFill="1" applyBorder="1" applyAlignment="1">
      <alignment horizontal="left" vertical="center"/>
    </xf>
    <xf numFmtId="0" fontId="34" fillId="6" borderId="0" xfId="0" applyFont="1" applyFill="1" applyAlignment="1">
      <alignment horizontal="left" vertical="center"/>
    </xf>
    <xf numFmtId="0" fontId="25" fillId="8" borderId="34" xfId="0" applyFont="1" applyFill="1" applyBorder="1" applyAlignment="1">
      <alignment horizontal="center" vertical="center"/>
    </xf>
    <xf numFmtId="0" fontId="25" fillId="8" borderId="35" xfId="0" applyFont="1" applyFill="1" applyBorder="1" applyAlignment="1">
      <alignment horizontal="center" vertical="center"/>
    </xf>
    <xf numFmtId="0" fontId="25" fillId="8" borderId="53" xfId="0" applyFont="1" applyFill="1" applyBorder="1" applyAlignment="1">
      <alignment horizontal="center" vertical="center"/>
    </xf>
    <xf numFmtId="0" fontId="25" fillId="8" borderId="36" xfId="0" applyFont="1" applyFill="1" applyBorder="1" applyAlignment="1">
      <alignment horizontal="center" vertical="center"/>
    </xf>
    <xf numFmtId="0" fontId="25" fillId="8" borderId="37" xfId="0" applyFont="1" applyFill="1" applyBorder="1" applyAlignment="1">
      <alignment horizontal="center" vertical="center"/>
    </xf>
    <xf numFmtId="0" fontId="25" fillId="8" borderId="58" xfId="0" applyFont="1" applyFill="1" applyBorder="1" applyAlignment="1">
      <alignment horizontal="center" vertical="center"/>
    </xf>
    <xf numFmtId="0" fontId="26" fillId="9" borderId="2" xfId="6" applyFont="1" applyFill="1" applyBorder="1" applyAlignment="1" applyProtection="1">
      <alignment horizontal="center" vertical="center"/>
      <protection locked="0"/>
    </xf>
    <xf numFmtId="0" fontId="26" fillId="9" borderId="9" xfId="6" applyFont="1" applyFill="1" applyBorder="1" applyAlignment="1" applyProtection="1">
      <alignment horizontal="center" vertical="center"/>
      <protection locked="0"/>
    </xf>
    <xf numFmtId="0" fontId="0" fillId="9" borderId="2" xfId="0" applyFill="1" applyBorder="1" applyAlignment="1">
      <alignment horizontal="left" vertical="center" wrapText="1"/>
    </xf>
    <xf numFmtId="0" fontId="25" fillId="8" borderId="34" xfId="0" applyFont="1" applyFill="1" applyBorder="1" applyAlignment="1">
      <alignment horizontal="center" vertical="center" wrapText="1"/>
    </xf>
    <xf numFmtId="0" fontId="25" fillId="8" borderId="35" xfId="0" applyFont="1" applyFill="1" applyBorder="1" applyAlignment="1">
      <alignment horizontal="center" vertical="center" wrapText="1"/>
    </xf>
    <xf numFmtId="0" fontId="25" fillId="8" borderId="36" xfId="0" applyFont="1" applyFill="1" applyBorder="1" applyAlignment="1">
      <alignment horizontal="center" vertical="center" wrapText="1"/>
    </xf>
    <xf numFmtId="0" fontId="25" fillId="8" borderId="37" xfId="0" applyFont="1" applyFill="1" applyBorder="1" applyAlignment="1">
      <alignment horizontal="center" vertical="center" wrapText="1"/>
    </xf>
    <xf numFmtId="0" fontId="25" fillId="8" borderId="53" xfId="0" applyFont="1" applyFill="1" applyBorder="1" applyAlignment="1">
      <alignment horizontal="center" vertical="center" wrapText="1"/>
    </xf>
    <xf numFmtId="0" fontId="25" fillId="8" borderId="58" xfId="0" applyFont="1" applyFill="1" applyBorder="1" applyAlignment="1">
      <alignment horizontal="center" vertical="center" wrapText="1"/>
    </xf>
    <xf numFmtId="0" fontId="25" fillId="14" borderId="34" xfId="0" applyFont="1" applyFill="1" applyBorder="1" applyAlignment="1">
      <alignment horizontal="center" vertical="center"/>
    </xf>
    <xf numFmtId="0" fontId="25" fillId="14" borderId="53" xfId="0" applyFont="1" applyFill="1" applyBorder="1" applyAlignment="1">
      <alignment horizontal="center" vertical="center"/>
    </xf>
    <xf numFmtId="0" fontId="25" fillId="14" borderId="36" xfId="0" applyFont="1" applyFill="1" applyBorder="1" applyAlignment="1">
      <alignment horizontal="center" vertical="center"/>
    </xf>
    <xf numFmtId="0" fontId="25" fillId="14" borderId="58" xfId="0" applyFont="1" applyFill="1" applyBorder="1" applyAlignment="1">
      <alignment horizontal="center" vertical="center"/>
    </xf>
    <xf numFmtId="0" fontId="34" fillId="6" borderId="43" xfId="0" applyFont="1" applyFill="1" applyBorder="1" applyAlignment="1">
      <alignment vertical="center"/>
    </xf>
    <xf numFmtId="0" fontId="34" fillId="6" borderId="0" xfId="0" applyFont="1" applyFill="1" applyAlignment="1">
      <alignment vertical="center"/>
    </xf>
    <xf numFmtId="0" fontId="0" fillId="0" borderId="0" xfId="0" applyAlignment="1">
      <alignment horizontal="left" vertical="top" wrapText="1"/>
    </xf>
    <xf numFmtId="0" fontId="0" fillId="0" borderId="0" xfId="0" applyAlignment="1">
      <alignment horizontal="left" vertical="top"/>
    </xf>
    <xf numFmtId="0" fontId="1" fillId="9" borderId="34" xfId="0" applyFont="1" applyFill="1" applyBorder="1" applyAlignment="1">
      <alignment horizontal="left" vertical="center" wrapText="1"/>
    </xf>
    <xf numFmtId="0" fontId="0" fillId="9" borderId="35" xfId="0" applyFill="1" applyBorder="1" applyAlignment="1">
      <alignment horizontal="left" vertical="center" wrapText="1"/>
    </xf>
    <xf numFmtId="0" fontId="0" fillId="9" borderId="53" xfId="0" applyFill="1" applyBorder="1" applyAlignment="1">
      <alignment horizontal="left" vertical="center" wrapText="1"/>
    </xf>
    <xf numFmtId="0" fontId="0" fillId="9" borderId="36" xfId="0" applyFill="1" applyBorder="1" applyAlignment="1">
      <alignment horizontal="left" vertical="center" wrapText="1"/>
    </xf>
    <xf numFmtId="0" fontId="0" fillId="9" borderId="37" xfId="0" applyFill="1" applyBorder="1" applyAlignment="1">
      <alignment horizontal="left" vertical="center" wrapText="1"/>
    </xf>
    <xf numFmtId="0" fontId="0" fillId="9" borderId="58" xfId="0" applyFill="1" applyBorder="1" applyAlignment="1">
      <alignment horizontal="left" vertical="center" wrapText="1"/>
    </xf>
    <xf numFmtId="0" fontId="23" fillId="4" borderId="38" xfId="8" applyBorder="1" applyAlignment="1">
      <alignment horizontal="center" vertical="center"/>
    </xf>
    <xf numFmtId="0" fontId="23" fillId="4" borderId="54" xfId="8" applyBorder="1" applyAlignment="1">
      <alignment horizontal="center" vertical="center"/>
    </xf>
    <xf numFmtId="0" fontId="23" fillId="4" borderId="47" xfId="8" applyBorder="1" applyAlignment="1">
      <alignment horizontal="center" vertical="center"/>
    </xf>
    <xf numFmtId="0" fontId="26" fillId="9" borderId="42" xfId="6" applyFont="1" applyFill="1" applyBorder="1" applyAlignment="1" applyProtection="1">
      <alignment horizontal="center" vertical="center"/>
      <protection locked="0"/>
    </xf>
    <xf numFmtId="0" fontId="26" fillId="9" borderId="36" xfId="6" applyFont="1" applyFill="1" applyBorder="1" applyAlignment="1" applyProtection="1">
      <alignment horizontal="center" vertical="center"/>
      <protection locked="0"/>
    </xf>
    <xf numFmtId="0" fontId="23" fillId="4" borderId="38" xfId="8" applyBorder="1" applyAlignment="1">
      <alignment horizontal="left" vertical="center"/>
    </xf>
    <xf numFmtId="0" fontId="23" fillId="4" borderId="54" xfId="8" applyBorder="1" applyAlignment="1">
      <alignment horizontal="left" vertical="center"/>
    </xf>
    <xf numFmtId="0" fontId="23" fillId="4" borderId="47" xfId="8" applyBorder="1" applyAlignment="1">
      <alignment horizontal="left" vertical="center"/>
    </xf>
    <xf numFmtId="0" fontId="0" fillId="9" borderId="42" xfId="0" applyFill="1" applyBorder="1" applyAlignment="1">
      <alignment horizontal="left" vertical="center" wrapText="1"/>
    </xf>
    <xf numFmtId="0" fontId="34" fillId="6" borderId="2" xfId="0" applyFont="1" applyFill="1" applyBorder="1" applyAlignment="1">
      <alignment horizontal="left" vertical="center"/>
    </xf>
    <xf numFmtId="0" fontId="25" fillId="11" borderId="0" xfId="0" applyFont="1" applyFill="1" applyAlignment="1">
      <alignment horizontal="center"/>
    </xf>
    <xf numFmtId="0" fontId="23" fillId="4" borderId="17" xfId="8" applyBorder="1" applyAlignment="1">
      <alignment horizontal="center" vertical="center"/>
    </xf>
    <xf numFmtId="0" fontId="23" fillId="4" borderId="18" xfId="8" applyBorder="1" applyAlignment="1">
      <alignment horizontal="center" vertical="center"/>
    </xf>
    <xf numFmtId="0" fontId="23" fillId="4" borderId="24" xfId="8" applyBorder="1" applyAlignment="1">
      <alignment horizontal="center" vertical="center"/>
    </xf>
    <xf numFmtId="0" fontId="0" fillId="10" borderId="59" xfId="0" applyFill="1" applyBorder="1" applyAlignment="1">
      <alignment horizontal="center" vertical="center"/>
    </xf>
    <xf numFmtId="0" fontId="0" fillId="10" borderId="58" xfId="0" applyFill="1" applyBorder="1" applyAlignment="1">
      <alignment horizontal="center" vertical="center"/>
    </xf>
    <xf numFmtId="0" fontId="0" fillId="10" borderId="9" xfId="0" applyFill="1" applyBorder="1" applyAlignment="1">
      <alignment horizontal="center" vertical="center"/>
    </xf>
    <xf numFmtId="0" fontId="0" fillId="10" borderId="52" xfId="0" applyFill="1" applyBorder="1" applyAlignment="1">
      <alignment horizontal="center" vertical="center"/>
    </xf>
    <xf numFmtId="0" fontId="0" fillId="10" borderId="7" xfId="0" applyFill="1" applyBorder="1" applyAlignment="1">
      <alignment horizontal="center" vertical="center"/>
    </xf>
    <xf numFmtId="0" fontId="0" fillId="10" borderId="8" xfId="0" applyFill="1" applyBorder="1" applyAlignment="1">
      <alignment horizontal="center" vertical="center"/>
    </xf>
    <xf numFmtId="0" fontId="0" fillId="10" borderId="42" xfId="0" applyFill="1" applyBorder="1" applyAlignment="1">
      <alignment horizontal="center" vertical="center"/>
    </xf>
    <xf numFmtId="0" fontId="0" fillId="10" borderId="8" xfId="0" applyFill="1" applyBorder="1" applyAlignment="1">
      <alignment horizontal="center" vertical="center" wrapText="1"/>
    </xf>
    <xf numFmtId="0" fontId="0" fillId="10" borderId="42" xfId="0" applyFill="1" applyBorder="1" applyAlignment="1">
      <alignment horizontal="center" vertical="center" wrapText="1"/>
    </xf>
    <xf numFmtId="0" fontId="41" fillId="6" borderId="22" xfId="0" applyFont="1" applyFill="1" applyBorder="1" applyAlignment="1">
      <alignment horizontal="center" vertical="center"/>
    </xf>
    <xf numFmtId="0" fontId="41" fillId="6" borderId="23" xfId="0" applyFont="1" applyFill="1" applyBorder="1" applyAlignment="1">
      <alignment horizontal="center" vertical="center"/>
    </xf>
    <xf numFmtId="0" fontId="0" fillId="9" borderId="0" xfId="0" applyFill="1" applyAlignment="1">
      <alignment horizontal="center" vertical="center" wrapText="1"/>
    </xf>
    <xf numFmtId="0" fontId="32" fillId="8" borderId="9" xfId="0" applyFont="1" applyFill="1" applyBorder="1" applyAlignment="1">
      <alignment horizontal="center" vertical="center"/>
    </xf>
    <xf numFmtId="0" fontId="32" fillId="8" borderId="52" xfId="0" applyFont="1" applyFill="1" applyBorder="1" applyAlignment="1">
      <alignment horizontal="center" vertical="center"/>
    </xf>
    <xf numFmtId="0" fontId="32" fillId="8" borderId="7" xfId="0" applyFont="1" applyFill="1" applyBorder="1" applyAlignment="1">
      <alignment horizontal="center" vertical="center"/>
    </xf>
    <xf numFmtId="0" fontId="32" fillId="8" borderId="2" xfId="0" applyFont="1" applyFill="1" applyBorder="1" applyAlignment="1">
      <alignment horizontal="left" vertical="center"/>
    </xf>
    <xf numFmtId="0" fontId="25" fillId="8" borderId="9" xfId="0" applyFont="1" applyFill="1" applyBorder="1" applyAlignment="1">
      <alignment horizontal="center" wrapText="1"/>
    </xf>
    <xf numFmtId="0" fontId="25" fillId="8" borderId="52" xfId="0" applyFont="1" applyFill="1" applyBorder="1" applyAlignment="1">
      <alignment horizontal="center" wrapText="1"/>
    </xf>
    <xf numFmtId="0" fontId="25" fillId="8" borderId="7" xfId="0" applyFont="1" applyFill="1" applyBorder="1" applyAlignment="1">
      <alignment horizontal="center" wrapText="1"/>
    </xf>
    <xf numFmtId="0" fontId="0" fillId="0" borderId="0" xfId="0" applyAlignment="1">
      <alignment horizontal="center" wrapText="1"/>
    </xf>
  </cellXfs>
  <cellStyles count="14">
    <cellStyle name="Bad" xfId="1" builtinId="27"/>
    <cellStyle name="Comma" xfId="2" builtinId="3"/>
    <cellStyle name="Comma 2" xfId="3" xr:uid="{00000000-0005-0000-0000-000002000000}"/>
    <cellStyle name="Currency" xfId="4" builtinId="4"/>
    <cellStyle name="Good" xfId="5" builtinId="26"/>
    <cellStyle name="Hyperlink" xfId="6" builtinId="8"/>
    <cellStyle name="Hyperlink 2" xfId="7" xr:uid="{00000000-0005-0000-0000-000006000000}"/>
    <cellStyle name="Neutral" xfId="8" builtinId="28"/>
    <cellStyle name="Normal" xfId="0" builtinId="0"/>
    <cellStyle name="Normal 10 2" xfId="9" xr:uid="{00000000-0005-0000-0000-000009000000}"/>
    <cellStyle name="Normal 2" xfId="10" xr:uid="{00000000-0005-0000-0000-00000A000000}"/>
    <cellStyle name="Normal 5" xfId="11" xr:uid="{00000000-0005-0000-0000-00000B000000}"/>
    <cellStyle name="Percent" xfId="12" builtinId="5"/>
    <cellStyle name="Percent 2" xfId="13" xr:uid="{00000000-0005-0000-0000-00000D000000}"/>
  </cellStyles>
  <dxfs count="13">
    <dxf>
      <font>
        <color theme="1" tint="0.24994659260841701"/>
        <name val="Calibri Light"/>
        <scheme val="none"/>
      </font>
      <fill>
        <patternFill>
          <bgColor theme="1" tint="0.24994659260841701"/>
        </patternFill>
      </fill>
    </dxf>
    <dxf>
      <font>
        <b/>
        <i val="0"/>
        <color theme="0"/>
      </font>
      <fill>
        <patternFill>
          <bgColor rgb="FFC00000"/>
        </patternFill>
      </fill>
    </dxf>
    <dxf>
      <fill>
        <patternFill>
          <bgColor theme="1"/>
        </patternFill>
      </fill>
    </dxf>
    <dxf>
      <fill>
        <patternFill>
          <bgColor theme="1"/>
        </patternFill>
      </fill>
    </dxf>
    <dxf>
      <fill>
        <patternFill>
          <bgColor theme="1"/>
        </patternFill>
      </fill>
    </dxf>
    <dxf>
      <font>
        <b/>
        <i val="0"/>
        <color theme="0"/>
      </font>
      <fill>
        <patternFill>
          <bgColor rgb="FFC0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1</xdr:row>
      <xdr:rowOff>190500</xdr:rowOff>
    </xdr:from>
    <xdr:to>
      <xdr:col>3</xdr:col>
      <xdr:colOff>266700</xdr:colOff>
      <xdr:row>3</xdr:row>
      <xdr:rowOff>180975</xdr:rowOff>
    </xdr:to>
    <xdr:pic>
      <xdr:nvPicPr>
        <xdr:cNvPr id="12200" name="Picture 1">
          <a:extLst>
            <a:ext uri="{FF2B5EF4-FFF2-40B4-BE49-F238E27FC236}">
              <a16:creationId xmlns:a16="http://schemas.microsoft.com/office/drawing/2014/main" id="{90FFEA16-8272-40C8-A204-BD60E6A417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525" y="571500"/>
          <a:ext cx="12001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219075</xdr:colOff>
      <xdr:row>0</xdr:row>
      <xdr:rowOff>142875</xdr:rowOff>
    </xdr:from>
    <xdr:to>
      <xdr:col>19</xdr:col>
      <xdr:colOff>676275</xdr:colOff>
      <xdr:row>40</xdr:row>
      <xdr:rowOff>152400</xdr:rowOff>
    </xdr:to>
    <xdr:sp macro="" textlink="">
      <xdr:nvSpPr>
        <xdr:cNvPr id="2" name="TextBox 1">
          <a:extLst>
            <a:ext uri="{FF2B5EF4-FFF2-40B4-BE49-F238E27FC236}">
              <a16:creationId xmlns:a16="http://schemas.microsoft.com/office/drawing/2014/main" id="{FCFFF61E-7749-400D-8237-E4B49A06510A}"/>
            </a:ext>
          </a:extLst>
        </xdr:cNvPr>
        <xdr:cNvSpPr txBox="1"/>
      </xdr:nvSpPr>
      <xdr:spPr>
        <a:xfrm>
          <a:off x="466725" y="142875"/>
          <a:ext cx="27593925" cy="105156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4000"/>
            <a:t>Moved to HVAC program</a:t>
          </a:r>
          <a:r>
            <a:rPr lang="en-US" sz="4000" baseline="0"/>
            <a:t> calculator</a:t>
          </a:r>
          <a:endParaRPr lang="en-US" sz="4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1076325</xdr:colOff>
      <xdr:row>19</xdr:row>
      <xdr:rowOff>95250</xdr:rowOff>
    </xdr:from>
    <xdr:to>
      <xdr:col>10</xdr:col>
      <xdr:colOff>285750</xdr:colOff>
      <xdr:row>27</xdr:row>
      <xdr:rowOff>0</xdr:rowOff>
    </xdr:to>
    <xdr:sp macro="" textlink="">
      <xdr:nvSpPr>
        <xdr:cNvPr id="2" name="TextBox 1">
          <a:extLst>
            <a:ext uri="{FF2B5EF4-FFF2-40B4-BE49-F238E27FC236}">
              <a16:creationId xmlns:a16="http://schemas.microsoft.com/office/drawing/2014/main" id="{1F24C292-6487-4F91-8FEF-9EE591624794}"/>
            </a:ext>
          </a:extLst>
        </xdr:cNvPr>
        <xdr:cNvSpPr txBox="1"/>
      </xdr:nvSpPr>
      <xdr:spPr>
        <a:xfrm>
          <a:off x="8505825" y="5086350"/>
          <a:ext cx="6391275" cy="14287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Re-did</a:t>
          </a:r>
          <a:r>
            <a:rPr lang="en-US" sz="1100" baseline="0"/>
            <a:t> full sheet including tables and formulas. Didnt highlight as it's all new.</a:t>
          </a:r>
        </a:p>
        <a:p>
          <a:endParaRPr lang="en-US" sz="1100" baseline="0"/>
        </a:p>
        <a:p>
          <a:r>
            <a:rPr lang="en-US" sz="1100" baseline="0"/>
            <a:t>-Alex</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779991</xdr:colOff>
      <xdr:row>25</xdr:row>
      <xdr:rowOff>143423</xdr:rowOff>
    </xdr:from>
    <xdr:to>
      <xdr:col>41</xdr:col>
      <xdr:colOff>772584</xdr:colOff>
      <xdr:row>45</xdr:row>
      <xdr:rowOff>20108</xdr:rowOff>
    </xdr:to>
    <xdr:grpSp>
      <xdr:nvGrpSpPr>
        <xdr:cNvPr id="2" name="Group 1">
          <a:extLst>
            <a:ext uri="{FF2B5EF4-FFF2-40B4-BE49-F238E27FC236}">
              <a16:creationId xmlns:a16="http://schemas.microsoft.com/office/drawing/2014/main" id="{15037483-508A-488E-9072-3FAB6A9B3C43}"/>
            </a:ext>
          </a:extLst>
        </xdr:cNvPr>
        <xdr:cNvGrpSpPr/>
      </xdr:nvGrpSpPr>
      <xdr:grpSpPr>
        <a:xfrm>
          <a:off x="6428316" y="4800600"/>
          <a:ext cx="8031693" cy="0"/>
          <a:chOff x="6420908" y="7043756"/>
          <a:chExt cx="8035926" cy="3877185"/>
        </a:xfrm>
      </xdr:grpSpPr>
      <xdr:pic>
        <xdr:nvPicPr>
          <xdr:cNvPr id="25607" name="Picture 1">
            <a:extLst>
              <a:ext uri="{FF2B5EF4-FFF2-40B4-BE49-F238E27FC236}">
                <a16:creationId xmlns:a16="http://schemas.microsoft.com/office/drawing/2014/main" id="{BF605334-FDA7-40D3-8139-39E6C95B2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03809" y="7043756"/>
            <a:ext cx="5153025" cy="1936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5608" name="Picture 2">
            <a:extLst>
              <a:ext uri="{FF2B5EF4-FFF2-40B4-BE49-F238E27FC236}">
                <a16:creationId xmlns:a16="http://schemas.microsoft.com/office/drawing/2014/main" id="{92A904CE-CCA5-495C-8E9A-25B50638CA76}"/>
              </a:ext>
              <a:ext uri="{147F2762-F138-4A5C-976F-8EAC2B608ADB}">
                <a16:predDERef xmlns:a16="http://schemas.microsoft.com/office/drawing/2014/main" pred="{BF605334-FDA7-40D3-8139-39E6C95B2F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20908" y="8924977"/>
            <a:ext cx="4977342" cy="1995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190499</xdr:colOff>
      <xdr:row>19</xdr:row>
      <xdr:rowOff>148166</xdr:rowOff>
    </xdr:from>
    <xdr:to>
      <xdr:col>24</xdr:col>
      <xdr:colOff>105833</xdr:colOff>
      <xdr:row>22</xdr:row>
      <xdr:rowOff>179916</xdr:rowOff>
    </xdr:to>
    <xdr:sp macro="" textlink="">
      <xdr:nvSpPr>
        <xdr:cNvPr id="2" name="TextBox 1">
          <a:extLst>
            <a:ext uri="{FF2B5EF4-FFF2-40B4-BE49-F238E27FC236}">
              <a16:creationId xmlns:a16="http://schemas.microsoft.com/office/drawing/2014/main" id="{67315686-14F9-4203-B769-6774A0E00CB0}"/>
            </a:ext>
          </a:extLst>
        </xdr:cNvPr>
        <xdr:cNvSpPr txBox="1"/>
      </xdr:nvSpPr>
      <xdr:spPr>
        <a:xfrm>
          <a:off x="15388166" y="4720166"/>
          <a:ext cx="4275667" cy="6032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FYI - Added manaaged name for "Monitor" to pull data valdiation for</a:t>
          </a:r>
          <a:r>
            <a:rPr lang="en-US" sz="1100" baseline="0"/>
            <a:t> screen size in Column H</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190500</xdr:colOff>
      <xdr:row>8</xdr:row>
      <xdr:rowOff>114300</xdr:rowOff>
    </xdr:from>
    <xdr:to>
      <xdr:col>19</xdr:col>
      <xdr:colOff>142875</xdr:colOff>
      <xdr:row>35</xdr:row>
      <xdr:rowOff>600075</xdr:rowOff>
    </xdr:to>
    <xdr:pic>
      <xdr:nvPicPr>
        <xdr:cNvPr id="23904" name="Picture 1">
          <a:extLst>
            <a:ext uri="{FF2B5EF4-FFF2-40B4-BE49-F238E27FC236}">
              <a16:creationId xmlns:a16="http://schemas.microsoft.com/office/drawing/2014/main" id="{453DCE7B-4A32-4B44-AD32-F55B7D36C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1638300"/>
          <a:ext cx="3609975" cy="5629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276225</xdr:colOff>
      <xdr:row>10</xdr:row>
      <xdr:rowOff>28575</xdr:rowOff>
    </xdr:from>
    <xdr:to>
      <xdr:col>5</xdr:col>
      <xdr:colOff>476250</xdr:colOff>
      <xdr:row>29</xdr:row>
      <xdr:rowOff>180975</xdr:rowOff>
    </xdr:to>
    <xdr:pic>
      <xdr:nvPicPr>
        <xdr:cNvPr id="23905" name="Picture 3">
          <a:extLst>
            <a:ext uri="{FF2B5EF4-FFF2-40B4-BE49-F238E27FC236}">
              <a16:creationId xmlns:a16="http://schemas.microsoft.com/office/drawing/2014/main" id="{EC497CA9-FB54-4E63-AF0D-9BDFCF940F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6225" y="1933575"/>
          <a:ext cx="3248025"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10</xdr:row>
      <xdr:rowOff>0</xdr:rowOff>
    </xdr:from>
    <xdr:to>
      <xdr:col>12</xdr:col>
      <xdr:colOff>314325</xdr:colOff>
      <xdr:row>29</xdr:row>
      <xdr:rowOff>76200</xdr:rowOff>
    </xdr:to>
    <xdr:pic>
      <xdr:nvPicPr>
        <xdr:cNvPr id="23906" name="Picture 4">
          <a:extLst>
            <a:ext uri="{FF2B5EF4-FFF2-40B4-BE49-F238E27FC236}">
              <a16:creationId xmlns:a16="http://schemas.microsoft.com/office/drawing/2014/main" id="{F1637D7B-841E-40C7-AB98-4BEFA03FBD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67200" y="1905000"/>
          <a:ext cx="3362325" cy="3695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247650</xdr:colOff>
      <xdr:row>29</xdr:row>
      <xdr:rowOff>152400</xdr:rowOff>
    </xdr:from>
    <xdr:to>
      <xdr:col>5</xdr:col>
      <xdr:colOff>457200</xdr:colOff>
      <xdr:row>34</xdr:row>
      <xdr:rowOff>66675</xdr:rowOff>
    </xdr:to>
    <xdr:pic>
      <xdr:nvPicPr>
        <xdr:cNvPr id="23907" name="Picture 5">
          <a:extLst>
            <a:ext uri="{FF2B5EF4-FFF2-40B4-BE49-F238E27FC236}">
              <a16:creationId xmlns:a16="http://schemas.microsoft.com/office/drawing/2014/main" id="{789EA09D-9B8C-429F-975B-204B4C6469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47650" y="5676900"/>
          <a:ext cx="32575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2D050"/>
    <pageSetUpPr fitToPage="1"/>
  </sheetPr>
  <dimension ref="A1:N27"/>
  <sheetViews>
    <sheetView tabSelected="1" workbookViewId="0">
      <selection activeCell="V18" sqref="V18"/>
    </sheetView>
  </sheetViews>
  <sheetFormatPr defaultRowHeight="15"/>
  <cols>
    <col min="1" max="1" width="5.7109375" customWidth="1"/>
    <col min="2" max="2" width="9.42578125" customWidth="1"/>
    <col min="3" max="3" width="4.7109375" customWidth="1"/>
    <col min="4" max="4" width="4.5703125" customWidth="1"/>
    <col min="5" max="5" width="5.85546875" customWidth="1"/>
    <col min="6" max="6" width="5.140625" customWidth="1"/>
    <col min="9" max="9" width="5.5703125" customWidth="1"/>
    <col min="10" max="10" width="6.7109375" customWidth="1"/>
    <col min="11" max="11" width="6.85546875" customWidth="1"/>
    <col min="12" max="12" width="5.42578125" customWidth="1"/>
    <col min="13" max="13" width="7.42578125" customWidth="1"/>
    <col min="14" max="14" width="5.7109375" customWidth="1"/>
  </cols>
  <sheetData>
    <row r="1" spans="1:14" ht="30" customHeight="1" thickBot="1">
      <c r="A1" s="164"/>
      <c r="B1" s="165"/>
      <c r="C1" s="165"/>
      <c r="D1" s="165"/>
      <c r="E1" s="165"/>
      <c r="F1" s="165"/>
      <c r="G1" s="165"/>
      <c r="H1" s="165"/>
      <c r="I1" s="165"/>
      <c r="J1" s="165"/>
      <c r="K1" s="165"/>
      <c r="L1" s="165"/>
      <c r="M1" s="165"/>
      <c r="N1" s="166"/>
    </row>
    <row r="2" spans="1:14" ht="16.5" customHeight="1">
      <c r="A2" s="167"/>
      <c r="B2" s="378"/>
      <c r="C2" s="379"/>
      <c r="D2" s="379"/>
      <c r="E2" s="369" t="s">
        <v>0</v>
      </c>
      <c r="F2" s="370"/>
      <c r="G2" s="370"/>
      <c r="H2" s="370"/>
      <c r="I2" s="371"/>
      <c r="J2" s="351" t="s">
        <v>1</v>
      </c>
      <c r="K2" s="351"/>
      <c r="L2" s="352"/>
      <c r="M2" s="88">
        <v>5</v>
      </c>
      <c r="N2" s="168"/>
    </row>
    <row r="3" spans="1:14" ht="19.5" customHeight="1">
      <c r="A3" s="167"/>
      <c r="B3" s="380"/>
      <c r="C3" s="381"/>
      <c r="D3" s="381"/>
      <c r="E3" s="372"/>
      <c r="F3" s="373"/>
      <c r="G3" s="373"/>
      <c r="H3" s="373"/>
      <c r="I3" s="374"/>
      <c r="J3" s="353" t="s">
        <v>2</v>
      </c>
      <c r="K3" s="353"/>
      <c r="L3" s="353"/>
      <c r="M3" s="354"/>
      <c r="N3" s="168"/>
    </row>
    <row r="4" spans="1:14" ht="37.5" customHeight="1" thickBot="1">
      <c r="A4" s="167"/>
      <c r="B4" s="382"/>
      <c r="C4" s="383"/>
      <c r="D4" s="383"/>
      <c r="E4" s="375"/>
      <c r="F4" s="376"/>
      <c r="G4" s="376"/>
      <c r="H4" s="376"/>
      <c r="I4" s="377"/>
      <c r="J4" s="355"/>
      <c r="K4" s="355"/>
      <c r="L4" s="355"/>
      <c r="M4" s="356"/>
      <c r="N4" s="168"/>
    </row>
    <row r="5" spans="1:14" ht="15.75" thickBot="1">
      <c r="A5" s="167"/>
      <c r="B5" s="169"/>
      <c r="C5" s="169"/>
      <c r="D5" s="169"/>
      <c r="E5" s="169"/>
      <c r="F5" s="169"/>
      <c r="G5" s="169"/>
      <c r="H5" s="169"/>
      <c r="I5" s="169"/>
      <c r="J5" s="169"/>
      <c r="K5" s="169"/>
      <c r="L5" s="169"/>
      <c r="M5" s="169"/>
      <c r="N5" s="168"/>
    </row>
    <row r="6" spans="1:14" ht="18" customHeight="1">
      <c r="A6" s="167"/>
      <c r="B6" s="357" t="s">
        <v>3</v>
      </c>
      <c r="C6" s="358"/>
      <c r="D6" s="358"/>
      <c r="E6" s="358"/>
      <c r="F6" s="358"/>
      <c r="G6" s="358"/>
      <c r="H6" s="358"/>
      <c r="I6" s="358"/>
      <c r="J6" s="358"/>
      <c r="K6" s="358"/>
      <c r="L6" s="358"/>
      <c r="M6" s="359"/>
      <c r="N6" s="168"/>
    </row>
    <row r="7" spans="1:14" ht="18" customHeight="1">
      <c r="A7" s="167"/>
      <c r="B7" s="360"/>
      <c r="C7" s="361"/>
      <c r="D7" s="361"/>
      <c r="E7" s="361"/>
      <c r="F7" s="361"/>
      <c r="G7" s="361"/>
      <c r="H7" s="361"/>
      <c r="I7" s="361"/>
      <c r="J7" s="361"/>
      <c r="K7" s="361"/>
      <c r="L7" s="361"/>
      <c r="M7" s="362"/>
      <c r="N7" s="168"/>
    </row>
    <row r="8" spans="1:14" ht="32.25" customHeight="1">
      <c r="A8" s="167"/>
      <c r="B8" s="360"/>
      <c r="C8" s="361"/>
      <c r="D8" s="361"/>
      <c r="E8" s="361"/>
      <c r="F8" s="361"/>
      <c r="G8" s="361"/>
      <c r="H8" s="361"/>
      <c r="I8" s="361"/>
      <c r="J8" s="361"/>
      <c r="K8" s="361"/>
      <c r="L8" s="361"/>
      <c r="M8" s="362"/>
      <c r="N8" s="168"/>
    </row>
    <row r="9" spans="1:14" ht="32.25" customHeight="1">
      <c r="A9" s="167"/>
      <c r="B9" s="360"/>
      <c r="C9" s="361"/>
      <c r="D9" s="361"/>
      <c r="E9" s="361"/>
      <c r="F9" s="361"/>
      <c r="G9" s="361"/>
      <c r="H9" s="361"/>
      <c r="I9" s="361"/>
      <c r="J9" s="361"/>
      <c r="K9" s="361"/>
      <c r="L9" s="361"/>
      <c r="M9" s="362"/>
      <c r="N9" s="168"/>
    </row>
    <row r="10" spans="1:14" ht="14.25" customHeight="1">
      <c r="A10" s="167"/>
      <c r="B10" s="360"/>
      <c r="C10" s="361"/>
      <c r="D10" s="361"/>
      <c r="E10" s="361"/>
      <c r="F10" s="361"/>
      <c r="G10" s="361"/>
      <c r="H10" s="361"/>
      <c r="I10" s="361"/>
      <c r="J10" s="361"/>
      <c r="K10" s="361"/>
      <c r="L10" s="361"/>
      <c r="M10" s="362"/>
      <c r="N10" s="168"/>
    </row>
    <row r="11" spans="1:14" ht="14.25" customHeight="1">
      <c r="A11" s="167"/>
      <c r="B11" s="360"/>
      <c r="C11" s="361"/>
      <c r="D11" s="361"/>
      <c r="E11" s="361"/>
      <c r="F11" s="361"/>
      <c r="G11" s="361"/>
      <c r="H11" s="361"/>
      <c r="I11" s="361"/>
      <c r="J11" s="361"/>
      <c r="K11" s="361"/>
      <c r="L11" s="361"/>
      <c r="M11" s="362"/>
      <c r="N11" s="168"/>
    </row>
    <row r="12" spans="1:14" ht="14.25" customHeight="1">
      <c r="A12" s="167"/>
      <c r="B12" s="360"/>
      <c r="C12" s="361"/>
      <c r="D12" s="361"/>
      <c r="E12" s="361"/>
      <c r="F12" s="361"/>
      <c r="G12" s="361"/>
      <c r="H12" s="361"/>
      <c r="I12" s="361"/>
      <c r="J12" s="361"/>
      <c r="K12" s="361"/>
      <c r="L12" s="361"/>
      <c r="M12" s="362"/>
      <c r="N12" s="168"/>
    </row>
    <row r="13" spans="1:14" ht="14.25" customHeight="1">
      <c r="A13" s="167"/>
      <c r="B13" s="360"/>
      <c r="C13" s="361"/>
      <c r="D13" s="361"/>
      <c r="E13" s="361"/>
      <c r="F13" s="361"/>
      <c r="G13" s="361"/>
      <c r="H13" s="361"/>
      <c r="I13" s="361"/>
      <c r="J13" s="361"/>
      <c r="K13" s="361"/>
      <c r="L13" s="361"/>
      <c r="M13" s="362"/>
      <c r="N13" s="168"/>
    </row>
    <row r="14" spans="1:14" ht="14.25" customHeight="1" thickBot="1">
      <c r="A14" s="167"/>
      <c r="B14" s="363"/>
      <c r="C14" s="364"/>
      <c r="D14" s="364"/>
      <c r="E14" s="364"/>
      <c r="F14" s="364"/>
      <c r="G14" s="364"/>
      <c r="H14" s="364"/>
      <c r="I14" s="364"/>
      <c r="J14" s="364"/>
      <c r="K14" s="364"/>
      <c r="L14" s="364"/>
      <c r="M14" s="365"/>
      <c r="N14" s="168"/>
    </row>
    <row r="15" spans="1:14" ht="15.75" thickBot="1">
      <c r="A15" s="167"/>
      <c r="B15" s="366" t="s">
        <v>4</v>
      </c>
      <c r="C15" s="367"/>
      <c r="D15" s="367"/>
      <c r="E15" s="367"/>
      <c r="F15" s="367"/>
      <c r="G15" s="367"/>
      <c r="H15" s="367"/>
      <c r="I15" s="367"/>
      <c r="J15" s="367"/>
      <c r="K15" s="367"/>
      <c r="L15" s="367"/>
      <c r="M15" s="368"/>
      <c r="N15" s="168"/>
    </row>
    <row r="16" spans="1:14" ht="28.5" customHeight="1">
      <c r="A16" s="167"/>
      <c r="B16" s="393" t="s">
        <v>5</v>
      </c>
      <c r="C16" s="394"/>
      <c r="D16" s="394"/>
      <c r="E16" s="395" t="s">
        <v>6</v>
      </c>
      <c r="F16" s="395"/>
      <c r="G16" s="395"/>
      <c r="H16" s="395"/>
      <c r="I16" s="395"/>
      <c r="J16" s="395"/>
      <c r="K16" s="395"/>
      <c r="L16" s="395"/>
      <c r="M16" s="396"/>
      <c r="N16" s="168"/>
    </row>
    <row r="17" spans="1:14" ht="28.5" customHeight="1">
      <c r="A17" s="167"/>
      <c r="B17" s="397" t="s">
        <v>7</v>
      </c>
      <c r="C17" s="398"/>
      <c r="D17" s="398"/>
      <c r="E17" s="399" t="s">
        <v>8</v>
      </c>
      <c r="F17" s="400"/>
      <c r="G17" s="400"/>
      <c r="H17" s="400"/>
      <c r="I17" s="400"/>
      <c r="J17" s="400"/>
      <c r="K17" s="400"/>
      <c r="L17" s="400"/>
      <c r="M17" s="401"/>
      <c r="N17" s="168"/>
    </row>
    <row r="18" spans="1:14" ht="28.5" customHeight="1">
      <c r="A18" s="167"/>
      <c r="B18" s="402" t="s">
        <v>9</v>
      </c>
      <c r="C18" s="403"/>
      <c r="D18" s="403"/>
      <c r="E18" s="399" t="s">
        <v>10</v>
      </c>
      <c r="F18" s="400"/>
      <c r="G18" s="400"/>
      <c r="H18" s="400"/>
      <c r="I18" s="400"/>
      <c r="J18" s="400"/>
      <c r="K18" s="400"/>
      <c r="L18" s="400"/>
      <c r="M18" s="401"/>
      <c r="N18" s="168"/>
    </row>
    <row r="19" spans="1:14" ht="28.5" customHeight="1" thickBot="1">
      <c r="A19" s="167"/>
      <c r="B19" s="384" t="s">
        <v>11</v>
      </c>
      <c r="C19" s="385"/>
      <c r="D19" s="386"/>
      <c r="E19" s="387" t="s">
        <v>12</v>
      </c>
      <c r="F19" s="388"/>
      <c r="G19" s="388"/>
      <c r="H19" s="388"/>
      <c r="I19" s="388"/>
      <c r="J19" s="388"/>
      <c r="K19" s="388"/>
      <c r="L19" s="388"/>
      <c r="M19" s="389"/>
      <c r="N19" s="168"/>
    </row>
    <row r="20" spans="1:14" ht="15.75" thickBot="1">
      <c r="A20" s="167"/>
      <c r="B20" s="366" t="s">
        <v>13</v>
      </c>
      <c r="C20" s="367"/>
      <c r="D20" s="367"/>
      <c r="E20" s="367"/>
      <c r="F20" s="367"/>
      <c r="G20" s="367"/>
      <c r="H20" s="367"/>
      <c r="I20" s="367"/>
      <c r="J20" s="367"/>
      <c r="K20" s="367"/>
      <c r="L20" s="367"/>
      <c r="M20" s="368"/>
      <c r="N20" s="168"/>
    </row>
    <row r="21" spans="1:14" ht="126" customHeight="1" thickBot="1">
      <c r="A21" s="167"/>
      <c r="B21" s="390" t="s">
        <v>14</v>
      </c>
      <c r="C21" s="391"/>
      <c r="D21" s="391"/>
      <c r="E21" s="391"/>
      <c r="F21" s="391"/>
      <c r="G21" s="391"/>
      <c r="H21" s="391"/>
      <c r="I21" s="391"/>
      <c r="J21" s="391"/>
      <c r="K21" s="391"/>
      <c r="L21" s="391"/>
      <c r="M21" s="392"/>
      <c r="N21" s="168"/>
    </row>
    <row r="22" spans="1:14" ht="30" customHeight="1" thickBot="1">
      <c r="A22" s="170"/>
      <c r="B22" s="171"/>
      <c r="C22" s="171"/>
      <c r="D22" s="171"/>
      <c r="E22" s="171"/>
      <c r="F22" s="171"/>
      <c r="G22" s="171"/>
      <c r="H22" s="171"/>
      <c r="I22" s="171"/>
      <c r="J22" s="171"/>
      <c r="K22" s="171"/>
      <c r="L22" s="171"/>
      <c r="M22" s="171"/>
      <c r="N22" s="172"/>
    </row>
    <row r="27" spans="1:14">
      <c r="D27" s="89"/>
    </row>
  </sheetData>
  <sheetProtection algorithmName="SHA-512" hashValue="ZNCwG3U+SBDvL/iiqHklvvt6qu0rW+9zF7v4yh9bFfCRHreIinEkCUKv8ZIAiYqQetWoNCX2ZihYFpY3MsBupg==" saltValue="eXqprnQAghDrOFdyR3IdwQ==" spinCount="100000" sheet="1" selectLockedCells="1"/>
  <mergeCells count="16">
    <mergeCell ref="B19:D19"/>
    <mergeCell ref="E19:M19"/>
    <mergeCell ref="B20:M20"/>
    <mergeCell ref="B21:M21"/>
    <mergeCell ref="B16:D16"/>
    <mergeCell ref="E16:M16"/>
    <mergeCell ref="B17:D17"/>
    <mergeCell ref="E17:M17"/>
    <mergeCell ref="B18:D18"/>
    <mergeCell ref="E18:M18"/>
    <mergeCell ref="J2:L2"/>
    <mergeCell ref="J3:M4"/>
    <mergeCell ref="B6:M14"/>
    <mergeCell ref="B15:M15"/>
    <mergeCell ref="E2:I4"/>
    <mergeCell ref="B2:D4"/>
  </mergeCells>
  <pageMargins left="0.7" right="0.7" top="0.75" bottom="0.75" header="0.3" footer="0.3"/>
  <pageSetup fitToHeight="0" orientation="portrait"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U555"/>
  <sheetViews>
    <sheetView topLeftCell="H1" zoomScaleNormal="100" workbookViewId="0">
      <selection activeCell="S1" sqref="S1:T65536"/>
    </sheetView>
  </sheetViews>
  <sheetFormatPr defaultColWidth="9.140625" defaultRowHeight="15"/>
  <cols>
    <col min="1" max="1" width="3.7109375" customWidth="1"/>
    <col min="2" max="2" width="5.85546875" customWidth="1"/>
    <col min="3" max="3" width="24.7109375" customWidth="1"/>
    <col min="4" max="4" width="48" bestFit="1" customWidth="1"/>
    <col min="5" max="5" width="29.140625" bestFit="1" customWidth="1"/>
    <col min="6" max="6" width="19.5703125" customWidth="1"/>
    <col min="7" max="7" width="46.28515625" bestFit="1" customWidth="1"/>
    <col min="8" max="8" width="13" customWidth="1"/>
    <col min="9" max="15" width="14.42578125" customWidth="1"/>
    <col min="16" max="16" width="19.140625" customWidth="1"/>
    <col min="17" max="17" width="17" customWidth="1"/>
    <col min="18" max="18" width="13.42578125" customWidth="1"/>
    <col min="19" max="19" width="14.7109375" customWidth="1"/>
    <col min="20" max="20" width="10" customWidth="1"/>
    <col min="21" max="21" width="8" customWidth="1"/>
    <col min="22" max="22" width="8.28515625" style="132" customWidth="1"/>
    <col min="23" max="23" width="18.42578125" style="132" customWidth="1"/>
    <col min="24" max="24" width="14.28515625" style="132" customWidth="1"/>
    <col min="25" max="25" width="16.7109375" style="132" customWidth="1"/>
    <col min="26" max="16384" width="9.140625" style="132"/>
  </cols>
  <sheetData>
    <row r="1" spans="1:21" ht="19.5" customHeight="1">
      <c r="A1" s="1"/>
      <c r="B1" s="1"/>
      <c r="C1" s="1"/>
      <c r="D1" s="1"/>
      <c r="E1" s="1"/>
      <c r="F1" s="1"/>
      <c r="G1" s="1"/>
      <c r="H1" s="1"/>
      <c r="I1" s="8"/>
      <c r="J1" s="8"/>
      <c r="K1" s="8"/>
      <c r="L1" s="8"/>
      <c r="M1" s="8"/>
      <c r="N1" s="8"/>
      <c r="O1" s="8"/>
      <c r="P1" s="1"/>
      <c r="Q1" s="1"/>
      <c r="R1" s="1"/>
      <c r="S1" s="217" t="s">
        <v>282</v>
      </c>
      <c r="T1" s="217" t="s">
        <v>420</v>
      </c>
      <c r="U1" s="182"/>
    </row>
    <row r="2" spans="1:21" ht="27" customHeight="1">
      <c r="A2" s="1"/>
      <c r="B2" s="434" t="s">
        <v>421</v>
      </c>
      <c r="C2" s="435"/>
      <c r="D2" s="435"/>
      <c r="E2" s="435"/>
      <c r="F2" s="435"/>
      <c r="G2" s="435"/>
      <c r="H2" s="435"/>
      <c r="I2" s="435"/>
      <c r="J2" s="435"/>
      <c r="K2" s="435"/>
      <c r="L2" s="435"/>
      <c r="M2" s="435"/>
      <c r="N2" s="435"/>
      <c r="O2" s="435"/>
      <c r="P2" s="435"/>
      <c r="Q2" s="435"/>
      <c r="R2" s="435"/>
      <c r="S2" s="8"/>
      <c r="T2" s="8"/>
      <c r="U2" s="182"/>
    </row>
    <row r="3" spans="1:21" ht="23.25" customHeight="1">
      <c r="A3" s="1"/>
      <c r="B3" s="442" t="s">
        <v>87</v>
      </c>
      <c r="C3" s="443"/>
      <c r="D3" s="444" t="s">
        <v>422</v>
      </c>
      <c r="E3" s="444"/>
      <c r="F3" s="444"/>
      <c r="G3" s="444"/>
      <c r="H3" s="1"/>
      <c r="I3" s="8"/>
      <c r="J3" s="8"/>
      <c r="K3" s="8"/>
      <c r="L3" s="8"/>
      <c r="M3" s="8"/>
      <c r="N3" s="8"/>
      <c r="O3" s="8"/>
      <c r="P3" s="1"/>
      <c r="Q3" s="1"/>
      <c r="R3" s="1"/>
      <c r="S3" s="8"/>
      <c r="T3" s="8"/>
      <c r="U3" s="182"/>
    </row>
    <row r="4" spans="1:21" ht="25.5" customHeight="1">
      <c r="A4" s="1"/>
      <c r="B4" s="1"/>
      <c r="C4" s="1"/>
      <c r="D4" s="444"/>
      <c r="E4" s="444"/>
      <c r="F4" s="444"/>
      <c r="G4" s="444"/>
      <c r="H4" s="1"/>
      <c r="I4" s="8"/>
      <c r="J4" s="8"/>
      <c r="K4" s="8"/>
      <c r="L4" s="8"/>
      <c r="M4" s="8"/>
      <c r="N4" s="8"/>
      <c r="O4" s="8"/>
      <c r="P4" s="1"/>
      <c r="Q4" s="1"/>
      <c r="R4" s="1"/>
      <c r="S4" s="8"/>
      <c r="T4" s="8"/>
      <c r="U4" s="182"/>
    </row>
    <row r="5" spans="1:21" ht="12.75" customHeight="1">
      <c r="A5" s="1"/>
      <c r="B5" s="1"/>
      <c r="C5" s="1"/>
      <c r="D5" s="1"/>
      <c r="E5" s="1"/>
      <c r="F5" s="1"/>
      <c r="G5" s="1"/>
      <c r="H5" s="1"/>
      <c r="I5" s="8"/>
      <c r="J5" s="8"/>
      <c r="K5" s="8"/>
      <c r="L5" s="8"/>
      <c r="M5" s="8"/>
      <c r="N5" s="8"/>
      <c r="O5" s="8"/>
      <c r="P5" s="1"/>
      <c r="Q5" s="1"/>
      <c r="R5" s="1"/>
      <c r="S5" s="8"/>
      <c r="T5" s="8"/>
      <c r="U5" s="182"/>
    </row>
    <row r="6" spans="1:21" ht="36" customHeight="1">
      <c r="A6" s="1"/>
      <c r="B6" s="23" t="s">
        <v>89</v>
      </c>
      <c r="C6" s="23" t="s">
        <v>90</v>
      </c>
      <c r="D6" s="23" t="s">
        <v>91</v>
      </c>
      <c r="E6" s="23" t="s">
        <v>92</v>
      </c>
      <c r="F6" s="23" t="s">
        <v>93</v>
      </c>
      <c r="G6" s="23" t="s">
        <v>423</v>
      </c>
      <c r="H6" s="23" t="s">
        <v>27</v>
      </c>
      <c r="I6" s="23" t="s">
        <v>113</v>
      </c>
      <c r="J6" s="23" t="s">
        <v>424</v>
      </c>
      <c r="K6" s="23" t="s">
        <v>425</v>
      </c>
      <c r="L6" s="23" t="s">
        <v>426</v>
      </c>
      <c r="M6" s="23" t="s">
        <v>427</v>
      </c>
      <c r="N6" s="23" t="s">
        <v>162</v>
      </c>
      <c r="O6" s="23"/>
      <c r="P6" s="23" t="s">
        <v>115</v>
      </c>
      <c r="Q6" s="23" t="s">
        <v>116</v>
      </c>
      <c r="R6" s="23" t="s">
        <v>30</v>
      </c>
      <c r="U6" s="182"/>
    </row>
    <row r="7" spans="1:21" ht="21.75" customHeight="1">
      <c r="A7" s="1"/>
      <c r="B7" s="34">
        <v>1</v>
      </c>
      <c r="C7" s="33" t="s">
        <v>68</v>
      </c>
      <c r="D7" s="92" t="s">
        <v>147</v>
      </c>
      <c r="E7" s="92"/>
      <c r="F7" s="92"/>
      <c r="G7" s="92" t="s">
        <v>317</v>
      </c>
      <c r="H7" s="92">
        <v>1</v>
      </c>
      <c r="I7" s="63">
        <f>$G$19</f>
        <v>8</v>
      </c>
      <c r="J7" s="63">
        <f t="array" ref="J7">INDEX($I$31:$I$38,MATCH(1,(G7=$D$31:$D$38)*(D7=$F$31:$F$38),0))</f>
        <v>1.6</v>
      </c>
      <c r="K7" s="63">
        <f t="array" ref="K7">INDEX($J$31:$J$38,MATCH(1,(G7=$D$31:$D$38)*(D7=$F$31:$F$38),0))</f>
        <v>1.1200000000000001</v>
      </c>
      <c r="L7" s="63">
        <f t="array" ref="L7">INDEX($K$31:$K$38,MATCH(1,(G7=$D$31:$D$38)*(D7=$F$31:$F$38),0))</f>
        <v>26.4</v>
      </c>
      <c r="M7" s="63">
        <f t="array" ref="M7">INDEX($L$31:$L$38,MATCH(1,(G7=$D$31:$D$38)*(D7=$F$31:$F$38),0))</f>
        <v>36</v>
      </c>
      <c r="N7" s="63">
        <f t="array" ref="N7">INDEX($M$31:$M$38,MATCH(1,(G7=$D$31:$D$38)*(D7=$F$31:$F$38),0))</f>
        <v>2.5900000000000001E-4</v>
      </c>
      <c r="O7" s="63"/>
      <c r="P7" s="79">
        <f>IFERROR(N7*Q7,0)</f>
        <v>3.7039692223524712E-2</v>
      </c>
      <c r="Q7" s="80">
        <f>IFERROR((((J7*L7)-(K7*M7))*365*8.3*1*($P$30-$Q$30))/($O$30*3412)*H7,0)</f>
        <v>143.01039468542359</v>
      </c>
      <c r="R7" s="81">
        <f>IF(H7="", "", H7*$D$19)</f>
        <v>35</v>
      </c>
      <c r="S7" s="26"/>
      <c r="U7" s="182"/>
    </row>
    <row r="8" spans="1:21" ht="21.75" customHeight="1">
      <c r="A8" s="1"/>
      <c r="B8" s="34">
        <v>2</v>
      </c>
      <c r="C8" s="33" t="s">
        <v>68</v>
      </c>
      <c r="D8" s="92"/>
      <c r="E8" s="92"/>
      <c r="F8" s="92"/>
      <c r="G8" s="92"/>
      <c r="H8" s="92"/>
      <c r="I8" s="63">
        <f t="shared" ref="I8:I14" si="0">$G$19</f>
        <v>8</v>
      </c>
      <c r="J8" s="63" t="e">
        <f t="array" ref="J8">INDEX($I$31:$I$38,MATCH(1,(G8=$D$31:$D$38)*(D8=$F$31:$F$38),0))</f>
        <v>#N/A</v>
      </c>
      <c r="K8" s="63" t="e">
        <f t="array" ref="K8">INDEX($J$31:$J$38,MATCH(1,(G8=$D$31:$D$38)*(D8=$F$31:$F$38),0))</f>
        <v>#N/A</v>
      </c>
      <c r="L8" s="63" t="e">
        <f t="array" ref="L8">INDEX($K$31:$K$38,MATCH(1,(G8=$D$31:$D$38)*(D8=$F$31:$F$38),0))</f>
        <v>#N/A</v>
      </c>
      <c r="M8" s="63" t="e">
        <f t="array" ref="M8">INDEX($L$31:$L$38,MATCH(1,(G8=$D$31:$D$38)*(D8=$F$31:$F$38),0))</f>
        <v>#N/A</v>
      </c>
      <c r="N8" s="63" t="e">
        <f t="array" ref="N8">INDEX($M$31:$M$38,MATCH(1,(G8=$D$31:$D$38)*(D8=$F$31:$F$38),0))</f>
        <v>#N/A</v>
      </c>
      <c r="O8" s="63"/>
      <c r="P8" s="79">
        <f t="shared" ref="P8:P14" si="1">IFERROR(N8*Q8,0)</f>
        <v>0</v>
      </c>
      <c r="Q8" s="80">
        <f t="shared" ref="Q8:Q14" si="2">IFERROR((((J8*L8)-(K8*M8))*365*8.3*1*($P$30-$Q$30))/($O$30*3412)*H8,0)</f>
        <v>0</v>
      </c>
      <c r="R8" s="81" t="str">
        <f t="shared" ref="R8:R14" si="3">IF(H8="", "", H8*$D$19)</f>
        <v/>
      </c>
      <c r="S8" s="26"/>
      <c r="U8" s="182"/>
    </row>
    <row r="9" spans="1:21" ht="21.75" customHeight="1">
      <c r="A9" s="1"/>
      <c r="B9" s="34">
        <v>3</v>
      </c>
      <c r="C9" s="33" t="s">
        <v>68</v>
      </c>
      <c r="D9" s="92"/>
      <c r="E9" s="92"/>
      <c r="F9" s="92"/>
      <c r="G9" s="92"/>
      <c r="H9" s="92"/>
      <c r="I9" s="63">
        <f t="shared" si="0"/>
        <v>8</v>
      </c>
      <c r="J9" s="63" t="e">
        <f t="array" ref="J9">INDEX($I$31:$I$38,MATCH(1,(G9=$D$31:$D$38)*(D9=$F$31:$F$38),0))</f>
        <v>#N/A</v>
      </c>
      <c r="K9" s="63" t="e">
        <f t="array" ref="K9">INDEX($J$31:$J$38,MATCH(1,(G9=$D$31:$D$38)*(D9=$F$31:$F$38),0))</f>
        <v>#N/A</v>
      </c>
      <c r="L9" s="63" t="e">
        <f t="array" ref="L9">INDEX($K$31:$K$38,MATCH(1,(G9=$D$31:$D$38)*(D9=$F$31:$F$38),0))</f>
        <v>#N/A</v>
      </c>
      <c r="M9" s="63" t="e">
        <f t="array" ref="M9">INDEX($L$31:$L$38,MATCH(1,(G9=$D$31:$D$38)*(D9=$F$31:$F$38),0))</f>
        <v>#N/A</v>
      </c>
      <c r="N9" s="63" t="e">
        <f t="array" ref="N9">INDEX($M$31:$M$38,MATCH(1,(G9=$D$31:$D$38)*(D9=$F$31:$F$38),0))</f>
        <v>#N/A</v>
      </c>
      <c r="O9" s="63"/>
      <c r="P9" s="79">
        <f t="shared" si="1"/>
        <v>0</v>
      </c>
      <c r="Q9" s="80">
        <f t="shared" si="2"/>
        <v>0</v>
      </c>
      <c r="R9" s="81" t="str">
        <f t="shared" si="3"/>
        <v/>
      </c>
      <c r="S9" s="26"/>
      <c r="U9" s="182"/>
    </row>
    <row r="10" spans="1:21" ht="21.75" customHeight="1">
      <c r="A10" s="1"/>
      <c r="B10" s="34">
        <v>4</v>
      </c>
      <c r="C10" s="33" t="s">
        <v>68</v>
      </c>
      <c r="D10" s="92"/>
      <c r="E10" s="92"/>
      <c r="F10" s="92"/>
      <c r="G10" s="92"/>
      <c r="H10" s="92"/>
      <c r="I10" s="63">
        <f t="shared" si="0"/>
        <v>8</v>
      </c>
      <c r="J10" s="63" t="e">
        <f t="array" ref="J10">INDEX($I$31:$I$38,MATCH(1,(G10=$D$31:$D$38)*(D10=$F$31:$F$38),0))</f>
        <v>#N/A</v>
      </c>
      <c r="K10" s="63" t="e">
        <f t="array" ref="K10">INDEX($J$31:$J$38,MATCH(1,(G10=$D$31:$D$38)*(D10=$F$31:$F$38),0))</f>
        <v>#N/A</v>
      </c>
      <c r="L10" s="63" t="e">
        <f t="array" ref="L10">INDEX($K$31:$K$38,MATCH(1,(G10=$D$31:$D$38)*(D10=$F$31:$F$38),0))</f>
        <v>#N/A</v>
      </c>
      <c r="M10" s="63" t="e">
        <f t="array" ref="M10">INDEX($L$31:$L$38,MATCH(1,(G10=$D$31:$D$38)*(D10=$F$31:$F$38),0))</f>
        <v>#N/A</v>
      </c>
      <c r="N10" s="63" t="e">
        <f t="array" ref="N10">INDEX($M$31:$M$38,MATCH(1,(G10=$D$31:$D$38)*(D10=$F$31:$F$38),0))</f>
        <v>#N/A</v>
      </c>
      <c r="O10" s="63"/>
      <c r="P10" s="79">
        <f t="shared" si="1"/>
        <v>0</v>
      </c>
      <c r="Q10" s="80">
        <f t="shared" si="2"/>
        <v>0</v>
      </c>
      <c r="R10" s="81" t="str">
        <f t="shared" si="3"/>
        <v/>
      </c>
      <c r="S10" s="26"/>
      <c r="U10" s="182"/>
    </row>
    <row r="11" spans="1:21" ht="21.75" customHeight="1">
      <c r="A11" s="1"/>
      <c r="B11" s="34">
        <v>5</v>
      </c>
      <c r="C11" s="33" t="s">
        <v>68</v>
      </c>
      <c r="D11" s="92"/>
      <c r="E11" s="92"/>
      <c r="F11" s="92"/>
      <c r="G11" s="92"/>
      <c r="H11" s="92"/>
      <c r="I11" s="63">
        <f t="shared" si="0"/>
        <v>8</v>
      </c>
      <c r="J11" s="63" t="e">
        <f t="array" ref="J11">INDEX($I$31:$I$38,MATCH(1,(G11=$D$31:$D$38)*(D11=$F$31:$F$38),0))</f>
        <v>#N/A</v>
      </c>
      <c r="K11" s="63" t="e">
        <f t="array" ref="K11">INDEX($J$31:$J$38,MATCH(1,(G11=$D$31:$D$38)*(D11=$F$31:$F$38),0))</f>
        <v>#N/A</v>
      </c>
      <c r="L11" s="63" t="e">
        <f t="array" ref="L11">INDEX($K$31:$K$38,MATCH(1,(G11=$D$31:$D$38)*(D11=$F$31:$F$38),0))</f>
        <v>#N/A</v>
      </c>
      <c r="M11" s="63" t="e">
        <f t="array" ref="M11">INDEX($L$31:$L$38,MATCH(1,(G11=$D$31:$D$38)*(D11=$F$31:$F$38),0))</f>
        <v>#N/A</v>
      </c>
      <c r="N11" s="63" t="e">
        <f t="array" ref="N11">INDEX($M$31:$M$38,MATCH(1,(G11=$D$31:$D$38)*(D11=$F$31:$F$38),0))</f>
        <v>#N/A</v>
      </c>
      <c r="O11" s="63"/>
      <c r="P11" s="79">
        <f t="shared" si="1"/>
        <v>0</v>
      </c>
      <c r="Q11" s="80">
        <f t="shared" si="2"/>
        <v>0</v>
      </c>
      <c r="R11" s="81" t="str">
        <f t="shared" si="3"/>
        <v/>
      </c>
      <c r="S11" s="26"/>
      <c r="U11" s="182"/>
    </row>
    <row r="12" spans="1:21" ht="21.75" customHeight="1">
      <c r="A12" s="1"/>
      <c r="B12" s="34">
        <v>6</v>
      </c>
      <c r="C12" s="33" t="s">
        <v>68</v>
      </c>
      <c r="D12" s="92"/>
      <c r="E12" s="92"/>
      <c r="F12" s="92"/>
      <c r="G12" s="92"/>
      <c r="H12" s="92"/>
      <c r="I12" s="63">
        <f t="shared" si="0"/>
        <v>8</v>
      </c>
      <c r="J12" s="63" t="e">
        <f t="array" ref="J12">INDEX($I$31:$I$38,MATCH(1,(G12=$D$31:$D$38)*(D12=$F$31:$F$38),0))</f>
        <v>#N/A</v>
      </c>
      <c r="K12" s="63" t="e">
        <f t="array" ref="K12">INDEX($J$31:$J$38,MATCH(1,(G12=$D$31:$D$38)*(D12=$F$31:$F$38),0))</f>
        <v>#N/A</v>
      </c>
      <c r="L12" s="63" t="e">
        <f t="array" ref="L12">INDEX($K$31:$K$38,MATCH(1,(G12=$D$31:$D$38)*(D12=$F$31:$F$38),0))</f>
        <v>#N/A</v>
      </c>
      <c r="M12" s="63" t="e">
        <f t="array" ref="M12">INDEX($L$31:$L$38,MATCH(1,(G12=$D$31:$D$38)*(D12=$F$31:$F$38),0))</f>
        <v>#N/A</v>
      </c>
      <c r="N12" s="63" t="e">
        <f t="array" ref="N12">INDEX($M$31:$M$38,MATCH(1,(G12=$D$31:$D$38)*(D12=$F$31:$F$38),0))</f>
        <v>#N/A</v>
      </c>
      <c r="O12" s="63"/>
      <c r="P12" s="79">
        <f t="shared" si="1"/>
        <v>0</v>
      </c>
      <c r="Q12" s="80">
        <f t="shared" si="2"/>
        <v>0</v>
      </c>
      <c r="R12" s="81" t="str">
        <f t="shared" si="3"/>
        <v/>
      </c>
      <c r="S12" s="26"/>
      <c r="U12" s="182"/>
    </row>
    <row r="13" spans="1:21" ht="21.75" customHeight="1">
      <c r="A13" s="1"/>
      <c r="B13" s="34">
        <v>7</v>
      </c>
      <c r="C13" s="33" t="s">
        <v>68</v>
      </c>
      <c r="D13" s="92"/>
      <c r="E13" s="92"/>
      <c r="F13" s="92"/>
      <c r="G13" s="92"/>
      <c r="H13" s="92"/>
      <c r="I13" s="63">
        <f t="shared" si="0"/>
        <v>8</v>
      </c>
      <c r="J13" s="63" t="e">
        <f t="array" ref="J13">INDEX($I$31:$I$38,MATCH(1,(G13=$D$31:$D$38)*(D13=$F$31:$F$38),0))</f>
        <v>#N/A</v>
      </c>
      <c r="K13" s="63" t="e">
        <f t="array" ref="K13">INDEX($J$31:$J$38,MATCH(1,(G13=$D$31:$D$38)*(D13=$F$31:$F$38),0))</f>
        <v>#N/A</v>
      </c>
      <c r="L13" s="63" t="e">
        <f t="array" ref="L13">INDEX($K$31:$K$38,MATCH(1,(G13=$D$31:$D$38)*(D13=$F$31:$F$38),0))</f>
        <v>#N/A</v>
      </c>
      <c r="M13" s="63" t="e">
        <f t="array" ref="M13">INDEX($L$31:$L$38,MATCH(1,(G13=$D$31:$D$38)*(D13=$F$31:$F$38),0))</f>
        <v>#N/A</v>
      </c>
      <c r="N13" s="63" t="e">
        <f t="array" ref="N13">INDEX($M$31:$M$38,MATCH(1,(G13=$D$31:$D$38)*(D13=$F$31:$F$38),0))</f>
        <v>#N/A</v>
      </c>
      <c r="O13" s="63"/>
      <c r="P13" s="79">
        <f t="shared" si="1"/>
        <v>0</v>
      </c>
      <c r="Q13" s="80">
        <f t="shared" si="2"/>
        <v>0</v>
      </c>
      <c r="R13" s="81" t="str">
        <f t="shared" si="3"/>
        <v/>
      </c>
      <c r="S13" s="26"/>
      <c r="U13" s="182"/>
    </row>
    <row r="14" spans="1:21" ht="21.75" customHeight="1">
      <c r="A14" s="1"/>
      <c r="B14" s="34">
        <v>8</v>
      </c>
      <c r="C14" s="33" t="s">
        <v>68</v>
      </c>
      <c r="D14" s="92"/>
      <c r="E14" s="92"/>
      <c r="F14" s="92"/>
      <c r="G14" s="92"/>
      <c r="H14" s="92"/>
      <c r="I14" s="63">
        <f t="shared" si="0"/>
        <v>8</v>
      </c>
      <c r="J14" s="63" t="e">
        <f t="array" ref="J14">INDEX($I$31:$I$38,MATCH(1,(G14=$D$31:$D$38)*(D14=$F$31:$F$38),0))</f>
        <v>#N/A</v>
      </c>
      <c r="K14" s="63" t="e">
        <f t="array" ref="K14">INDEX($J$31:$J$38,MATCH(1,(G14=$D$31:$D$38)*(D14=$F$31:$F$38),0))</f>
        <v>#N/A</v>
      </c>
      <c r="L14" s="63" t="e">
        <f t="array" ref="L14">INDEX($K$31:$K$38,MATCH(1,(G14=$D$31:$D$38)*(D14=$F$31:$F$38),0))</f>
        <v>#N/A</v>
      </c>
      <c r="M14" s="63" t="e">
        <f t="array" ref="M14">INDEX($L$31:$L$38,MATCH(1,(G14=$D$31:$D$38)*(D14=$F$31:$F$38),0))</f>
        <v>#N/A</v>
      </c>
      <c r="N14" s="63" t="e">
        <f t="array" ref="N14">INDEX($M$31:$M$38,MATCH(1,(G14=$D$31:$D$38)*(D14=$F$31:$F$38),0))</f>
        <v>#N/A</v>
      </c>
      <c r="O14" s="63"/>
      <c r="P14" s="79">
        <f t="shared" si="1"/>
        <v>0</v>
      </c>
      <c r="Q14" s="80">
        <f t="shared" si="2"/>
        <v>0</v>
      </c>
      <c r="R14" s="81" t="str">
        <f t="shared" si="3"/>
        <v/>
      </c>
      <c r="S14" s="26"/>
      <c r="U14" s="182"/>
    </row>
    <row r="15" spans="1:21">
      <c r="A15" s="8"/>
      <c r="U15" s="182"/>
    </row>
    <row r="16" spans="1:21">
      <c r="A16" s="8"/>
      <c r="H16" s="10">
        <f>SUM(H7:H14)</f>
        <v>1</v>
      </c>
      <c r="I16" s="10"/>
      <c r="J16" s="10"/>
      <c r="K16" s="10"/>
      <c r="L16" s="10"/>
      <c r="M16" s="10"/>
      <c r="N16" s="10"/>
      <c r="O16" s="10"/>
      <c r="P16" s="99">
        <f>SUM(P7:P14)</f>
        <v>3.7039692223524712E-2</v>
      </c>
      <c r="Q16" s="99">
        <f>SUM(Q7:Q14)</f>
        <v>143.01039468542359</v>
      </c>
      <c r="R16" s="64">
        <f>SUM(R7:R14)</f>
        <v>35</v>
      </c>
      <c r="U16" s="182"/>
    </row>
    <row r="17" spans="1:21">
      <c r="A17" s="8"/>
      <c r="C17" s="9"/>
      <c r="D17" s="9"/>
      <c r="U17" s="182"/>
    </row>
    <row r="18" spans="1:21">
      <c r="A18" s="8"/>
      <c r="C18" s="37" t="s">
        <v>90</v>
      </c>
      <c r="D18" s="38" t="s">
        <v>428</v>
      </c>
      <c r="E18" s="39" t="s">
        <v>91</v>
      </c>
      <c r="G18" s="63" t="s">
        <v>113</v>
      </c>
      <c r="J18">
        <f>J7*L7</f>
        <v>42.24</v>
      </c>
      <c r="K18">
        <f>K7*M7</f>
        <v>40.320000000000007</v>
      </c>
      <c r="L18">
        <f>P30-Q30</f>
        <v>75.5</v>
      </c>
      <c r="U18" s="182"/>
    </row>
    <row r="19" spans="1:21">
      <c r="A19" s="8"/>
      <c r="C19" s="15" t="s">
        <v>429</v>
      </c>
      <c r="D19" s="40">
        <v>35</v>
      </c>
      <c r="E19" s="25" t="s">
        <v>146</v>
      </c>
      <c r="G19" s="48">
        <v>8</v>
      </c>
      <c r="U19" s="182"/>
    </row>
    <row r="20" spans="1:21">
      <c r="A20" s="8"/>
      <c r="E20" s="25" t="s">
        <v>147</v>
      </c>
      <c r="U20" s="182"/>
    </row>
    <row r="21" spans="1:21">
      <c r="A21" s="8"/>
      <c r="U21" s="182"/>
    </row>
    <row r="22" spans="1:21">
      <c r="A22" s="8"/>
      <c r="U22" s="182"/>
    </row>
    <row r="23" spans="1:21" ht="15" customHeight="1">
      <c r="A23" s="8"/>
      <c r="C23" t="s">
        <v>430</v>
      </c>
      <c r="D23" s="38" t="s">
        <v>431</v>
      </c>
      <c r="E23" s="38" t="s">
        <v>162</v>
      </c>
      <c r="U23" s="182"/>
    </row>
    <row r="24" spans="1:21">
      <c r="A24" s="8"/>
      <c r="D24" s="25" t="s">
        <v>432</v>
      </c>
      <c r="E24" s="25">
        <v>1.8599999999999999E-4</v>
      </c>
      <c r="U24" s="182"/>
    </row>
    <row r="25" spans="1:21">
      <c r="A25" s="8"/>
      <c r="D25" s="25" t="s">
        <v>433</v>
      </c>
      <c r="E25" s="25">
        <v>1.189E-4</v>
      </c>
      <c r="U25" s="182"/>
    </row>
    <row r="26" spans="1:21" ht="15" customHeight="1">
      <c r="A26" s="8"/>
      <c r="D26" s="25" t="s">
        <v>434</v>
      </c>
      <c r="E26" s="25">
        <v>2.3699999999999999E-4</v>
      </c>
      <c r="U26" s="182"/>
    </row>
    <row r="27" spans="1:21">
      <c r="A27" s="8"/>
      <c r="D27" s="25" t="s">
        <v>435</v>
      </c>
      <c r="E27" s="25">
        <v>2.5900000000000001E-4</v>
      </c>
      <c r="U27" s="182"/>
    </row>
    <row r="28" spans="1:21">
      <c r="A28" s="8"/>
      <c r="U28" s="182"/>
    </row>
    <row r="29" spans="1:21">
      <c r="A29" s="8"/>
      <c r="F29" s="479" t="s">
        <v>436</v>
      </c>
      <c r="G29" s="484" t="s">
        <v>437</v>
      </c>
      <c r="H29" s="486" t="s">
        <v>431</v>
      </c>
      <c r="I29" s="481" t="s">
        <v>438</v>
      </c>
      <c r="J29" s="483"/>
      <c r="K29" s="481" t="s">
        <v>439</v>
      </c>
      <c r="L29" s="482"/>
      <c r="M29" s="484" t="s">
        <v>162</v>
      </c>
      <c r="O29" s="256" t="s">
        <v>440</v>
      </c>
      <c r="P29" s="256" t="s">
        <v>441</v>
      </c>
      <c r="Q29" s="256" t="s">
        <v>442</v>
      </c>
      <c r="U29" s="182"/>
    </row>
    <row r="30" spans="1:21">
      <c r="A30" s="8"/>
      <c r="C30" s="38" t="s">
        <v>443</v>
      </c>
      <c r="D30" s="38" t="s">
        <v>444</v>
      </c>
      <c r="F30" s="480"/>
      <c r="G30" s="485"/>
      <c r="H30" s="487"/>
      <c r="I30" s="38" t="s">
        <v>424</v>
      </c>
      <c r="J30" s="38" t="s">
        <v>425</v>
      </c>
      <c r="K30" s="38" t="s">
        <v>426</v>
      </c>
      <c r="L30" s="312" t="s">
        <v>427</v>
      </c>
      <c r="M30" s="485"/>
      <c r="O30" s="257">
        <v>0.9</v>
      </c>
      <c r="P30" s="257">
        <v>127.5</v>
      </c>
      <c r="Q30" s="257">
        <v>52</v>
      </c>
      <c r="U30" s="182"/>
    </row>
    <row r="31" spans="1:21">
      <c r="A31" s="8"/>
      <c r="C31" t="s">
        <v>317</v>
      </c>
      <c r="D31" t="s">
        <v>445</v>
      </c>
      <c r="F31" t="s">
        <v>146</v>
      </c>
      <c r="G31" s="48" t="s">
        <v>446</v>
      </c>
      <c r="H31" s="25" t="s">
        <v>433</v>
      </c>
      <c r="I31" s="48">
        <v>2.25</v>
      </c>
      <c r="J31" s="48">
        <v>1.1200000000000001</v>
      </c>
      <c r="K31" s="48">
        <v>32.4</v>
      </c>
      <c r="L31" s="48">
        <v>43.8</v>
      </c>
      <c r="M31" s="255">
        <f t="shared" ref="M31:M36" si="4">VLOOKUP(H31,$D$24:$E$27,2,FALSE)</f>
        <v>1.189E-4</v>
      </c>
      <c r="U31" s="182"/>
    </row>
    <row r="32" spans="1:21">
      <c r="A32" s="8"/>
      <c r="C32" t="s">
        <v>447</v>
      </c>
      <c r="D32" t="s">
        <v>317</v>
      </c>
      <c r="F32" t="s">
        <v>146</v>
      </c>
      <c r="G32" s="48" t="s">
        <v>448</v>
      </c>
      <c r="H32" s="25" t="s">
        <v>434</v>
      </c>
      <c r="I32" s="48">
        <v>2.15</v>
      </c>
      <c r="J32" s="48">
        <v>1.1200000000000001</v>
      </c>
      <c r="K32" s="48">
        <v>4.8</v>
      </c>
      <c r="L32" s="48">
        <v>6</v>
      </c>
      <c r="M32" s="48">
        <f t="shared" si="4"/>
        <v>2.3699999999999999E-4</v>
      </c>
      <c r="U32" s="182"/>
    </row>
    <row r="33" spans="1:21">
      <c r="A33" s="8"/>
      <c r="C33" t="s">
        <v>445</v>
      </c>
      <c r="D33" t="s">
        <v>447</v>
      </c>
      <c r="F33" t="s">
        <v>147</v>
      </c>
      <c r="G33" s="48" t="s">
        <v>449</v>
      </c>
      <c r="H33" s="25" t="s">
        <v>432</v>
      </c>
      <c r="I33" s="48">
        <v>1.6</v>
      </c>
      <c r="J33" s="48">
        <v>1.1200000000000001</v>
      </c>
      <c r="K33" s="48">
        <v>32.4</v>
      </c>
      <c r="L33" s="48">
        <v>43.8</v>
      </c>
      <c r="M33" s="48">
        <f t="shared" si="4"/>
        <v>1.8599999999999999E-4</v>
      </c>
      <c r="U33" s="182"/>
    </row>
    <row r="34" spans="1:21">
      <c r="A34" s="8"/>
      <c r="C34" t="s">
        <v>450</v>
      </c>
      <c r="D34" t="s">
        <v>445</v>
      </c>
      <c r="F34" t="s">
        <v>147</v>
      </c>
      <c r="G34" s="48" t="s">
        <v>446</v>
      </c>
      <c r="H34" s="25" t="s">
        <v>433</v>
      </c>
      <c r="I34" s="48">
        <v>1.6</v>
      </c>
      <c r="J34" s="48">
        <v>1.1200000000000001</v>
      </c>
      <c r="K34" s="48">
        <v>32.4</v>
      </c>
      <c r="L34" s="48">
        <v>43.8</v>
      </c>
      <c r="M34" s="48">
        <f t="shared" si="4"/>
        <v>1.189E-4</v>
      </c>
      <c r="U34" s="182"/>
    </row>
    <row r="35" spans="1:21">
      <c r="A35" s="8"/>
      <c r="D35" t="s">
        <v>317</v>
      </c>
      <c r="F35" t="s">
        <v>147</v>
      </c>
      <c r="G35" s="48" t="s">
        <v>451</v>
      </c>
      <c r="H35" s="25" t="s">
        <v>435</v>
      </c>
      <c r="I35" s="48">
        <v>1.6</v>
      </c>
      <c r="J35" s="48">
        <v>1.1200000000000001</v>
      </c>
      <c r="K35" s="48">
        <v>26.4</v>
      </c>
      <c r="L35" s="48">
        <v>36</v>
      </c>
      <c r="M35" s="48">
        <f t="shared" si="4"/>
        <v>2.5900000000000001E-4</v>
      </c>
      <c r="U35" s="182"/>
    </row>
    <row r="36" spans="1:21">
      <c r="A36" s="8"/>
      <c r="D36" t="s">
        <v>447</v>
      </c>
      <c r="F36" t="s">
        <v>146</v>
      </c>
      <c r="G36" s="48" t="s">
        <v>449</v>
      </c>
      <c r="H36" s="25" t="s">
        <v>432</v>
      </c>
      <c r="I36" s="48">
        <v>2.25</v>
      </c>
      <c r="J36" s="48">
        <v>1.1200000000000001</v>
      </c>
      <c r="K36" s="48">
        <v>32.4</v>
      </c>
      <c r="L36" s="48">
        <v>43.8</v>
      </c>
      <c r="M36" s="48">
        <f t="shared" si="4"/>
        <v>1.8599999999999999E-4</v>
      </c>
      <c r="U36" s="182"/>
    </row>
    <row r="37" spans="1:21">
      <c r="A37" s="8"/>
      <c r="D37" t="s">
        <v>450</v>
      </c>
      <c r="F37" t="s">
        <v>146</v>
      </c>
      <c r="G37" s="48" t="s">
        <v>446</v>
      </c>
      <c r="H37" s="25" t="s">
        <v>433</v>
      </c>
      <c r="I37" s="48">
        <v>2.25</v>
      </c>
      <c r="J37" s="48">
        <v>1.1200000000000001</v>
      </c>
      <c r="K37" s="48">
        <v>32.4</v>
      </c>
      <c r="L37" s="48">
        <v>43.8</v>
      </c>
      <c r="M37" s="255">
        <f>VLOOKUP(H37,$D$24:$E$27,2,FALSE)</f>
        <v>1.189E-4</v>
      </c>
      <c r="U37" s="182"/>
    </row>
    <row r="38" spans="1:21">
      <c r="A38" s="8"/>
      <c r="D38" t="s">
        <v>450</v>
      </c>
      <c r="F38" t="s">
        <v>147</v>
      </c>
      <c r="G38" s="48" t="s">
        <v>446</v>
      </c>
      <c r="H38" s="25" t="s">
        <v>433</v>
      </c>
      <c r="I38" s="48">
        <v>1.6</v>
      </c>
      <c r="J38" s="48">
        <v>1.1200000000000001</v>
      </c>
      <c r="K38" s="48">
        <v>32.4</v>
      </c>
      <c r="L38" s="48">
        <v>43.8</v>
      </c>
      <c r="M38" s="48">
        <f>VLOOKUP(H38,$D$24:$E$27,2,FALSE)</f>
        <v>1.189E-4</v>
      </c>
      <c r="U38" s="182"/>
    </row>
    <row r="39" spans="1:21">
      <c r="A39" s="8"/>
      <c r="U39" s="182"/>
    </row>
    <row r="40" spans="1:21">
      <c r="A40" s="8"/>
      <c r="U40" s="182"/>
    </row>
    <row r="41" spans="1:21">
      <c r="A41" s="8"/>
      <c r="U41" s="182"/>
    </row>
    <row r="42" spans="1:21">
      <c r="A42" s="8"/>
      <c r="U42" s="182"/>
    </row>
    <row r="43" spans="1:21">
      <c r="A43" s="8"/>
      <c r="U43" s="182"/>
    </row>
    <row r="44" spans="1:21">
      <c r="A44" s="8"/>
      <c r="U44" s="182"/>
    </row>
    <row r="45" spans="1:21">
      <c r="A45" s="8"/>
      <c r="U45" s="182"/>
    </row>
    <row r="46" spans="1:21">
      <c r="A46" s="8"/>
      <c r="U46" s="182"/>
    </row>
    <row r="47" spans="1:21">
      <c r="A47" s="8"/>
      <c r="U47" s="182"/>
    </row>
    <row r="48" spans="1:21">
      <c r="A48" s="8"/>
      <c r="U48" s="182"/>
    </row>
    <row r="49" spans="1:21">
      <c r="A49" s="8"/>
      <c r="U49" s="182"/>
    </row>
    <row r="50" spans="1:21">
      <c r="A50" s="8"/>
      <c r="U50" s="182"/>
    </row>
    <row r="51" spans="1:21">
      <c r="A51" s="8"/>
      <c r="U51" s="182"/>
    </row>
    <row r="52" spans="1:21">
      <c r="A52" s="8"/>
      <c r="U52" s="182"/>
    </row>
    <row r="53" spans="1:21">
      <c r="A53" s="8"/>
      <c r="U53" s="182"/>
    </row>
    <row r="54" spans="1:21">
      <c r="A54" s="8"/>
      <c r="U54" s="182"/>
    </row>
    <row r="55" spans="1:21">
      <c r="A55" s="8"/>
      <c r="U55" s="182"/>
    </row>
    <row r="56" spans="1:21">
      <c r="A56" s="8"/>
      <c r="U56" s="182"/>
    </row>
    <row r="57" spans="1:21">
      <c r="A57" s="8"/>
      <c r="U57" s="182"/>
    </row>
    <row r="58" spans="1:21">
      <c r="A58" s="8"/>
      <c r="U58" s="182"/>
    </row>
    <row r="59" spans="1:21">
      <c r="A59" s="8"/>
      <c r="U59" s="182"/>
    </row>
    <row r="60" spans="1:21">
      <c r="A60" s="8"/>
      <c r="U60" s="182"/>
    </row>
    <row r="61" spans="1:21">
      <c r="A61" s="8"/>
      <c r="U61" s="182"/>
    </row>
    <row r="62" spans="1:21">
      <c r="A62" s="8"/>
      <c r="U62" s="182"/>
    </row>
    <row r="63" spans="1:21">
      <c r="A63" s="8"/>
      <c r="U63" s="182"/>
    </row>
    <row r="64" spans="1:21">
      <c r="A64" s="8"/>
      <c r="U64" s="182"/>
    </row>
    <row r="65" spans="1:21">
      <c r="A65" s="8"/>
      <c r="U65" s="182"/>
    </row>
    <row r="66" spans="1:21">
      <c r="A66" s="8"/>
      <c r="U66" s="182"/>
    </row>
    <row r="67" spans="1:21">
      <c r="A67" s="8"/>
      <c r="U67" s="182"/>
    </row>
    <row r="68" spans="1:21">
      <c r="A68" s="8"/>
      <c r="U68" s="182"/>
    </row>
    <row r="69" spans="1:21">
      <c r="A69" s="8"/>
      <c r="U69" s="182"/>
    </row>
    <row r="70" spans="1:21">
      <c r="A70" s="8"/>
      <c r="U70" s="182"/>
    </row>
    <row r="71" spans="1:21">
      <c r="A71" s="8"/>
      <c r="U71" s="182"/>
    </row>
    <row r="72" spans="1:21">
      <c r="A72" s="182"/>
      <c r="B72" s="182"/>
      <c r="C72" s="182"/>
      <c r="D72" s="182"/>
      <c r="E72" s="182"/>
      <c r="F72" s="182"/>
      <c r="G72" s="182"/>
      <c r="H72" s="182"/>
      <c r="I72" s="182"/>
      <c r="J72" s="182"/>
      <c r="K72" s="182"/>
      <c r="L72" s="182"/>
      <c r="M72" s="182"/>
      <c r="N72" s="182"/>
      <c r="O72" s="182"/>
      <c r="P72" s="182"/>
      <c r="Q72" s="182"/>
      <c r="R72" s="182"/>
      <c r="S72" s="182"/>
      <c r="T72" s="182"/>
      <c r="U72" s="182"/>
    </row>
    <row r="73" spans="1:21">
      <c r="A73" s="182"/>
      <c r="B73" s="182"/>
      <c r="C73" s="182"/>
      <c r="D73" s="182"/>
      <c r="E73" s="182"/>
      <c r="F73" s="182"/>
      <c r="G73" s="182"/>
      <c r="H73" s="182"/>
      <c r="I73" s="182"/>
      <c r="J73" s="182"/>
      <c r="K73" s="182"/>
      <c r="L73" s="182"/>
      <c r="M73" s="182"/>
      <c r="N73" s="182"/>
      <c r="O73" s="182"/>
      <c r="P73" s="182"/>
      <c r="Q73" s="182"/>
      <c r="R73" s="182"/>
      <c r="S73" s="182"/>
      <c r="T73" s="182"/>
      <c r="U73" s="182"/>
    </row>
    <row r="74" spans="1:21">
      <c r="A74" s="132"/>
      <c r="B74" s="132"/>
      <c r="C74" s="132"/>
      <c r="D74" s="132"/>
      <c r="E74" s="132"/>
      <c r="F74" s="132"/>
      <c r="G74" s="132"/>
      <c r="H74" s="132"/>
      <c r="I74" s="132"/>
      <c r="J74" s="132"/>
      <c r="K74" s="132"/>
      <c r="L74" s="132"/>
      <c r="M74" s="132"/>
      <c r="N74" s="132"/>
      <c r="O74" s="132"/>
      <c r="P74" s="132"/>
      <c r="Q74" s="132"/>
      <c r="R74" s="132"/>
      <c r="S74" s="132"/>
      <c r="T74" s="132"/>
      <c r="U74" s="132"/>
    </row>
    <row r="75" spans="1:21">
      <c r="A75" s="132"/>
      <c r="B75" s="132"/>
      <c r="C75" s="132"/>
      <c r="D75" s="132"/>
      <c r="E75" s="132"/>
      <c r="F75" s="132"/>
      <c r="G75" s="132"/>
      <c r="H75" s="132"/>
      <c r="I75" s="132"/>
      <c r="J75" s="132"/>
      <c r="K75" s="132"/>
      <c r="L75" s="132"/>
      <c r="M75" s="132"/>
      <c r="N75" s="132"/>
      <c r="O75" s="132"/>
      <c r="P75" s="132"/>
      <c r="Q75" s="132"/>
      <c r="R75" s="132"/>
      <c r="S75" s="132"/>
      <c r="T75" s="132"/>
      <c r="U75" s="132"/>
    </row>
    <row r="76" spans="1:21">
      <c r="A76" s="132"/>
      <c r="B76" s="132"/>
      <c r="C76" s="132"/>
      <c r="D76" s="132"/>
      <c r="E76" s="132"/>
      <c r="F76" s="132"/>
      <c r="G76" s="132"/>
      <c r="H76" s="132"/>
      <c r="I76" s="132"/>
      <c r="J76" s="132"/>
      <c r="K76" s="132"/>
      <c r="L76" s="132"/>
      <c r="M76" s="132"/>
      <c r="N76" s="132"/>
      <c r="O76" s="132"/>
      <c r="P76" s="132"/>
      <c r="Q76" s="132"/>
      <c r="R76" s="132"/>
      <c r="S76" s="132"/>
      <c r="T76" s="132"/>
      <c r="U76" s="132"/>
    </row>
    <row r="77" spans="1:21">
      <c r="A77" s="132"/>
      <c r="B77" s="132"/>
      <c r="C77" s="132"/>
      <c r="D77" s="132"/>
      <c r="E77" s="132"/>
      <c r="F77" s="132"/>
      <c r="G77" s="132"/>
      <c r="H77" s="132"/>
      <c r="I77" s="132"/>
      <c r="J77" s="132"/>
      <c r="K77" s="132"/>
      <c r="L77" s="132"/>
      <c r="M77" s="132"/>
      <c r="N77" s="132"/>
      <c r="O77" s="132"/>
      <c r="P77" s="132"/>
      <c r="Q77" s="132"/>
      <c r="R77" s="132"/>
      <c r="S77" s="132"/>
      <c r="T77" s="132"/>
      <c r="U77" s="132"/>
    </row>
    <row r="78" spans="1:21">
      <c r="A78" s="132"/>
      <c r="B78" s="132"/>
      <c r="C78" s="132"/>
      <c r="D78" s="132"/>
      <c r="E78" s="132"/>
      <c r="F78" s="132"/>
      <c r="G78" s="132"/>
      <c r="H78" s="132"/>
      <c r="I78" s="132"/>
      <c r="J78" s="132"/>
      <c r="K78" s="132"/>
      <c r="L78" s="132"/>
      <c r="M78" s="132"/>
      <c r="N78" s="132"/>
      <c r="O78" s="132"/>
      <c r="P78" s="132"/>
      <c r="Q78" s="132"/>
      <c r="R78" s="132"/>
      <c r="S78" s="132"/>
      <c r="T78" s="132"/>
      <c r="U78" s="132"/>
    </row>
    <row r="79" spans="1:21">
      <c r="A79" s="132"/>
      <c r="B79" s="132"/>
      <c r="C79" s="132"/>
      <c r="D79" s="132"/>
      <c r="E79" s="132"/>
      <c r="F79" s="132"/>
      <c r="G79" s="132"/>
      <c r="H79" s="132"/>
      <c r="I79" s="132"/>
      <c r="J79" s="132"/>
      <c r="K79" s="132"/>
      <c r="L79" s="132"/>
      <c r="M79" s="132"/>
      <c r="N79" s="132"/>
      <c r="O79" s="132"/>
      <c r="P79" s="132"/>
      <c r="Q79" s="132"/>
      <c r="R79" s="132"/>
      <c r="S79" s="132"/>
      <c r="T79" s="132"/>
      <c r="U79" s="132"/>
    </row>
    <row r="80" spans="1:21">
      <c r="A80" s="132"/>
      <c r="B80" s="132"/>
      <c r="C80" s="132"/>
      <c r="D80" s="132"/>
      <c r="E80" s="132"/>
      <c r="F80" s="132"/>
      <c r="G80" s="132"/>
      <c r="H80" s="132"/>
      <c r="I80" s="132"/>
      <c r="J80" s="132"/>
      <c r="K80" s="132"/>
      <c r="L80" s="132"/>
      <c r="M80" s="132"/>
      <c r="N80" s="132"/>
      <c r="O80" s="132"/>
      <c r="P80" s="132"/>
      <c r="Q80" s="132"/>
      <c r="R80" s="132"/>
      <c r="S80" s="132"/>
      <c r="T80" s="132"/>
      <c r="U80" s="132"/>
    </row>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sheetData>
  <sheetProtection selectLockedCells="1"/>
  <mergeCells count="9">
    <mergeCell ref="B2:R2"/>
    <mergeCell ref="F29:F30"/>
    <mergeCell ref="K29:L29"/>
    <mergeCell ref="I29:J29"/>
    <mergeCell ref="G29:G30"/>
    <mergeCell ref="H29:H30"/>
    <mergeCell ref="M29:M30"/>
    <mergeCell ref="B3:C3"/>
    <mergeCell ref="D3:G4"/>
  </mergeCells>
  <dataValidations count="2">
    <dataValidation type="list" allowBlank="1" showInputMessage="1" showErrorMessage="1" sqref="D7:D14" xr:uid="{00000000-0002-0000-0A00-000000000000}">
      <formula1>$E$19:$E$20</formula1>
    </dataValidation>
    <dataValidation type="list" allowBlank="1" showInputMessage="1" showErrorMessage="1" sqref="G7:G14" xr:uid="{00000000-0002-0000-0A00-000001000000}">
      <formula1>$C$31:$C$34</formula1>
    </dataValidation>
  </dataValidations>
  <hyperlinks>
    <hyperlink ref="B3" location="'Calculator Index'!A1" display="Return to Index" xr:uid="{00000000-0004-0000-0A00-000000000000}"/>
    <hyperlink ref="B3:C3" location="'Project Summary'!A1" display="Return to Index" xr:uid="{00000000-0004-0000-0A00-000001000000}"/>
  </hyperlink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dimension ref="A1:BW597"/>
  <sheetViews>
    <sheetView zoomScale="90" zoomScaleNormal="90" workbookViewId="0">
      <selection activeCell="E8" sqref="E8"/>
    </sheetView>
  </sheetViews>
  <sheetFormatPr defaultColWidth="9.140625" defaultRowHeight="15"/>
  <cols>
    <col min="1" max="1" width="3.7109375" customWidth="1"/>
    <col min="2" max="2" width="6.5703125" customWidth="1"/>
    <col min="3" max="3" width="36.42578125" customWidth="1"/>
    <col min="4" max="4" width="19.85546875" customWidth="1"/>
    <col min="5" max="5" width="18.140625" customWidth="1"/>
    <col min="6" max="6" width="17.140625" customWidth="1"/>
    <col min="7" max="7" width="8.7109375" bestFit="1" customWidth="1"/>
    <col min="8" max="8" width="16.7109375" customWidth="1"/>
    <col min="9" max="12" width="12.85546875" customWidth="1"/>
    <col min="13" max="13" width="38.5703125" hidden="1" customWidth="1"/>
    <col min="14" max="14" width="23.42578125" hidden="1" customWidth="1"/>
    <col min="15" max="15" width="24.85546875" hidden="1" customWidth="1"/>
    <col min="16" max="16" width="15.85546875" hidden="1" customWidth="1"/>
    <col min="17" max="18" width="13.28515625" hidden="1" customWidth="1"/>
    <col min="19" max="19" width="20.28515625" hidden="1" customWidth="1"/>
    <col min="20" max="20" width="16.5703125" hidden="1" customWidth="1"/>
    <col min="21" max="21" width="22" hidden="1" customWidth="1"/>
    <col min="22" max="39" width="13.28515625" hidden="1" customWidth="1"/>
    <col min="40" max="49" width="13.28515625" customWidth="1"/>
    <col min="50" max="55" width="27" customWidth="1"/>
    <col min="56" max="56" width="30.140625" customWidth="1"/>
    <col min="57" max="58" width="15.140625" customWidth="1"/>
    <col min="59" max="60" width="14.85546875" customWidth="1"/>
    <col min="61" max="64" width="21.42578125" customWidth="1"/>
    <col min="65" max="68" width="20.42578125" customWidth="1"/>
    <col min="69" max="69" width="15.42578125" customWidth="1"/>
    <col min="70" max="70" width="16.5703125" customWidth="1"/>
    <col min="71" max="71" width="12.7109375" customWidth="1"/>
    <col min="72" max="72" width="18" customWidth="1"/>
    <col min="73" max="73" width="17" customWidth="1"/>
    <col min="74" max="74" width="16.42578125" customWidth="1"/>
    <col min="75" max="75" width="8" customWidth="1"/>
    <col min="76" max="16384" width="9.140625" style="132"/>
  </cols>
  <sheetData>
    <row r="1" spans="1:43" s="132" customFormat="1" ht="19.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82"/>
    </row>
    <row r="2" spans="1:43" s="132" customFormat="1" ht="27" customHeight="1">
      <c r="A2" s="1"/>
      <c r="B2" s="308" t="s">
        <v>452</v>
      </c>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6"/>
      <c r="AQ2" s="182"/>
    </row>
    <row r="3" spans="1:43" s="132" customFormat="1" ht="23.25" customHeight="1">
      <c r="A3" s="1"/>
      <c r="B3" s="305" t="s">
        <v>87</v>
      </c>
      <c r="C3" s="304"/>
      <c r="D3" s="490" t="s">
        <v>453</v>
      </c>
      <c r="E3" s="490"/>
      <c r="F3" s="490"/>
      <c r="G3" s="490"/>
      <c r="H3" s="490"/>
      <c r="I3" s="490"/>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82"/>
    </row>
    <row r="4" spans="1:43" s="132" customFormat="1" ht="53.25" customHeight="1">
      <c r="A4" s="1"/>
      <c r="B4" s="1"/>
      <c r="C4" s="1"/>
      <c r="D4" s="490"/>
      <c r="E4" s="490"/>
      <c r="F4" s="490"/>
      <c r="G4" s="490"/>
      <c r="H4" s="490"/>
      <c r="I4" s="490"/>
      <c r="J4" s="1"/>
      <c r="K4" s="1"/>
      <c r="L4" s="1"/>
      <c r="M4" s="296" t="s">
        <v>454</v>
      </c>
      <c r="N4" s="296" t="s">
        <v>455</v>
      </c>
      <c r="O4" s="296" t="s">
        <v>456</v>
      </c>
      <c r="P4" s="296" t="s">
        <v>454</v>
      </c>
      <c r="Q4" s="296" t="s">
        <v>455</v>
      </c>
      <c r="R4" s="296" t="s">
        <v>456</v>
      </c>
      <c r="S4" s="296" t="s">
        <v>454</v>
      </c>
      <c r="T4" s="296" t="s">
        <v>455</v>
      </c>
      <c r="U4" s="296" t="s">
        <v>456</v>
      </c>
      <c r="V4" s="296"/>
      <c r="W4" s="296" t="s">
        <v>457</v>
      </c>
      <c r="X4" s="296" t="s">
        <v>458</v>
      </c>
      <c r="Y4" s="296" t="s">
        <v>455</v>
      </c>
      <c r="Z4" s="296" t="s">
        <v>456</v>
      </c>
      <c r="AA4" s="296" t="s">
        <v>457</v>
      </c>
      <c r="AB4" s="296" t="s">
        <v>458</v>
      </c>
      <c r="AC4" s="296" t="s">
        <v>455</v>
      </c>
      <c r="AD4" s="296" t="s">
        <v>456</v>
      </c>
      <c r="AE4" s="296" t="s">
        <v>457</v>
      </c>
      <c r="AF4" s="296" t="s">
        <v>458</v>
      </c>
      <c r="AG4" s="296" t="s">
        <v>455</v>
      </c>
      <c r="AH4" s="296" t="s">
        <v>456</v>
      </c>
      <c r="AI4" s="296"/>
      <c r="AJ4" s="296"/>
      <c r="AK4" s="296"/>
      <c r="AL4" s="296"/>
      <c r="AM4" s="296"/>
      <c r="AN4" s="1"/>
      <c r="AO4" s="1"/>
      <c r="AP4" s="1"/>
      <c r="AQ4" s="182"/>
    </row>
    <row r="5" spans="1:43" s="132" customFormat="1" ht="9" customHeight="1" thickBot="1">
      <c r="A5" s="1"/>
      <c r="B5" s="1"/>
      <c r="C5" s="1"/>
      <c r="D5" s="1"/>
      <c r="E5" s="1"/>
      <c r="F5" s="1"/>
      <c r="G5" s="1"/>
      <c r="H5" s="1"/>
      <c r="I5" s="1"/>
      <c r="J5" s="1"/>
      <c r="K5" s="1"/>
      <c r="L5" s="1"/>
      <c r="M5" s="8"/>
      <c r="N5" s="8"/>
      <c r="O5" s="8"/>
      <c r="P5" s="8"/>
      <c r="Q5" s="8"/>
      <c r="R5" s="8"/>
      <c r="S5" s="8"/>
      <c r="T5" s="8"/>
      <c r="U5" s="8"/>
      <c r="V5" s="8"/>
      <c r="W5" s="8"/>
      <c r="X5" s="8"/>
      <c r="Y5" s="8"/>
      <c r="Z5" s="8"/>
      <c r="AA5" s="8"/>
      <c r="AB5" s="8"/>
      <c r="AC5" s="8"/>
      <c r="AD5" s="8"/>
      <c r="AE5" s="8"/>
      <c r="AF5" s="8"/>
      <c r="AG5" s="8"/>
      <c r="AH5" s="8"/>
      <c r="AI5" s="8"/>
      <c r="AJ5" s="8"/>
      <c r="AK5" s="8"/>
      <c r="AL5" s="8"/>
      <c r="AM5" s="8"/>
      <c r="AN5" s="1"/>
      <c r="AO5" s="1"/>
      <c r="AP5" s="1"/>
      <c r="AQ5" s="182"/>
    </row>
    <row r="6" spans="1:43" s="132" customFormat="1" ht="18" customHeight="1" thickBot="1">
      <c r="A6" s="1"/>
      <c r="B6" s="1"/>
      <c r="C6" s="1"/>
      <c r="D6" s="488" t="s">
        <v>459</v>
      </c>
      <c r="E6" s="488"/>
      <c r="F6" s="488"/>
      <c r="G6" s="489"/>
      <c r="H6" s="303" t="s">
        <v>460</v>
      </c>
      <c r="I6" s="302"/>
      <c r="J6" s="302"/>
      <c r="K6" s="302"/>
      <c r="L6" s="302"/>
      <c r="M6" s="299" t="s">
        <v>461</v>
      </c>
      <c r="N6" s="298"/>
      <c r="O6" s="298"/>
      <c r="P6" s="298"/>
      <c r="Q6" s="298"/>
      <c r="R6" s="298"/>
      <c r="S6" s="298"/>
      <c r="T6" s="298"/>
      <c r="U6" s="297"/>
      <c r="V6" s="301"/>
      <c r="W6" s="300"/>
      <c r="X6" s="299" t="s">
        <v>462</v>
      </c>
      <c r="Y6" s="298"/>
      <c r="Z6" s="298"/>
      <c r="AA6" s="298"/>
      <c r="AB6" s="298"/>
      <c r="AC6" s="298"/>
      <c r="AD6" s="298"/>
      <c r="AE6" s="298"/>
      <c r="AF6" s="298"/>
      <c r="AG6" s="298"/>
      <c r="AH6" s="297"/>
      <c r="AI6" s="296"/>
      <c r="AJ6" s="296"/>
      <c r="AK6" s="296"/>
      <c r="AL6" s="296"/>
      <c r="AM6" s="296"/>
      <c r="AN6" s="1"/>
      <c r="AO6" s="1"/>
      <c r="AP6" s="1"/>
      <c r="AQ6" s="182"/>
    </row>
    <row r="7" spans="1:43" s="132" customFormat="1" ht="60">
      <c r="A7" s="1"/>
      <c r="B7" s="106" t="s">
        <v>89</v>
      </c>
      <c r="C7" s="107" t="s">
        <v>463</v>
      </c>
      <c r="D7" s="108" t="s">
        <v>91</v>
      </c>
      <c r="E7" s="108" t="s">
        <v>464</v>
      </c>
      <c r="F7" s="109" t="s">
        <v>465</v>
      </c>
      <c r="G7" s="108" t="s">
        <v>27</v>
      </c>
      <c r="H7" s="84" t="s">
        <v>464</v>
      </c>
      <c r="I7" s="105" t="s">
        <v>92</v>
      </c>
      <c r="J7" s="105" t="s">
        <v>93</v>
      </c>
      <c r="K7" s="85" t="s">
        <v>465</v>
      </c>
      <c r="L7" s="85" t="s">
        <v>27</v>
      </c>
      <c r="M7" s="295" t="s">
        <v>466</v>
      </c>
      <c r="N7" s="294" t="s">
        <v>466</v>
      </c>
      <c r="O7" s="294" t="s">
        <v>466</v>
      </c>
      <c r="P7" s="294" t="s">
        <v>467</v>
      </c>
      <c r="Q7" s="294" t="s">
        <v>467</v>
      </c>
      <c r="R7" s="294" t="s">
        <v>467</v>
      </c>
      <c r="S7" s="294" t="s">
        <v>468</v>
      </c>
      <c r="T7" s="294" t="s">
        <v>468</v>
      </c>
      <c r="U7" s="293" t="s">
        <v>468</v>
      </c>
      <c r="V7" s="291" t="s">
        <v>469</v>
      </c>
      <c r="W7" s="294" t="s">
        <v>466</v>
      </c>
      <c r="X7" s="294" t="s">
        <v>466</v>
      </c>
      <c r="Y7" s="294" t="s">
        <v>466</v>
      </c>
      <c r="Z7" s="294" t="s">
        <v>466</v>
      </c>
      <c r="AA7" s="294" t="s">
        <v>467</v>
      </c>
      <c r="AB7" s="294" t="s">
        <v>467</v>
      </c>
      <c r="AC7" s="294" t="s">
        <v>467</v>
      </c>
      <c r="AD7" s="294" t="s">
        <v>467</v>
      </c>
      <c r="AE7" s="294" t="s">
        <v>468</v>
      </c>
      <c r="AF7" s="294" t="s">
        <v>468</v>
      </c>
      <c r="AG7" s="294" t="s">
        <v>468</v>
      </c>
      <c r="AH7" s="293" t="s">
        <v>468</v>
      </c>
      <c r="AI7" s="291" t="s">
        <v>470</v>
      </c>
      <c r="AJ7" s="293" t="s">
        <v>471</v>
      </c>
      <c r="AK7" s="291" t="s">
        <v>472</v>
      </c>
      <c r="AL7" s="292" t="s">
        <v>473</v>
      </c>
      <c r="AM7" s="291" t="s">
        <v>474</v>
      </c>
      <c r="AN7" s="106" t="s">
        <v>115</v>
      </c>
      <c r="AO7" s="108" t="s">
        <v>116</v>
      </c>
      <c r="AP7" s="110" t="s">
        <v>30</v>
      </c>
      <c r="AQ7" s="182"/>
    </row>
    <row r="8" spans="1:43" s="132" customFormat="1" ht="21" customHeight="1">
      <c r="A8" s="1"/>
      <c r="B8" s="111">
        <v>1</v>
      </c>
      <c r="C8" s="83" t="s">
        <v>475</v>
      </c>
      <c r="D8" s="102"/>
      <c r="E8" s="102"/>
      <c r="F8" s="290"/>
      <c r="G8" s="92"/>
      <c r="H8" s="289"/>
      <c r="I8" s="288"/>
      <c r="J8" s="288"/>
      <c r="K8" s="102"/>
      <c r="L8" s="92"/>
      <c r="M8" s="175">
        <f t="shared" ref="M8:M15" si="0">IF(F8=0,0,IF(F8&lt;=1500,0.967,0))</f>
        <v>0</v>
      </c>
      <c r="N8" s="287">
        <f t="shared" ref="N8:N15" si="1">IF(AND(F8 &gt;1500, F8 &lt;= 10000),0.97,0)</f>
        <v>0</v>
      </c>
      <c r="O8" s="287">
        <f t="shared" ref="O8:O15" si="2">IF(F8 &gt; 10000,0.97,0)</f>
        <v>0</v>
      </c>
      <c r="P8" s="287">
        <f t="shared" ref="P8:P15" si="3">IF(F8=0,0,IF(F8&lt;=1500,0.967,0))</f>
        <v>0</v>
      </c>
      <c r="Q8" s="287">
        <f t="shared" ref="Q8:Q15" si="4">IF(AND(F8 &gt;1500, F8 &lt;= 10000),0.967,0)</f>
        <v>0</v>
      </c>
      <c r="R8" s="287">
        <f t="shared" ref="R8:R15" si="5">IF(F8 &gt; 10000,0.95,0)</f>
        <v>0</v>
      </c>
      <c r="S8" s="287">
        <f t="shared" ref="S8:S15" si="6">IFERROR(IF(F8 &lt;= 1500,0.0099*LN(F8)+0.815,0),0)</f>
        <v>0</v>
      </c>
      <c r="T8" s="287">
        <f t="shared" ref="T8:T15" si="7">IF(AND(F8&gt;1500,F8&lt;=10000),0.0099*LN(F8)+0.815,0)</f>
        <v>0</v>
      </c>
      <c r="U8" s="278">
        <f t="shared" ref="U8:U15" si="8">IF(F8 &gt; 10000,0.0099 *LN(F8)+0.805,0)</f>
        <v>0</v>
      </c>
      <c r="V8" s="279">
        <f t="shared" ref="V8:V15" si="9">IF(E8="VFD",SUM(M8:O8),IF(E8="VI",SUM(P8:R8),IF(E8="VFI",SUM(S8:U8),0)))</f>
        <v>0</v>
      </c>
      <c r="W8" s="287">
        <f t="shared" ref="W8:W15" si="10">IF(K8=0,0,IF(K8&lt;=350,5.71*(10^-5) * K8 +0.962,0))</f>
        <v>0</v>
      </c>
      <c r="X8" s="287">
        <f t="shared" ref="X8:X15" si="11">IF(AND(K8 &gt;350, K8 &lt;= 1500),0.982,0)</f>
        <v>0</v>
      </c>
      <c r="Y8" s="287">
        <f t="shared" ref="Y8:Y15" si="12">IF(AND(K8 &gt;1500, K8 &lt;= 10000),0.981-0.004,0)</f>
        <v>0</v>
      </c>
      <c r="Z8" s="287">
        <f t="shared" ref="Z8:Z15" si="13">IF(K8&gt;10000,0.97,0)</f>
        <v>0</v>
      </c>
      <c r="AA8" s="287">
        <f t="shared" ref="AA8:AA15" si="14">IF(K8=0,0,IF(K8&lt;=350,5.71*(10^-5)*K8+0.964,0))</f>
        <v>0</v>
      </c>
      <c r="AB8" s="287">
        <f t="shared" ref="AB8:AB15" si="15">IF(AND(K8 &gt;350, K8 &lt;= 1500),0.984,0)</f>
        <v>0</v>
      </c>
      <c r="AC8" s="287">
        <f t="shared" ref="AC8:AC15" si="16">IF(AND(K8 &gt;1500, K8 &lt;= 10000),0.98-0.004,0)</f>
        <v>0</v>
      </c>
      <c r="AD8" s="287">
        <f t="shared" ref="AD8:AD15" si="17">IF(K8&gt;10000,0.94,0)</f>
        <v>0</v>
      </c>
      <c r="AE8" s="287">
        <f t="shared" ref="AE8:AE15" si="18">IF(K8=0,0,IF(K8&lt;=350,0.011*LN(K8)+0.824,0))</f>
        <v>0</v>
      </c>
      <c r="AF8" s="287">
        <f t="shared" ref="AF8:AF15" si="19">IF(AND(K8&gt;350,K8&lt;=1500),0.011*LN(K8)+0.824,0)</f>
        <v>0</v>
      </c>
      <c r="AG8" s="287">
        <f t="shared" ref="AG8:AG15" si="20">IF(AND(K8 &gt;1500, K8 &lt;= 10000),0.011 * LN(K8) + 0.8 - 0.004,0)</f>
        <v>0</v>
      </c>
      <c r="AH8" s="278">
        <f t="shared" ref="AH8:AH15" si="21">IF(K8&gt;10000,0.0058*LN(K8) + 0.886,0)</f>
        <v>0</v>
      </c>
      <c r="AI8" s="279">
        <f t="shared" ref="AI8:AI15" si="22">IF(F8&gt;10000,$K$25,IF(AND(F8&gt;1500,F8&lt;=10000),$K$24,IF(AND(E8="VFD",F8&lt;1500),$K$23,IF(AND(F8&lt;1500,OR(E8="VI",E8="VFI")),$L$23,0))))</f>
        <v>0</v>
      </c>
      <c r="AJ8" s="278">
        <f t="shared" ref="AJ8:AJ15" si="23">IF(K8&gt;10000,$K$25,IF(AND(K8&gt;1500,K8&lt;=10000),$K$24,IF(AND(H8="VFD",K8&lt;1500),$K$23,IF(AND(K8&lt;1500,OR(H8="VI",H8="VFI")),$L$23,0))))</f>
        <v>0</v>
      </c>
      <c r="AK8" s="279">
        <f t="shared" ref="AK8:AK15" si="24">IF(H8="VFD",SUM(W8:Z8),IF(H8="VI",SUM(AA8:AD8),IF(H8="VFI",SUM(AE8:AH8),0)))</f>
        <v>0</v>
      </c>
      <c r="AL8" s="286">
        <f t="shared" ref="AL8:AL15" si="25">IFERROR((((AI8*F8*(1/V8))*G8)-((AJ8*K8*(1/AK8)))*L8)/1000,0)</f>
        <v>0</v>
      </c>
      <c r="AM8" s="279">
        <f t="shared" ref="AM8:AM15" si="26">IFERROR((((F8*(1/V8))*G8)-((K8*(1/AK8)))*L8)/1000,0)</f>
        <v>0</v>
      </c>
      <c r="AN8" s="275">
        <f t="shared" ref="AN8:AN15" si="27">AM8</f>
        <v>0</v>
      </c>
      <c r="AO8" s="45">
        <f t="shared" ref="AO8:AO15" si="28">AL8</f>
        <v>0</v>
      </c>
      <c r="AP8" s="274">
        <f t="shared" ref="AP8:AP15" si="29">IF(K8&gt;12000,0,(K8*L8)/1000*55)</f>
        <v>0</v>
      </c>
      <c r="AQ8" s="182"/>
    </row>
    <row r="9" spans="1:43" s="132" customFormat="1" ht="21" customHeight="1">
      <c r="A9" s="1"/>
      <c r="B9" s="111">
        <v>2</v>
      </c>
      <c r="C9" s="83" t="s">
        <v>475</v>
      </c>
      <c r="D9" s="102"/>
      <c r="E9" s="102"/>
      <c r="F9" s="290"/>
      <c r="G9" s="92"/>
      <c r="H9" s="289"/>
      <c r="I9" s="288"/>
      <c r="J9" s="288"/>
      <c r="K9" s="102"/>
      <c r="L9" s="92"/>
      <c r="M9" s="175">
        <f t="shared" si="0"/>
        <v>0</v>
      </c>
      <c r="N9" s="287">
        <f t="shared" si="1"/>
        <v>0</v>
      </c>
      <c r="O9" s="287">
        <f t="shared" si="2"/>
        <v>0</v>
      </c>
      <c r="P9" s="287">
        <f t="shared" si="3"/>
        <v>0</v>
      </c>
      <c r="Q9" s="287">
        <f t="shared" si="4"/>
        <v>0</v>
      </c>
      <c r="R9" s="287">
        <f t="shared" si="5"/>
        <v>0</v>
      </c>
      <c r="S9" s="287">
        <f t="shared" si="6"/>
        <v>0</v>
      </c>
      <c r="T9" s="287">
        <f t="shared" si="7"/>
        <v>0</v>
      </c>
      <c r="U9" s="278">
        <f t="shared" si="8"/>
        <v>0</v>
      </c>
      <c r="V9" s="279">
        <f t="shared" si="9"/>
        <v>0</v>
      </c>
      <c r="W9" s="287">
        <f t="shared" si="10"/>
        <v>0</v>
      </c>
      <c r="X9" s="287">
        <f t="shared" si="11"/>
        <v>0</v>
      </c>
      <c r="Y9" s="287">
        <f t="shared" si="12"/>
        <v>0</v>
      </c>
      <c r="Z9" s="287">
        <f t="shared" si="13"/>
        <v>0</v>
      </c>
      <c r="AA9" s="287">
        <f t="shared" si="14"/>
        <v>0</v>
      </c>
      <c r="AB9" s="287">
        <f t="shared" si="15"/>
        <v>0</v>
      </c>
      <c r="AC9" s="287">
        <f t="shared" si="16"/>
        <v>0</v>
      </c>
      <c r="AD9" s="287">
        <f t="shared" si="17"/>
        <v>0</v>
      </c>
      <c r="AE9" s="287">
        <f t="shared" si="18"/>
        <v>0</v>
      </c>
      <c r="AF9" s="287">
        <f t="shared" si="19"/>
        <v>0</v>
      </c>
      <c r="AG9" s="287">
        <f t="shared" si="20"/>
        <v>0</v>
      </c>
      <c r="AH9" s="278">
        <f t="shared" si="21"/>
        <v>0</v>
      </c>
      <c r="AI9" s="279">
        <f t="shared" si="22"/>
        <v>0</v>
      </c>
      <c r="AJ9" s="278">
        <f t="shared" si="23"/>
        <v>0</v>
      </c>
      <c r="AK9" s="279">
        <f t="shared" si="24"/>
        <v>0</v>
      </c>
      <c r="AL9" s="286">
        <f t="shared" si="25"/>
        <v>0</v>
      </c>
      <c r="AM9" s="279">
        <f t="shared" si="26"/>
        <v>0</v>
      </c>
      <c r="AN9" s="275">
        <f t="shared" si="27"/>
        <v>0</v>
      </c>
      <c r="AO9" s="45">
        <f t="shared" si="28"/>
        <v>0</v>
      </c>
      <c r="AP9" s="274">
        <f t="shared" si="29"/>
        <v>0</v>
      </c>
      <c r="AQ9" s="182"/>
    </row>
    <row r="10" spans="1:43" s="132" customFormat="1" ht="21" customHeight="1">
      <c r="A10" s="1"/>
      <c r="B10" s="111">
        <v>3</v>
      </c>
      <c r="C10" s="83" t="s">
        <v>475</v>
      </c>
      <c r="D10" s="102"/>
      <c r="E10" s="102"/>
      <c r="F10" s="290"/>
      <c r="G10" s="92"/>
      <c r="H10" s="289"/>
      <c r="I10" s="288"/>
      <c r="J10" s="288"/>
      <c r="K10" s="102"/>
      <c r="L10" s="92"/>
      <c r="M10" s="175">
        <f t="shared" si="0"/>
        <v>0</v>
      </c>
      <c r="N10" s="287">
        <f t="shared" si="1"/>
        <v>0</v>
      </c>
      <c r="O10" s="287">
        <f t="shared" si="2"/>
        <v>0</v>
      </c>
      <c r="P10" s="287">
        <f t="shared" si="3"/>
        <v>0</v>
      </c>
      <c r="Q10" s="287">
        <f t="shared" si="4"/>
        <v>0</v>
      </c>
      <c r="R10" s="287">
        <f t="shared" si="5"/>
        <v>0</v>
      </c>
      <c r="S10" s="287">
        <f t="shared" si="6"/>
        <v>0</v>
      </c>
      <c r="T10" s="287">
        <f t="shared" si="7"/>
        <v>0</v>
      </c>
      <c r="U10" s="278">
        <f t="shared" si="8"/>
        <v>0</v>
      </c>
      <c r="V10" s="279">
        <f t="shared" si="9"/>
        <v>0</v>
      </c>
      <c r="W10" s="287">
        <f t="shared" si="10"/>
        <v>0</v>
      </c>
      <c r="X10" s="287">
        <f t="shared" si="11"/>
        <v>0</v>
      </c>
      <c r="Y10" s="287">
        <f t="shared" si="12"/>
        <v>0</v>
      </c>
      <c r="Z10" s="287">
        <f t="shared" si="13"/>
        <v>0</v>
      </c>
      <c r="AA10" s="287">
        <f t="shared" si="14"/>
        <v>0</v>
      </c>
      <c r="AB10" s="287">
        <f t="shared" si="15"/>
        <v>0</v>
      </c>
      <c r="AC10" s="287">
        <f t="shared" si="16"/>
        <v>0</v>
      </c>
      <c r="AD10" s="287">
        <f t="shared" si="17"/>
        <v>0</v>
      </c>
      <c r="AE10" s="287">
        <f t="shared" si="18"/>
        <v>0</v>
      </c>
      <c r="AF10" s="287">
        <f t="shared" si="19"/>
        <v>0</v>
      </c>
      <c r="AG10" s="287">
        <f t="shared" si="20"/>
        <v>0</v>
      </c>
      <c r="AH10" s="278">
        <f t="shared" si="21"/>
        <v>0</v>
      </c>
      <c r="AI10" s="279">
        <f t="shared" si="22"/>
        <v>0</v>
      </c>
      <c r="AJ10" s="278">
        <f t="shared" si="23"/>
        <v>0</v>
      </c>
      <c r="AK10" s="279">
        <f t="shared" si="24"/>
        <v>0</v>
      </c>
      <c r="AL10" s="286">
        <f t="shared" si="25"/>
        <v>0</v>
      </c>
      <c r="AM10" s="279">
        <f t="shared" si="26"/>
        <v>0</v>
      </c>
      <c r="AN10" s="275">
        <f t="shared" si="27"/>
        <v>0</v>
      </c>
      <c r="AO10" s="45">
        <f t="shared" si="28"/>
        <v>0</v>
      </c>
      <c r="AP10" s="274">
        <f t="shared" si="29"/>
        <v>0</v>
      </c>
      <c r="AQ10" s="182"/>
    </row>
    <row r="11" spans="1:43" s="132" customFormat="1" ht="21" customHeight="1">
      <c r="A11" s="1"/>
      <c r="B11" s="111">
        <v>4</v>
      </c>
      <c r="C11" s="83" t="s">
        <v>475</v>
      </c>
      <c r="D11" s="102"/>
      <c r="E11" s="102"/>
      <c r="F11" s="290"/>
      <c r="G11" s="92"/>
      <c r="H11" s="289"/>
      <c r="I11" s="288"/>
      <c r="J11" s="288"/>
      <c r="K11" s="102"/>
      <c r="L11" s="92"/>
      <c r="M11" s="175">
        <f t="shared" si="0"/>
        <v>0</v>
      </c>
      <c r="N11" s="287">
        <f t="shared" si="1"/>
        <v>0</v>
      </c>
      <c r="O11" s="287">
        <f t="shared" si="2"/>
        <v>0</v>
      </c>
      <c r="P11" s="287">
        <f t="shared" si="3"/>
        <v>0</v>
      </c>
      <c r="Q11" s="287">
        <f t="shared" si="4"/>
        <v>0</v>
      </c>
      <c r="R11" s="287">
        <f t="shared" si="5"/>
        <v>0</v>
      </c>
      <c r="S11" s="287">
        <f t="shared" si="6"/>
        <v>0</v>
      </c>
      <c r="T11" s="287">
        <f t="shared" si="7"/>
        <v>0</v>
      </c>
      <c r="U11" s="278">
        <f t="shared" si="8"/>
        <v>0</v>
      </c>
      <c r="V11" s="279">
        <f t="shared" si="9"/>
        <v>0</v>
      </c>
      <c r="W11" s="287">
        <f t="shared" si="10"/>
        <v>0</v>
      </c>
      <c r="X11" s="287">
        <f t="shared" si="11"/>
        <v>0</v>
      </c>
      <c r="Y11" s="287">
        <f t="shared" si="12"/>
        <v>0</v>
      </c>
      <c r="Z11" s="287">
        <f t="shared" si="13"/>
        <v>0</v>
      </c>
      <c r="AA11" s="287">
        <f t="shared" si="14"/>
        <v>0</v>
      </c>
      <c r="AB11" s="287">
        <f t="shared" si="15"/>
        <v>0</v>
      </c>
      <c r="AC11" s="287">
        <f t="shared" si="16"/>
        <v>0</v>
      </c>
      <c r="AD11" s="287">
        <f t="shared" si="17"/>
        <v>0</v>
      </c>
      <c r="AE11" s="287">
        <f t="shared" si="18"/>
        <v>0</v>
      </c>
      <c r="AF11" s="287">
        <f t="shared" si="19"/>
        <v>0</v>
      </c>
      <c r="AG11" s="287">
        <f t="shared" si="20"/>
        <v>0</v>
      </c>
      <c r="AH11" s="278">
        <f t="shared" si="21"/>
        <v>0</v>
      </c>
      <c r="AI11" s="279">
        <f t="shared" si="22"/>
        <v>0</v>
      </c>
      <c r="AJ11" s="278">
        <f t="shared" si="23"/>
        <v>0</v>
      </c>
      <c r="AK11" s="279">
        <f t="shared" si="24"/>
        <v>0</v>
      </c>
      <c r="AL11" s="286">
        <f t="shared" si="25"/>
        <v>0</v>
      </c>
      <c r="AM11" s="279">
        <f t="shared" si="26"/>
        <v>0</v>
      </c>
      <c r="AN11" s="275">
        <f t="shared" si="27"/>
        <v>0</v>
      </c>
      <c r="AO11" s="45">
        <f t="shared" si="28"/>
        <v>0</v>
      </c>
      <c r="AP11" s="274">
        <f t="shared" si="29"/>
        <v>0</v>
      </c>
      <c r="AQ11" s="182"/>
    </row>
    <row r="12" spans="1:43" s="132" customFormat="1" ht="21" customHeight="1">
      <c r="A12" s="1"/>
      <c r="B12" s="111">
        <v>5</v>
      </c>
      <c r="C12" s="83" t="s">
        <v>475</v>
      </c>
      <c r="D12" s="102"/>
      <c r="E12" s="102"/>
      <c r="F12" s="290"/>
      <c r="G12" s="92"/>
      <c r="H12" s="289"/>
      <c r="I12" s="288"/>
      <c r="J12" s="288"/>
      <c r="K12" s="102"/>
      <c r="L12" s="92"/>
      <c r="M12" s="175">
        <f t="shared" si="0"/>
        <v>0</v>
      </c>
      <c r="N12" s="287">
        <f t="shared" si="1"/>
        <v>0</v>
      </c>
      <c r="O12" s="287">
        <f t="shared" si="2"/>
        <v>0</v>
      </c>
      <c r="P12" s="287">
        <f t="shared" si="3"/>
        <v>0</v>
      </c>
      <c r="Q12" s="287">
        <f t="shared" si="4"/>
        <v>0</v>
      </c>
      <c r="R12" s="287">
        <f t="shared" si="5"/>
        <v>0</v>
      </c>
      <c r="S12" s="287">
        <f t="shared" si="6"/>
        <v>0</v>
      </c>
      <c r="T12" s="287">
        <f t="shared" si="7"/>
        <v>0</v>
      </c>
      <c r="U12" s="278">
        <f t="shared" si="8"/>
        <v>0</v>
      </c>
      <c r="V12" s="279">
        <f t="shared" si="9"/>
        <v>0</v>
      </c>
      <c r="W12" s="287">
        <f t="shared" si="10"/>
        <v>0</v>
      </c>
      <c r="X12" s="287">
        <f t="shared" si="11"/>
        <v>0</v>
      </c>
      <c r="Y12" s="287">
        <f t="shared" si="12"/>
        <v>0</v>
      </c>
      <c r="Z12" s="287">
        <f t="shared" si="13"/>
        <v>0</v>
      </c>
      <c r="AA12" s="287">
        <f t="shared" si="14"/>
        <v>0</v>
      </c>
      <c r="AB12" s="287">
        <f t="shared" si="15"/>
        <v>0</v>
      </c>
      <c r="AC12" s="287">
        <f t="shared" si="16"/>
        <v>0</v>
      </c>
      <c r="AD12" s="287">
        <f t="shared" si="17"/>
        <v>0</v>
      </c>
      <c r="AE12" s="287">
        <f t="shared" si="18"/>
        <v>0</v>
      </c>
      <c r="AF12" s="287">
        <f t="shared" si="19"/>
        <v>0</v>
      </c>
      <c r="AG12" s="287">
        <f t="shared" si="20"/>
        <v>0</v>
      </c>
      <c r="AH12" s="278">
        <f t="shared" si="21"/>
        <v>0</v>
      </c>
      <c r="AI12" s="279">
        <f t="shared" si="22"/>
        <v>0</v>
      </c>
      <c r="AJ12" s="278">
        <f t="shared" si="23"/>
        <v>0</v>
      </c>
      <c r="AK12" s="279">
        <f t="shared" si="24"/>
        <v>0</v>
      </c>
      <c r="AL12" s="286">
        <f t="shared" si="25"/>
        <v>0</v>
      </c>
      <c r="AM12" s="279">
        <f t="shared" si="26"/>
        <v>0</v>
      </c>
      <c r="AN12" s="275">
        <f t="shared" si="27"/>
        <v>0</v>
      </c>
      <c r="AO12" s="45">
        <f t="shared" si="28"/>
        <v>0</v>
      </c>
      <c r="AP12" s="274">
        <f t="shared" si="29"/>
        <v>0</v>
      </c>
      <c r="AQ12" s="182"/>
    </row>
    <row r="13" spans="1:43" s="132" customFormat="1" ht="21" customHeight="1">
      <c r="A13" s="1"/>
      <c r="B13" s="111">
        <v>6</v>
      </c>
      <c r="C13" s="83" t="s">
        <v>475</v>
      </c>
      <c r="D13" s="102"/>
      <c r="E13" s="102"/>
      <c r="F13" s="290"/>
      <c r="G13" s="92"/>
      <c r="H13" s="289"/>
      <c r="I13" s="288"/>
      <c r="J13" s="288"/>
      <c r="K13" s="102"/>
      <c r="L13" s="92"/>
      <c r="M13" s="175">
        <f t="shared" si="0"/>
        <v>0</v>
      </c>
      <c r="N13" s="287">
        <f t="shared" si="1"/>
        <v>0</v>
      </c>
      <c r="O13" s="287">
        <f t="shared" si="2"/>
        <v>0</v>
      </c>
      <c r="P13" s="287">
        <f t="shared" si="3"/>
        <v>0</v>
      </c>
      <c r="Q13" s="287">
        <f t="shared" si="4"/>
        <v>0</v>
      </c>
      <c r="R13" s="287">
        <f t="shared" si="5"/>
        <v>0</v>
      </c>
      <c r="S13" s="287">
        <f t="shared" si="6"/>
        <v>0</v>
      </c>
      <c r="T13" s="287">
        <f t="shared" si="7"/>
        <v>0</v>
      </c>
      <c r="U13" s="278">
        <f t="shared" si="8"/>
        <v>0</v>
      </c>
      <c r="V13" s="279">
        <f t="shared" si="9"/>
        <v>0</v>
      </c>
      <c r="W13" s="287">
        <f t="shared" si="10"/>
        <v>0</v>
      </c>
      <c r="X13" s="287">
        <f t="shared" si="11"/>
        <v>0</v>
      </c>
      <c r="Y13" s="287">
        <f t="shared" si="12"/>
        <v>0</v>
      </c>
      <c r="Z13" s="287">
        <f t="shared" si="13"/>
        <v>0</v>
      </c>
      <c r="AA13" s="287">
        <f t="shared" si="14"/>
        <v>0</v>
      </c>
      <c r="AB13" s="287">
        <f t="shared" si="15"/>
        <v>0</v>
      </c>
      <c r="AC13" s="287">
        <f t="shared" si="16"/>
        <v>0</v>
      </c>
      <c r="AD13" s="287">
        <f t="shared" si="17"/>
        <v>0</v>
      </c>
      <c r="AE13" s="287">
        <f t="shared" si="18"/>
        <v>0</v>
      </c>
      <c r="AF13" s="287">
        <f t="shared" si="19"/>
        <v>0</v>
      </c>
      <c r="AG13" s="287">
        <f t="shared" si="20"/>
        <v>0</v>
      </c>
      <c r="AH13" s="278">
        <f t="shared" si="21"/>
        <v>0</v>
      </c>
      <c r="AI13" s="279">
        <f t="shared" si="22"/>
        <v>0</v>
      </c>
      <c r="AJ13" s="278">
        <f t="shared" si="23"/>
        <v>0</v>
      </c>
      <c r="AK13" s="279">
        <f t="shared" si="24"/>
        <v>0</v>
      </c>
      <c r="AL13" s="286">
        <f t="shared" si="25"/>
        <v>0</v>
      </c>
      <c r="AM13" s="279">
        <f t="shared" si="26"/>
        <v>0</v>
      </c>
      <c r="AN13" s="275">
        <f t="shared" si="27"/>
        <v>0</v>
      </c>
      <c r="AO13" s="45">
        <f t="shared" si="28"/>
        <v>0</v>
      </c>
      <c r="AP13" s="274">
        <f t="shared" si="29"/>
        <v>0</v>
      </c>
      <c r="AQ13" s="182"/>
    </row>
    <row r="14" spans="1:43" s="132" customFormat="1" ht="21" customHeight="1">
      <c r="A14" s="1"/>
      <c r="B14" s="111">
        <v>7</v>
      </c>
      <c r="C14" s="83" t="s">
        <v>475</v>
      </c>
      <c r="D14" s="102"/>
      <c r="E14" s="102"/>
      <c r="F14" s="290"/>
      <c r="G14" s="92"/>
      <c r="H14" s="289"/>
      <c r="I14" s="288"/>
      <c r="J14" s="288"/>
      <c r="K14" s="102"/>
      <c r="L14" s="92"/>
      <c r="M14" s="175">
        <f t="shared" si="0"/>
        <v>0</v>
      </c>
      <c r="N14" s="287">
        <f t="shared" si="1"/>
        <v>0</v>
      </c>
      <c r="O14" s="287">
        <f t="shared" si="2"/>
        <v>0</v>
      </c>
      <c r="P14" s="287">
        <f t="shared" si="3"/>
        <v>0</v>
      </c>
      <c r="Q14" s="287">
        <f t="shared" si="4"/>
        <v>0</v>
      </c>
      <c r="R14" s="287">
        <f t="shared" si="5"/>
        <v>0</v>
      </c>
      <c r="S14" s="287">
        <f t="shared" si="6"/>
        <v>0</v>
      </c>
      <c r="T14" s="287">
        <f t="shared" si="7"/>
        <v>0</v>
      </c>
      <c r="U14" s="278">
        <f t="shared" si="8"/>
        <v>0</v>
      </c>
      <c r="V14" s="279">
        <f t="shared" si="9"/>
        <v>0</v>
      </c>
      <c r="W14" s="287">
        <f t="shared" si="10"/>
        <v>0</v>
      </c>
      <c r="X14" s="287">
        <f t="shared" si="11"/>
        <v>0</v>
      </c>
      <c r="Y14" s="287">
        <f t="shared" si="12"/>
        <v>0</v>
      </c>
      <c r="Z14" s="287">
        <f t="shared" si="13"/>
        <v>0</v>
      </c>
      <c r="AA14" s="287">
        <f t="shared" si="14"/>
        <v>0</v>
      </c>
      <c r="AB14" s="287">
        <f t="shared" si="15"/>
        <v>0</v>
      </c>
      <c r="AC14" s="287">
        <f t="shared" si="16"/>
        <v>0</v>
      </c>
      <c r="AD14" s="287">
        <f t="shared" si="17"/>
        <v>0</v>
      </c>
      <c r="AE14" s="287">
        <f t="shared" si="18"/>
        <v>0</v>
      </c>
      <c r="AF14" s="287">
        <f t="shared" si="19"/>
        <v>0</v>
      </c>
      <c r="AG14" s="287">
        <f t="shared" si="20"/>
        <v>0</v>
      </c>
      <c r="AH14" s="278">
        <f t="shared" si="21"/>
        <v>0</v>
      </c>
      <c r="AI14" s="279">
        <f t="shared" si="22"/>
        <v>0</v>
      </c>
      <c r="AJ14" s="278">
        <f t="shared" si="23"/>
        <v>0</v>
      </c>
      <c r="AK14" s="279">
        <f t="shared" si="24"/>
        <v>0</v>
      </c>
      <c r="AL14" s="286">
        <f t="shared" si="25"/>
        <v>0</v>
      </c>
      <c r="AM14" s="279">
        <f t="shared" si="26"/>
        <v>0</v>
      </c>
      <c r="AN14" s="275">
        <f t="shared" si="27"/>
        <v>0</v>
      </c>
      <c r="AO14" s="45">
        <f t="shared" si="28"/>
        <v>0</v>
      </c>
      <c r="AP14" s="274">
        <f t="shared" si="29"/>
        <v>0</v>
      </c>
      <c r="AQ14" s="182"/>
    </row>
    <row r="15" spans="1:43" s="132" customFormat="1" ht="21" customHeight="1" thickBot="1">
      <c r="A15" s="1"/>
      <c r="B15" s="112">
        <v>8</v>
      </c>
      <c r="C15" s="113" t="s">
        <v>475</v>
      </c>
      <c r="D15" s="283"/>
      <c r="E15" s="283"/>
      <c r="F15" s="285"/>
      <c r="G15" s="282"/>
      <c r="H15" s="284"/>
      <c r="I15" s="284"/>
      <c r="J15" s="284"/>
      <c r="K15" s="283"/>
      <c r="L15" s="282"/>
      <c r="M15" s="174">
        <f t="shared" si="0"/>
        <v>0</v>
      </c>
      <c r="N15" s="281">
        <f t="shared" si="1"/>
        <v>0</v>
      </c>
      <c r="O15" s="281">
        <f t="shared" si="2"/>
        <v>0</v>
      </c>
      <c r="P15" s="281">
        <f t="shared" si="3"/>
        <v>0</v>
      </c>
      <c r="Q15" s="281">
        <f t="shared" si="4"/>
        <v>0</v>
      </c>
      <c r="R15" s="281">
        <f t="shared" si="5"/>
        <v>0</v>
      </c>
      <c r="S15" s="281">
        <f t="shared" si="6"/>
        <v>0</v>
      </c>
      <c r="T15" s="281">
        <f t="shared" si="7"/>
        <v>0</v>
      </c>
      <c r="U15" s="280">
        <f t="shared" si="8"/>
        <v>0</v>
      </c>
      <c r="V15" s="276">
        <f t="shared" si="9"/>
        <v>0</v>
      </c>
      <c r="W15" s="281">
        <f t="shared" si="10"/>
        <v>0</v>
      </c>
      <c r="X15" s="281">
        <f t="shared" si="11"/>
        <v>0</v>
      </c>
      <c r="Y15" s="281">
        <f t="shared" si="12"/>
        <v>0</v>
      </c>
      <c r="Z15" s="281">
        <f t="shared" si="13"/>
        <v>0</v>
      </c>
      <c r="AA15" s="281">
        <f t="shared" si="14"/>
        <v>0</v>
      </c>
      <c r="AB15" s="281">
        <f t="shared" si="15"/>
        <v>0</v>
      </c>
      <c r="AC15" s="281">
        <f t="shared" si="16"/>
        <v>0</v>
      </c>
      <c r="AD15" s="281">
        <f t="shared" si="17"/>
        <v>0</v>
      </c>
      <c r="AE15" s="281">
        <f t="shared" si="18"/>
        <v>0</v>
      </c>
      <c r="AF15" s="281">
        <f t="shared" si="19"/>
        <v>0</v>
      </c>
      <c r="AG15" s="281">
        <f t="shared" si="20"/>
        <v>0</v>
      </c>
      <c r="AH15" s="280">
        <f t="shared" si="21"/>
        <v>0</v>
      </c>
      <c r="AI15" s="279">
        <f t="shared" si="22"/>
        <v>0</v>
      </c>
      <c r="AJ15" s="278">
        <f t="shared" si="23"/>
        <v>0</v>
      </c>
      <c r="AK15" s="276">
        <f t="shared" si="24"/>
        <v>0</v>
      </c>
      <c r="AL15" s="277">
        <f t="shared" si="25"/>
        <v>0</v>
      </c>
      <c r="AM15" s="276">
        <f t="shared" si="26"/>
        <v>0</v>
      </c>
      <c r="AN15" s="275">
        <f t="shared" si="27"/>
        <v>0</v>
      </c>
      <c r="AO15" s="45">
        <f t="shared" si="28"/>
        <v>0</v>
      </c>
      <c r="AP15" s="274">
        <f t="shared" si="29"/>
        <v>0</v>
      </c>
      <c r="AQ15" s="182"/>
    </row>
    <row r="16" spans="1:43" s="132" customFormat="1" hidden="1">
      <c r="A16" s="8"/>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s="182"/>
    </row>
    <row r="17" spans="1:43" s="132" customFormat="1" hidden="1">
      <c r="A17" s="8"/>
      <c r="B17"/>
      <c r="C17"/>
      <c r="D17"/>
      <c r="E17"/>
      <c r="F17"/>
      <c r="G17" s="10">
        <f>SUM(G8:G15)</f>
        <v>0</v>
      </c>
      <c r="H17"/>
      <c r="I17" s="10"/>
      <c r="J17" s="10"/>
      <c r="K17" s="10"/>
      <c r="L17" s="10">
        <f>SUM(L8:L15)</f>
        <v>0</v>
      </c>
      <c r="M17" s="10"/>
      <c r="N17" s="10"/>
      <c r="O17"/>
      <c r="P17"/>
      <c r="Q17" s="10"/>
      <c r="R17" s="10"/>
      <c r="S17" s="10"/>
      <c r="T17" s="10"/>
      <c r="U17" s="10"/>
      <c r="V17" s="10"/>
      <c r="W17" s="10"/>
      <c r="X17" s="10"/>
      <c r="Y17" s="10"/>
      <c r="Z17"/>
      <c r="AA17"/>
      <c r="AB17"/>
      <c r="AC17"/>
      <c r="AD17"/>
      <c r="AE17"/>
      <c r="AF17"/>
      <c r="AG17"/>
      <c r="AH17"/>
      <c r="AI17"/>
      <c r="AJ17"/>
      <c r="AK17"/>
      <c r="AL17"/>
      <c r="AM17"/>
      <c r="AN17" s="309">
        <f>SUM(AN8:AN15)</f>
        <v>0</v>
      </c>
      <c r="AO17" s="309">
        <f>SUM(AO8:AO15)</f>
        <v>0</v>
      </c>
      <c r="AP17" s="309">
        <f>SUM(AP8:AP15)</f>
        <v>0</v>
      </c>
      <c r="AQ17" s="182"/>
    </row>
    <row r="18" spans="1:43" s="132" customFormat="1" hidden="1">
      <c r="A18" s="8"/>
      <c r="B18"/>
      <c r="C18"/>
      <c r="D18"/>
      <c r="E18"/>
      <c r="F18"/>
      <c r="G18"/>
      <c r="H18"/>
      <c r="I18"/>
      <c r="J18"/>
      <c r="K18"/>
      <c r="L18"/>
      <c r="M18"/>
      <c r="N18"/>
      <c r="O18"/>
      <c r="P18"/>
      <c r="Q18"/>
      <c r="R18"/>
      <c r="S18"/>
      <c r="T18" s="269"/>
      <c r="U18"/>
      <c r="V18"/>
      <c r="W18"/>
      <c r="X18"/>
      <c r="Y18"/>
      <c r="Z18"/>
      <c r="AA18"/>
      <c r="AB18"/>
      <c r="AC18"/>
      <c r="AD18"/>
      <c r="AE18"/>
      <c r="AF18"/>
      <c r="AG18"/>
      <c r="AH18"/>
      <c r="AI18"/>
      <c r="AJ18"/>
      <c r="AK18"/>
      <c r="AL18"/>
      <c r="AM18"/>
      <c r="AN18"/>
      <c r="AO18"/>
      <c r="AP18"/>
      <c r="AQ18" s="182"/>
    </row>
    <row r="19" spans="1:43" s="132" customFormat="1" ht="15.75" hidden="1">
      <c r="A19" s="8"/>
      <c r="B19"/>
      <c r="C19" s="494" t="s">
        <v>476</v>
      </c>
      <c r="D19" s="494"/>
      <c r="E19" s="494"/>
      <c r="F19" s="494"/>
      <c r="G19" s="494"/>
      <c r="H19" s="494"/>
      <c r="I19"/>
      <c r="J19"/>
      <c r="K19"/>
      <c r="L19" s="27"/>
      <c r="M19" s="27"/>
      <c r="N19"/>
      <c r="O19"/>
      <c r="P19"/>
      <c r="Q19"/>
      <c r="R19"/>
      <c r="S19"/>
      <c r="T19" s="269"/>
      <c r="U19"/>
      <c r="V19"/>
      <c r="W19" s="311" t="s">
        <v>472</v>
      </c>
      <c r="X19" s="311" t="s">
        <v>477</v>
      </c>
      <c r="Y19"/>
      <c r="Z19"/>
      <c r="AA19"/>
      <c r="AB19"/>
      <c r="AC19"/>
      <c r="AD19"/>
      <c r="AE19"/>
      <c r="AF19"/>
      <c r="AG19"/>
      <c r="AH19"/>
      <c r="AI19"/>
      <c r="AJ19"/>
      <c r="AK19"/>
      <c r="AL19"/>
      <c r="AM19"/>
      <c r="AN19"/>
      <c r="AO19"/>
      <c r="AP19"/>
      <c r="AQ19" s="182"/>
    </row>
    <row r="20" spans="1:43" s="132" customFormat="1" ht="30" hidden="1" customHeight="1">
      <c r="A20" s="8"/>
      <c r="B20"/>
      <c r="C20" s="14" t="s">
        <v>478</v>
      </c>
      <c r="D20" s="14" t="s">
        <v>479</v>
      </c>
      <c r="E20" s="495" t="s">
        <v>480</v>
      </c>
      <c r="F20" s="496"/>
      <c r="G20" s="496"/>
      <c r="H20" s="497"/>
      <c r="I20"/>
      <c r="J20"/>
      <c r="K20"/>
      <c r="L20"/>
      <c r="M20"/>
      <c r="N20"/>
      <c r="O20" s="311" t="s">
        <v>469</v>
      </c>
      <c r="P20" s="311" t="s">
        <v>481</v>
      </c>
      <c r="Q20"/>
      <c r="R20"/>
      <c r="S20"/>
      <c r="T20"/>
      <c r="U20"/>
      <c r="V20"/>
      <c r="W20"/>
      <c r="X20"/>
      <c r="Y20"/>
      <c r="Z20"/>
      <c r="AA20"/>
      <c r="AB20"/>
      <c r="AC20"/>
      <c r="AD20"/>
      <c r="AE20"/>
      <c r="AF20"/>
      <c r="AG20"/>
      <c r="AH20"/>
      <c r="AI20"/>
      <c r="AJ20"/>
      <c r="AK20"/>
      <c r="AL20"/>
      <c r="AM20"/>
      <c r="AN20"/>
      <c r="AO20"/>
      <c r="AP20"/>
      <c r="AQ20" s="182"/>
    </row>
    <row r="21" spans="1:43" s="132" customFormat="1" ht="15.75" hidden="1">
      <c r="A21" s="8"/>
      <c r="B21"/>
      <c r="C21" s="41"/>
      <c r="D21" s="21"/>
      <c r="E21" s="87">
        <v>0.25</v>
      </c>
      <c r="F21" s="87">
        <v>0.5</v>
      </c>
      <c r="G21" s="87">
        <v>0.75</v>
      </c>
      <c r="H21" s="87">
        <v>1</v>
      </c>
      <c r="I21"/>
      <c r="J21" s="491" t="s">
        <v>482</v>
      </c>
      <c r="K21" s="492"/>
      <c r="L21" s="492"/>
      <c r="M21" s="493"/>
      <c r="N21"/>
      <c r="O21"/>
      <c r="P21"/>
      <c r="Q21"/>
      <c r="R21"/>
      <c r="S21"/>
      <c r="T21"/>
      <c r="U21"/>
      <c r="V21"/>
      <c r="W21"/>
      <c r="X21"/>
      <c r="Y21"/>
      <c r="Z21"/>
      <c r="AA21"/>
      <c r="AB21"/>
      <c r="AC21"/>
      <c r="AD21"/>
      <c r="AE21"/>
      <c r="AF21"/>
      <c r="AG21"/>
      <c r="AH21"/>
      <c r="AI21"/>
      <c r="AJ21"/>
      <c r="AK21"/>
      <c r="AL21"/>
      <c r="AM21"/>
      <c r="AN21"/>
      <c r="AO21"/>
      <c r="AP21"/>
      <c r="AQ21" s="182"/>
    </row>
    <row r="22" spans="1:43" s="132" customFormat="1" hidden="1">
      <c r="A22" s="8"/>
      <c r="B22"/>
      <c r="C22" s="25" t="s">
        <v>483</v>
      </c>
      <c r="D22" s="3" t="s">
        <v>466</v>
      </c>
      <c r="E22" s="3">
        <v>0.2</v>
      </c>
      <c r="F22" s="3">
        <v>0.2</v>
      </c>
      <c r="G22" s="3">
        <v>0.3</v>
      </c>
      <c r="H22" s="3">
        <v>0.3</v>
      </c>
      <c r="I22"/>
      <c r="J22" s="273" t="s">
        <v>484</v>
      </c>
      <c r="K22" s="86" t="s">
        <v>466</v>
      </c>
      <c r="L22" s="86" t="s">
        <v>467</v>
      </c>
      <c r="M22" s="86" t="s">
        <v>468</v>
      </c>
      <c r="N22"/>
      <c r="O22"/>
      <c r="P22"/>
      <c r="Q22"/>
      <c r="R22"/>
      <c r="S22"/>
      <c r="T22"/>
      <c r="U22"/>
      <c r="V22"/>
      <c r="W22"/>
      <c r="X22"/>
      <c r="Y22"/>
      <c r="Z22"/>
      <c r="AA22"/>
      <c r="AB22"/>
      <c r="AC22"/>
      <c r="AD22"/>
      <c r="AE22"/>
      <c r="AF22"/>
      <c r="AG22"/>
      <c r="AH22"/>
      <c r="AI22"/>
      <c r="AJ22"/>
      <c r="AK22"/>
      <c r="AL22"/>
      <c r="AM22"/>
      <c r="AN22"/>
      <c r="AO22"/>
      <c r="AP22"/>
      <c r="AQ22" s="182"/>
    </row>
    <row r="23" spans="1:43" s="132" customFormat="1" hidden="1">
      <c r="A23" s="8"/>
      <c r="B23"/>
      <c r="C23" s="25" t="s">
        <v>483</v>
      </c>
      <c r="D23" s="3" t="s">
        <v>485</v>
      </c>
      <c r="E23" s="3">
        <v>0</v>
      </c>
      <c r="F23" s="3">
        <v>0.3</v>
      </c>
      <c r="G23" s="3">
        <v>0.4</v>
      </c>
      <c r="H23" s="3">
        <v>0.3</v>
      </c>
      <c r="I23"/>
      <c r="J23" s="272" t="s">
        <v>486</v>
      </c>
      <c r="K23" s="272">
        <f>((E22*E21)+(F22*F21)+(G22*G21)+(H22*H21))*8760</f>
        <v>5913</v>
      </c>
      <c r="L23" s="272">
        <f>((E23*E21)+(F23*F21)+(G23*G21)+(H23*H21))*8760</f>
        <v>6570</v>
      </c>
      <c r="M23" s="272">
        <f>((E23*E21)+(F23*F21)+(G23*G21)+(H23*H21))*8760</f>
        <v>6570</v>
      </c>
      <c r="N23"/>
      <c r="O23"/>
      <c r="P23"/>
      <c r="Q23"/>
      <c r="R23"/>
      <c r="S23"/>
      <c r="T23"/>
      <c r="U23"/>
      <c r="V23"/>
      <c r="W23"/>
      <c r="X23"/>
      <c r="Y23"/>
      <c r="Z23"/>
      <c r="AA23"/>
      <c r="AB23"/>
      <c r="AC23"/>
      <c r="AD23"/>
      <c r="AE23"/>
      <c r="AF23"/>
      <c r="AG23"/>
      <c r="AH23"/>
      <c r="AI23"/>
      <c r="AJ23"/>
      <c r="AK23"/>
      <c r="AL23"/>
      <c r="AM23"/>
      <c r="AN23"/>
      <c r="AO23"/>
      <c r="AP23"/>
      <c r="AQ23" s="182"/>
    </row>
    <row r="24" spans="1:43" s="132" customFormat="1" hidden="1">
      <c r="A24" s="8"/>
      <c r="B24"/>
      <c r="C24" s="25" t="s">
        <v>487</v>
      </c>
      <c r="D24" s="3" t="s">
        <v>488</v>
      </c>
      <c r="E24" s="3">
        <v>0</v>
      </c>
      <c r="F24" s="3">
        <v>0.3</v>
      </c>
      <c r="G24" s="3">
        <v>0.4</v>
      </c>
      <c r="H24" s="3">
        <v>0.3</v>
      </c>
      <c r="I24"/>
      <c r="J24" s="272" t="s">
        <v>489</v>
      </c>
      <c r="K24" s="272">
        <f>((E24*E21)+(F24*F21)+(G24*G21)+(H24*H21))*8760</f>
        <v>6570</v>
      </c>
      <c r="L24" s="272">
        <f>((E24*E21)+(F24*F21)+(G24*G21)+(H24*H21))*8760</f>
        <v>6570</v>
      </c>
      <c r="M24" s="272">
        <f>((E24*E21)+(F24*F21)+(G24*G21)+(H24*H21))*8760</f>
        <v>6570</v>
      </c>
      <c r="N24"/>
      <c r="O24"/>
      <c r="P24"/>
      <c r="Q24"/>
      <c r="R24"/>
      <c r="S24"/>
      <c r="T24"/>
      <c r="U24"/>
      <c r="V24"/>
      <c r="W24"/>
      <c r="X24"/>
      <c r="Y24"/>
      <c r="Z24"/>
      <c r="AA24"/>
      <c r="AB24"/>
      <c r="AC24"/>
      <c r="AD24"/>
      <c r="AE24"/>
      <c r="AF24"/>
      <c r="AG24"/>
      <c r="AH24"/>
      <c r="AI24"/>
      <c r="AJ24"/>
      <c r="AK24"/>
      <c r="AL24"/>
      <c r="AM24"/>
      <c r="AN24"/>
      <c r="AO24"/>
      <c r="AP24"/>
      <c r="AQ24" s="182"/>
    </row>
    <row r="25" spans="1:43" s="132" customFormat="1" hidden="1">
      <c r="A25" s="8"/>
      <c r="B25"/>
      <c r="C25" s="25" t="s">
        <v>490</v>
      </c>
      <c r="D25" s="3" t="s">
        <v>488</v>
      </c>
      <c r="E25" s="3">
        <v>0.25</v>
      </c>
      <c r="F25" s="3">
        <v>0.5</v>
      </c>
      <c r="G25" s="3">
        <v>0.25</v>
      </c>
      <c r="H25" s="3">
        <v>0</v>
      </c>
      <c r="I25"/>
      <c r="J25" s="272" t="s">
        <v>491</v>
      </c>
      <c r="K25" s="272">
        <f>((E25*E21)+(F25*F21)+(G25*G21)+(H25*H21))*8760</f>
        <v>4380</v>
      </c>
      <c r="L25" s="272">
        <f>((E25*E21)+(F25*F21)+(G25*G21)+(H25*H21))*8760</f>
        <v>4380</v>
      </c>
      <c r="M25" s="272">
        <f>((E25*E21)+(F25*F21)+(G25*G21)+(H25*H21))*8760</f>
        <v>4380</v>
      </c>
      <c r="N25"/>
      <c r="O25"/>
      <c r="P25"/>
      <c r="Q25"/>
      <c r="R25"/>
      <c r="S25"/>
      <c r="T25"/>
      <c r="U25"/>
      <c r="V25"/>
      <c r="W25"/>
      <c r="X25"/>
      <c r="Y25"/>
      <c r="Z25"/>
      <c r="AA25"/>
      <c r="AB25"/>
      <c r="AC25"/>
      <c r="AD25"/>
      <c r="AE25"/>
      <c r="AF25"/>
      <c r="AG25"/>
      <c r="AH25"/>
      <c r="AI25"/>
      <c r="AJ25"/>
      <c r="AK25"/>
      <c r="AL25"/>
      <c r="AM25"/>
      <c r="AN25"/>
      <c r="AO25"/>
      <c r="AP25"/>
      <c r="AQ25" s="182"/>
    </row>
    <row r="26" spans="1:43" s="132" customFormat="1" hidden="1">
      <c r="A26" s="8"/>
      <c r="B26"/>
      <c r="C26"/>
      <c r="D26"/>
      <c r="E26"/>
      <c r="F26"/>
      <c r="G26"/>
      <c r="H26"/>
      <c r="I26"/>
      <c r="J26" s="267"/>
      <c r="K26" s="267"/>
      <c r="L26" s="267"/>
      <c r="M26" s="267"/>
      <c r="N26"/>
      <c r="O26"/>
      <c r="P26"/>
      <c r="Q26"/>
      <c r="R26"/>
      <c r="S26"/>
      <c r="T26"/>
      <c r="U26"/>
      <c r="V26"/>
      <c r="W26"/>
      <c r="X26"/>
      <c r="Y26"/>
      <c r="Z26"/>
      <c r="AA26"/>
      <c r="AB26"/>
      <c r="AC26"/>
      <c r="AD26"/>
      <c r="AE26"/>
      <c r="AF26"/>
      <c r="AG26"/>
      <c r="AH26"/>
      <c r="AI26"/>
      <c r="AJ26"/>
      <c r="AK26"/>
      <c r="AL26"/>
      <c r="AM26"/>
      <c r="AN26"/>
      <c r="AO26"/>
      <c r="AP26"/>
      <c r="AQ26" s="182"/>
    </row>
    <row r="27" spans="1:43" s="132" customFormat="1" hidden="1">
      <c r="A27" s="8"/>
      <c r="B27"/>
      <c r="C27"/>
      <c r="D27"/>
      <c r="E27"/>
      <c r="F27"/>
      <c r="G27"/>
      <c r="H27"/>
      <c r="I27"/>
      <c r="J27" s="267"/>
      <c r="K27" s="267"/>
      <c r="L27" s="267"/>
      <c r="M27" s="267"/>
      <c r="N27"/>
      <c r="O27"/>
      <c r="P27"/>
      <c r="Q27"/>
      <c r="R27" s="271"/>
      <c r="S27"/>
      <c r="T27"/>
      <c r="U27"/>
      <c r="V27"/>
      <c r="W27"/>
      <c r="X27"/>
      <c r="Y27"/>
      <c r="Z27"/>
      <c r="AA27"/>
      <c r="AB27"/>
      <c r="AC27"/>
      <c r="AD27"/>
      <c r="AE27"/>
      <c r="AF27"/>
      <c r="AG27"/>
      <c r="AH27"/>
      <c r="AI27"/>
      <c r="AJ27"/>
      <c r="AK27"/>
      <c r="AL27"/>
      <c r="AM27"/>
      <c r="AN27"/>
      <c r="AO27"/>
      <c r="AP27"/>
      <c r="AQ27" s="182"/>
    </row>
    <row r="28" spans="1:43" s="132" customFormat="1" hidden="1">
      <c r="A28" s="8"/>
      <c r="B28"/>
      <c r="C28" s="267"/>
      <c r="D28" s="267"/>
      <c r="E28" s="267"/>
      <c r="F28" s="267"/>
      <c r="G28" s="267"/>
      <c r="H28" s="267"/>
      <c r="I28" s="267"/>
      <c r="J28" s="267"/>
      <c r="K28" s="267"/>
      <c r="L28" s="267"/>
      <c r="M28" s="267"/>
      <c r="N28" s="267"/>
      <c r="O28" s="270"/>
      <c r="P28" s="270"/>
      <c r="Q28" s="270"/>
      <c r="R28" s="270"/>
      <c r="S28"/>
      <c r="T28"/>
      <c r="U28"/>
      <c r="V28"/>
      <c r="W28"/>
      <c r="X28"/>
      <c r="Y28"/>
      <c r="Z28"/>
      <c r="AA28"/>
      <c r="AB28"/>
      <c r="AC28"/>
      <c r="AD28"/>
      <c r="AE28"/>
      <c r="AF28"/>
      <c r="AG28"/>
      <c r="AH28"/>
      <c r="AI28"/>
      <c r="AJ28"/>
      <c r="AK28"/>
      <c r="AL28"/>
      <c r="AM28"/>
      <c r="AN28"/>
      <c r="AO28"/>
      <c r="AP28"/>
      <c r="AQ28" s="182"/>
    </row>
    <row r="29" spans="1:43" s="132" customFormat="1" hidden="1">
      <c r="A29" s="8"/>
      <c r="B29"/>
      <c r="C29"/>
      <c r="D29"/>
      <c r="E29"/>
      <c r="F29"/>
      <c r="G29"/>
      <c r="H29"/>
      <c r="I29" s="267"/>
      <c r="J29" s="267"/>
      <c r="K29" s="267"/>
      <c r="L29" s="267"/>
      <c r="M29" s="267"/>
      <c r="N29" s="267"/>
      <c r="O29" s="268"/>
      <c r="P29" s="268"/>
      <c r="Q29" s="268"/>
      <c r="R29" s="268"/>
      <c r="S29"/>
      <c r="T29"/>
      <c r="U29"/>
      <c r="V29"/>
      <c r="W29"/>
      <c r="X29"/>
      <c r="Y29"/>
      <c r="Z29"/>
      <c r="AA29"/>
      <c r="AB29"/>
      <c r="AC29"/>
      <c r="AD29"/>
      <c r="AE29"/>
      <c r="AF29"/>
      <c r="AG29"/>
      <c r="AH29"/>
      <c r="AI29"/>
      <c r="AJ29"/>
      <c r="AK29"/>
      <c r="AL29"/>
      <c r="AM29"/>
      <c r="AN29"/>
      <c r="AO29"/>
      <c r="AP29"/>
      <c r="AQ29" s="182"/>
    </row>
    <row r="30" spans="1:43" s="132" customFormat="1" ht="15" hidden="1" customHeight="1">
      <c r="A30" s="8"/>
      <c r="B30"/>
      <c r="C30" s="13" t="s">
        <v>492</v>
      </c>
      <c r="D30" s="269"/>
      <c r="E30"/>
      <c r="F30" s="13" t="s">
        <v>91</v>
      </c>
      <c r="G30"/>
      <c r="H30"/>
      <c r="I30" s="267"/>
      <c r="J30" s="267"/>
      <c r="K30" s="267"/>
      <c r="L30" s="267"/>
      <c r="M30" s="267"/>
      <c r="N30" s="267"/>
      <c r="O30" s="268"/>
      <c r="P30"/>
      <c r="Q30"/>
      <c r="R30"/>
      <c r="S30"/>
      <c r="T30"/>
      <c r="U30"/>
      <c r="V30"/>
      <c r="W30"/>
      <c r="X30"/>
      <c r="Y30"/>
      <c r="Z30"/>
      <c r="AA30"/>
      <c r="AB30"/>
      <c r="AC30"/>
      <c r="AD30"/>
      <c r="AE30"/>
      <c r="AF30"/>
      <c r="AG30"/>
      <c r="AH30"/>
      <c r="AI30"/>
      <c r="AJ30"/>
      <c r="AK30"/>
      <c r="AL30"/>
      <c r="AM30"/>
      <c r="AN30"/>
      <c r="AO30"/>
      <c r="AP30"/>
      <c r="AQ30" s="182"/>
    </row>
    <row r="31" spans="1:43" s="132" customFormat="1" ht="30" hidden="1">
      <c r="A31" s="8"/>
      <c r="B31"/>
      <c r="C31" s="30" t="s">
        <v>493</v>
      </c>
      <c r="D31" s="269"/>
      <c r="E31"/>
      <c r="F31" s="15" t="s">
        <v>146</v>
      </c>
      <c r="G31"/>
      <c r="H31"/>
      <c r="I31" s="267"/>
      <c r="J31" s="267"/>
      <c r="K31" s="267"/>
      <c r="L31" s="267"/>
      <c r="M31" s="267"/>
      <c r="N31" s="267"/>
      <c r="O31" s="268"/>
      <c r="P31"/>
      <c r="Q31"/>
      <c r="R31"/>
      <c r="S31"/>
      <c r="T31"/>
      <c r="U31"/>
      <c r="V31"/>
      <c r="W31"/>
      <c r="X31"/>
      <c r="Y31"/>
      <c r="Z31"/>
      <c r="AA31"/>
      <c r="AB31"/>
      <c r="AC31"/>
      <c r="AD31"/>
      <c r="AE31"/>
      <c r="AF31"/>
      <c r="AG31"/>
      <c r="AH31"/>
      <c r="AI31"/>
      <c r="AJ31"/>
      <c r="AK31"/>
      <c r="AL31"/>
      <c r="AM31"/>
      <c r="AN31"/>
      <c r="AO31"/>
      <c r="AP31"/>
      <c r="AQ31" s="182"/>
    </row>
    <row r="32" spans="1:43" s="132" customFormat="1" hidden="1">
      <c r="A32" s="8"/>
      <c r="B32"/>
      <c r="C32" s="30" t="s">
        <v>494</v>
      </c>
      <c r="D32" s="269"/>
      <c r="E32"/>
      <c r="F32" s="15" t="s">
        <v>147</v>
      </c>
      <c r="G32"/>
      <c r="H32"/>
      <c r="I32" s="267"/>
      <c r="J32" s="267"/>
      <c r="K32" s="267"/>
      <c r="L32" s="267"/>
      <c r="M32" s="267"/>
      <c r="N32" s="267"/>
      <c r="O32" s="268"/>
      <c r="P32"/>
      <c r="Q32"/>
      <c r="R32"/>
      <c r="S32"/>
      <c r="T32"/>
      <c r="U32"/>
      <c r="V32"/>
      <c r="W32"/>
      <c r="X32"/>
      <c r="Y32"/>
      <c r="Z32"/>
      <c r="AA32"/>
      <c r="AB32"/>
      <c r="AC32"/>
      <c r="AD32"/>
      <c r="AE32"/>
      <c r="AF32"/>
      <c r="AG32"/>
      <c r="AH32"/>
      <c r="AI32"/>
      <c r="AJ32"/>
      <c r="AK32"/>
      <c r="AL32"/>
      <c r="AM32"/>
      <c r="AN32"/>
      <c r="AO32"/>
      <c r="AP32"/>
      <c r="AQ32" s="182"/>
    </row>
    <row r="33" spans="1:43" s="132" customFormat="1" hidden="1">
      <c r="A33" s="8"/>
      <c r="B33"/>
      <c r="C33"/>
      <c r="D33"/>
      <c r="E33"/>
      <c r="F33"/>
      <c r="G33"/>
      <c r="H33"/>
      <c r="I33" s="267"/>
      <c r="J33" s="267"/>
      <c r="K33" s="267"/>
      <c r="L33" s="267"/>
      <c r="M33" s="267"/>
      <c r="N33" s="267"/>
      <c r="O33" s="268"/>
      <c r="P33"/>
      <c r="Q33"/>
      <c r="R33"/>
      <c r="S33"/>
      <c r="T33"/>
      <c r="U33"/>
      <c r="V33"/>
      <c r="W33"/>
      <c r="X33"/>
      <c r="Y33"/>
      <c r="Z33"/>
      <c r="AA33"/>
      <c r="AB33"/>
      <c r="AC33"/>
      <c r="AD33"/>
      <c r="AE33"/>
      <c r="AF33"/>
      <c r="AG33"/>
      <c r="AH33"/>
      <c r="AI33"/>
      <c r="AJ33"/>
      <c r="AK33"/>
      <c r="AL33"/>
      <c r="AM33"/>
      <c r="AN33"/>
      <c r="AO33"/>
      <c r="AP33"/>
      <c r="AQ33" s="182"/>
    </row>
    <row r="34" spans="1:43" s="132" customFormat="1" hidden="1">
      <c r="A34" s="8"/>
      <c r="B34"/>
      <c r="C34" s="13" t="s">
        <v>113</v>
      </c>
      <c r="D34" s="43" t="s">
        <v>495</v>
      </c>
      <c r="E34"/>
      <c r="F34"/>
      <c r="G34"/>
      <c r="H34"/>
      <c r="I34" s="267"/>
      <c r="J34" s="267"/>
      <c r="K34" s="267"/>
      <c r="L34" s="267"/>
      <c r="M34" s="267"/>
      <c r="N34" s="267"/>
      <c r="O34"/>
      <c r="P34"/>
      <c r="Q34"/>
      <c r="R34"/>
      <c r="S34"/>
      <c r="T34"/>
      <c r="U34"/>
      <c r="V34"/>
      <c r="W34"/>
      <c r="X34"/>
      <c r="Y34"/>
      <c r="Z34"/>
      <c r="AA34"/>
      <c r="AB34"/>
      <c r="AC34"/>
      <c r="AD34"/>
      <c r="AE34"/>
      <c r="AF34"/>
      <c r="AG34"/>
      <c r="AH34"/>
      <c r="AI34"/>
      <c r="AJ34"/>
      <c r="AK34"/>
      <c r="AL34"/>
      <c r="AM34"/>
      <c r="AN34"/>
      <c r="AO34"/>
      <c r="AP34"/>
      <c r="AQ34" s="182"/>
    </row>
    <row r="35" spans="1:43" s="132" customFormat="1" hidden="1">
      <c r="A35" s="8"/>
      <c r="B35"/>
      <c r="C35" s="266" t="s">
        <v>475</v>
      </c>
      <c r="D35" s="16">
        <v>55</v>
      </c>
      <c r="E35"/>
      <c r="F35" t="s">
        <v>466</v>
      </c>
      <c r="G35"/>
      <c r="H35"/>
      <c r="I35" s="267"/>
      <c r="J35" s="267"/>
      <c r="K35" s="267"/>
      <c r="L35" s="267"/>
      <c r="M35" s="267"/>
      <c r="N35" s="267"/>
      <c r="O35"/>
      <c r="P35"/>
      <c r="Q35"/>
      <c r="R35"/>
      <c r="S35"/>
      <c r="T35"/>
      <c r="U35"/>
      <c r="V35"/>
      <c r="W35"/>
      <c r="X35"/>
      <c r="Y35"/>
      <c r="Z35"/>
      <c r="AA35"/>
      <c r="AB35"/>
      <c r="AC35"/>
      <c r="AD35"/>
      <c r="AE35"/>
      <c r="AF35"/>
      <c r="AG35"/>
      <c r="AH35"/>
      <c r="AI35"/>
      <c r="AJ35"/>
      <c r="AK35"/>
      <c r="AL35"/>
      <c r="AM35"/>
      <c r="AN35"/>
      <c r="AO35"/>
      <c r="AP35"/>
      <c r="AQ35" s="182"/>
    </row>
    <row r="36" spans="1:43" s="132" customFormat="1" hidden="1">
      <c r="A36" s="8"/>
      <c r="B36"/>
      <c r="C36"/>
      <c r="D36"/>
      <c r="E36"/>
      <c r="F36" t="s">
        <v>467</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s="182"/>
    </row>
    <row r="37" spans="1:43" s="132" customFormat="1" hidden="1">
      <c r="A37" s="8"/>
      <c r="B37"/>
      <c r="C37"/>
      <c r="D37"/>
      <c r="E37"/>
      <c r="F37" t="s">
        <v>468</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s="182"/>
    </row>
    <row r="38" spans="1:43" s="132" customFormat="1" hidden="1">
      <c r="A38" s="8"/>
      <c r="B38"/>
      <c r="C38" s="42" t="s">
        <v>113</v>
      </c>
      <c r="D38" s="43" t="s">
        <v>323</v>
      </c>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s="182"/>
    </row>
    <row r="39" spans="1:43" s="132" customFormat="1" hidden="1">
      <c r="A39" s="8"/>
      <c r="B39"/>
      <c r="C39" s="266" t="s">
        <v>483</v>
      </c>
      <c r="D39" s="265">
        <v>10</v>
      </c>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s="182"/>
    </row>
    <row r="40" spans="1:43" s="132" customFormat="1" hidden="1">
      <c r="A40" s="8"/>
      <c r="B40"/>
      <c r="C40" s="266" t="s">
        <v>487</v>
      </c>
      <c r="D40" s="265">
        <v>15</v>
      </c>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s="182"/>
    </row>
    <row r="41" spans="1:43" s="132" customFormat="1" hidden="1">
      <c r="A41" s="8"/>
      <c r="B41"/>
      <c r="C41" s="266" t="s">
        <v>490</v>
      </c>
      <c r="D41" s="265">
        <v>15</v>
      </c>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s="182"/>
    </row>
    <row r="42" spans="1:43" s="132" customFormat="1" hidden="1">
      <c r="A42" s="8"/>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s="182"/>
    </row>
    <row r="43" spans="1:43" s="132" customFormat="1" hidden="1">
      <c r="A43" s="8"/>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s="182"/>
    </row>
    <row r="44" spans="1:43" s="132" customFormat="1" hidden="1">
      <c r="A44" s="8"/>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s="182"/>
    </row>
    <row r="45" spans="1:43" s="132" customFormat="1" hidden="1">
      <c r="A45" s="8"/>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s="182"/>
    </row>
    <row r="46" spans="1:43" s="132" customFormat="1" hidden="1">
      <c r="A46" s="8"/>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s="182"/>
    </row>
    <row r="47" spans="1:43" s="132" customFormat="1">
      <c r="A47" s="182"/>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row>
    <row r="48" spans="1:43" s="132" customFormat="1">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row>
    <row r="49" spans="9:9" s="132" customFormat="1">
      <c r="I49" s="264"/>
    </row>
    <row r="50" spans="9:9" s="132" customFormat="1"/>
    <row r="51" spans="9:9" s="132" customFormat="1"/>
    <row r="52" spans="9:9" s="132" customFormat="1"/>
    <row r="53" spans="9:9" s="132" customFormat="1"/>
    <row r="54" spans="9:9" s="132" customFormat="1"/>
    <row r="55" spans="9:9" s="132" customFormat="1"/>
    <row r="56" spans="9:9" s="132" customFormat="1"/>
    <row r="57" spans="9:9" s="132" customFormat="1"/>
    <row r="58" spans="9:9" s="132" customFormat="1"/>
    <row r="59" spans="9:9" s="132" customFormat="1"/>
    <row r="60" spans="9:9" s="132" customFormat="1"/>
    <row r="61" spans="9:9" s="132" customFormat="1"/>
    <row r="62" spans="9:9" s="132" customFormat="1"/>
    <row r="63" spans="9:9" s="132" customFormat="1"/>
    <row r="64" spans="9:9"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row r="576" s="132" customFormat="1"/>
    <row r="577" s="132" customFormat="1"/>
    <row r="578" s="132" customFormat="1"/>
    <row r="579" s="132" customFormat="1"/>
    <row r="580" s="132" customFormat="1"/>
    <row r="581" s="132" customFormat="1"/>
    <row r="582" s="132" customFormat="1"/>
    <row r="583" s="132" customFormat="1"/>
    <row r="584" s="132" customFormat="1"/>
    <row r="585" s="132" customFormat="1"/>
    <row r="586" s="132" customFormat="1"/>
    <row r="587" s="132" customFormat="1"/>
    <row r="588" s="132" customFormat="1"/>
    <row r="589" s="132" customFormat="1"/>
    <row r="590" s="132" customFormat="1"/>
    <row r="591" s="132" customFormat="1"/>
    <row r="592" s="132" customFormat="1"/>
    <row r="593" s="132" customFormat="1"/>
    <row r="594" s="132" customFormat="1"/>
    <row r="595" s="132" customFormat="1"/>
    <row r="596" s="132" customFormat="1"/>
    <row r="597" s="132" customFormat="1"/>
  </sheetData>
  <sheetProtection algorithmName="SHA-512" hashValue="Zih9xjozy71W7UrmGlVTCjPX9d4ecgvIdr2iRvhaMFNdrY65M5+TSGOpK972eTRYGQ87c2Cgj8h/R0IrPpwkUg==" saltValue="IWpVZtr5njxAi8oCghKZPw==" spinCount="100000" sheet="1" selectLockedCells="1"/>
  <mergeCells count="5">
    <mergeCell ref="D6:G6"/>
    <mergeCell ref="D3:I4"/>
    <mergeCell ref="J21:M21"/>
    <mergeCell ref="C19:H19"/>
    <mergeCell ref="E20:H20"/>
  </mergeCells>
  <conditionalFormatting sqref="AP8:AP15">
    <cfRule type="expression" dxfId="1" priority="1" stopIfTrue="1">
      <formula>IF(OR($AP8="DNQ", $AP8="Custom Project"), TRUE, FALSE)</formula>
    </cfRule>
  </conditionalFormatting>
  <dataValidations count="2">
    <dataValidation type="list" allowBlank="1" showInputMessage="1" showErrorMessage="1" sqref="E8:E15 H8:H15" xr:uid="{00000000-0002-0000-0B00-000000000000}">
      <formula1>$F$35:$F$37</formula1>
    </dataValidation>
    <dataValidation type="list" allowBlank="1" showInputMessage="1" showErrorMessage="1" sqref="D8:D15" xr:uid="{00000000-0002-0000-0B00-000001000000}">
      <formula1>$F$31:$F$32</formula1>
    </dataValidation>
  </dataValidations>
  <hyperlinks>
    <hyperlink ref="B3" location="'Calculator Index'!A1" display="Return to Index" xr:uid="{00000000-0004-0000-0B00-000000000000}"/>
    <hyperlink ref="B3:C3" location="'Project Summary'!A1" display="Return to Index" xr:uid="{00000000-0004-0000-0B00-000001000000}"/>
  </hyperlink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A48"/>
  <sheetViews>
    <sheetView zoomScale="90" zoomScaleNormal="90" workbookViewId="0">
      <selection activeCell="B3" sqref="B3:C3"/>
    </sheetView>
  </sheetViews>
  <sheetFormatPr defaultRowHeight="15"/>
  <cols>
    <col min="1" max="1" width="3.5703125" customWidth="1"/>
    <col min="2" max="2" width="6.7109375" customWidth="1"/>
    <col min="3" max="3" width="25.28515625" customWidth="1"/>
    <col min="4" max="4" width="22.7109375" customWidth="1"/>
    <col min="5" max="5" width="23.28515625" customWidth="1"/>
    <col min="6" max="6" width="19" customWidth="1"/>
    <col min="7" max="7" width="35" bestFit="1" customWidth="1"/>
    <col min="8" max="8" width="17.7109375" customWidth="1"/>
    <col min="9" max="9" width="16.7109375" customWidth="1"/>
    <col min="10" max="10" width="15.140625" bestFit="1" customWidth="1"/>
    <col min="11" max="11" width="15.140625" hidden="1" customWidth="1"/>
    <col min="12" max="12" width="12.5703125" hidden="1" customWidth="1"/>
    <col min="13" max="13" width="20.7109375" hidden="1" customWidth="1"/>
    <col min="14" max="14" width="31.85546875" hidden="1" customWidth="1"/>
    <col min="15" max="15" width="29.85546875" hidden="1" customWidth="1"/>
    <col min="16" max="16" width="11.85546875" hidden="1" customWidth="1"/>
    <col min="17" max="17" width="35" hidden="1" customWidth="1"/>
    <col min="18" max="18" width="13.28515625" hidden="1" customWidth="1"/>
    <col min="19" max="19" width="17.85546875" customWidth="1"/>
    <col min="20" max="20" width="20.85546875" bestFit="1" customWidth="1"/>
    <col min="21" max="21" width="13" bestFit="1" customWidth="1"/>
    <col min="22" max="22" width="19" hidden="1" customWidth="1"/>
    <col min="23" max="24" width="26.7109375" hidden="1" customWidth="1"/>
    <col min="25" max="25" width="26" hidden="1" customWidth="1"/>
    <col min="26" max="26" width="13" hidden="1" customWidth="1"/>
    <col min="27" max="27" width="7" customWidth="1"/>
  </cols>
  <sheetData>
    <row r="1" spans="1:27" ht="18.75" customHeight="1">
      <c r="A1" s="1"/>
      <c r="B1" s="1"/>
      <c r="C1" s="1"/>
      <c r="D1" s="1"/>
      <c r="E1" s="1"/>
      <c r="F1" s="1"/>
      <c r="G1" s="1"/>
      <c r="H1" s="1"/>
      <c r="I1" s="1"/>
      <c r="J1" s="1"/>
      <c r="K1" s="8"/>
      <c r="L1" s="8"/>
      <c r="M1" s="8"/>
      <c r="N1" s="8"/>
      <c r="O1" s="8"/>
      <c r="P1" s="8"/>
      <c r="Q1" s="8"/>
      <c r="R1" s="8"/>
      <c r="S1" s="1"/>
      <c r="T1" s="1"/>
      <c r="U1" s="1"/>
      <c r="V1" s="8"/>
      <c r="W1" s="8"/>
      <c r="X1" s="8"/>
      <c r="Y1" s="219" t="s">
        <v>282</v>
      </c>
      <c r="Z1" s="219" t="s">
        <v>496</v>
      </c>
      <c r="AA1" s="182"/>
    </row>
    <row r="2" spans="1:27" ht="26.25" customHeight="1">
      <c r="A2" s="1"/>
      <c r="B2" s="474" t="s">
        <v>497</v>
      </c>
      <c r="C2" s="474"/>
      <c r="D2" s="474"/>
      <c r="E2" s="474"/>
      <c r="F2" s="474"/>
      <c r="G2" s="474"/>
      <c r="H2" s="474"/>
      <c r="I2" s="474"/>
      <c r="J2" s="474"/>
      <c r="K2" s="474"/>
      <c r="L2" s="474"/>
      <c r="M2" s="474"/>
      <c r="N2" s="474"/>
      <c r="O2" s="474"/>
      <c r="P2" s="474"/>
      <c r="Q2" s="474"/>
      <c r="R2" s="474"/>
      <c r="S2" s="474"/>
      <c r="T2" s="474"/>
      <c r="U2" s="474"/>
      <c r="V2" s="326"/>
      <c r="W2" s="326"/>
      <c r="X2" s="326"/>
      <c r="Y2" s="8"/>
      <c r="Z2" s="8"/>
      <c r="AA2" s="182"/>
    </row>
    <row r="3" spans="1:27" ht="23.25" customHeight="1">
      <c r="A3" s="1"/>
      <c r="B3" s="442" t="s">
        <v>87</v>
      </c>
      <c r="C3" s="443"/>
      <c r="D3" s="473" t="s">
        <v>498</v>
      </c>
      <c r="E3" s="473"/>
      <c r="F3" s="473"/>
      <c r="G3" s="473"/>
      <c r="H3" s="1"/>
      <c r="I3" s="1"/>
      <c r="J3" s="1"/>
      <c r="K3" s="8"/>
      <c r="L3" s="8"/>
      <c r="M3" s="8"/>
      <c r="N3" s="8"/>
      <c r="O3" s="8"/>
      <c r="P3" s="8"/>
      <c r="Q3" s="8"/>
      <c r="R3" s="8"/>
      <c r="S3" s="1"/>
      <c r="T3" s="1"/>
      <c r="U3" s="1"/>
      <c r="V3" s="8"/>
      <c r="W3" s="8"/>
      <c r="X3" s="8"/>
      <c r="Y3" s="8"/>
      <c r="Z3" s="8"/>
      <c r="AA3" s="182"/>
    </row>
    <row r="4" spans="1:27" ht="12.75" customHeight="1">
      <c r="A4" s="1"/>
      <c r="B4" s="1"/>
      <c r="C4" s="1"/>
      <c r="D4" s="444"/>
      <c r="E4" s="444"/>
      <c r="F4" s="444"/>
      <c r="G4" s="444"/>
      <c r="H4" s="1"/>
      <c r="I4" s="1"/>
      <c r="J4" s="1"/>
      <c r="K4" s="8"/>
      <c r="L4" s="8"/>
      <c r="M4" s="8"/>
      <c r="N4" s="8"/>
      <c r="O4" s="8"/>
      <c r="P4" s="8"/>
      <c r="Q4" s="8"/>
      <c r="R4" s="8"/>
      <c r="S4" s="1"/>
      <c r="T4" s="1"/>
      <c r="U4" s="1"/>
      <c r="V4" s="8"/>
      <c r="W4" s="8"/>
      <c r="X4" s="8"/>
      <c r="Y4" s="8"/>
      <c r="Z4" s="8"/>
      <c r="AA4" s="182"/>
    </row>
    <row r="5" spans="1:27" ht="12.75" customHeight="1">
      <c r="A5" s="1"/>
      <c r="B5" s="1"/>
      <c r="C5" s="1"/>
      <c r="D5" s="1"/>
      <c r="E5" s="1"/>
      <c r="F5" s="1"/>
      <c r="G5" s="1"/>
      <c r="H5" s="1"/>
      <c r="I5" s="1"/>
      <c r="J5" s="1"/>
      <c r="K5" s="8"/>
      <c r="L5" s="8"/>
      <c r="M5" s="8"/>
      <c r="N5" s="8"/>
      <c r="O5" s="8"/>
      <c r="P5" s="8"/>
      <c r="Q5" s="8"/>
      <c r="R5" s="8"/>
      <c r="S5" s="1"/>
      <c r="T5" s="1"/>
      <c r="U5" s="1"/>
      <c r="V5" s="8"/>
      <c r="W5" s="8"/>
      <c r="X5" s="8"/>
      <c r="Y5" s="8"/>
      <c r="Z5" s="8"/>
      <c r="AA5" s="182"/>
    </row>
    <row r="6" spans="1:27" ht="32.25" customHeight="1">
      <c r="A6" s="1"/>
      <c r="B6" s="23" t="s">
        <v>89</v>
      </c>
      <c r="C6" s="23" t="s">
        <v>90</v>
      </c>
      <c r="D6" s="23" t="s">
        <v>91</v>
      </c>
      <c r="E6" s="23" t="s">
        <v>92</v>
      </c>
      <c r="F6" s="23" t="s">
        <v>93</v>
      </c>
      <c r="G6" s="23" t="s">
        <v>203</v>
      </c>
      <c r="H6" s="23" t="s">
        <v>499</v>
      </c>
      <c r="I6" s="23" t="s">
        <v>27</v>
      </c>
      <c r="J6" s="23" t="s">
        <v>101</v>
      </c>
      <c r="K6" s="23" t="s">
        <v>500</v>
      </c>
      <c r="L6" s="23" t="s">
        <v>113</v>
      </c>
      <c r="M6" s="23" t="s">
        <v>102</v>
      </c>
      <c r="N6" s="23" t="s">
        <v>103</v>
      </c>
      <c r="O6" s="23" t="s">
        <v>104</v>
      </c>
      <c r="P6" s="23" t="s">
        <v>501</v>
      </c>
      <c r="Q6" s="23" t="s">
        <v>502</v>
      </c>
      <c r="R6" s="23" t="s">
        <v>114</v>
      </c>
      <c r="S6" s="23" t="s">
        <v>115</v>
      </c>
      <c r="T6" s="23" t="s">
        <v>116</v>
      </c>
      <c r="U6" s="23" t="s">
        <v>30</v>
      </c>
      <c r="V6" s="343" t="s">
        <v>117</v>
      </c>
      <c r="W6" s="343" t="s">
        <v>118</v>
      </c>
      <c r="X6" s="343" t="s">
        <v>119</v>
      </c>
      <c r="Y6" s="44" t="s">
        <v>503</v>
      </c>
      <c r="AA6" s="182"/>
    </row>
    <row r="7" spans="1:27" s="338" customFormat="1" ht="21.75" customHeight="1">
      <c r="A7" s="337"/>
      <c r="B7" s="345" t="s">
        <v>122</v>
      </c>
      <c r="C7" s="345"/>
      <c r="D7" s="345" t="s">
        <v>179</v>
      </c>
      <c r="E7" s="345" t="s">
        <v>124</v>
      </c>
      <c r="F7" s="345" t="s">
        <v>180</v>
      </c>
      <c r="G7" s="345"/>
      <c r="H7" s="345" t="s">
        <v>499</v>
      </c>
      <c r="I7" s="345" t="s">
        <v>27</v>
      </c>
      <c r="J7" s="345" t="s">
        <v>133</v>
      </c>
      <c r="K7" s="345" t="s">
        <v>123</v>
      </c>
      <c r="L7" s="345"/>
      <c r="M7" s="345"/>
      <c r="N7" s="345" t="s">
        <v>134</v>
      </c>
      <c r="O7" s="345"/>
      <c r="P7" s="345"/>
      <c r="Q7" s="345"/>
      <c r="R7" s="345" t="s">
        <v>135</v>
      </c>
      <c r="S7" s="345" t="s">
        <v>136</v>
      </c>
      <c r="T7" s="345" t="s">
        <v>137</v>
      </c>
      <c r="U7" s="345" t="s">
        <v>138</v>
      </c>
      <c r="V7" s="346" t="s">
        <v>139</v>
      </c>
      <c r="W7" s="346"/>
      <c r="X7" s="346" t="s">
        <v>140</v>
      </c>
      <c r="Y7" s="339"/>
      <c r="AA7" s="341"/>
    </row>
    <row r="8" spans="1:27" ht="21.75" customHeight="1">
      <c r="A8" s="1"/>
      <c r="B8" s="34">
        <v>1</v>
      </c>
      <c r="C8" s="47" t="s">
        <v>37</v>
      </c>
      <c r="D8" s="92"/>
      <c r="E8" s="92"/>
      <c r="F8" s="92"/>
      <c r="G8" s="92"/>
      <c r="H8" s="92"/>
      <c r="I8" s="92"/>
      <c r="J8" s="92"/>
      <c r="K8" s="63" t="str">
        <f t="shared" ref="K8:K15" si="0">IF(D8=$C$20,$D$20,IF(D8=$C$21,$D$21,""))</f>
        <v/>
      </c>
      <c r="L8" s="216" t="e">
        <f t="array" ref="L8">INDEX($G$20:$G$44,MATCH(1,(G8=$E$20:$E$44)*(H8=$F$20:$F$44),0))</f>
        <v>#N/A</v>
      </c>
      <c r="M8" s="63" t="str">
        <f t="shared" ref="M8:M15" si="1">IF(D8="", "", VLOOKUP(G8, $E$20:$L$41, 8, FALSE))</f>
        <v/>
      </c>
      <c r="N8" s="63" t="str">
        <f t="shared" ref="N8:N15" si="2">IFERROR(INDEX($M$20:$M$44,MATCH(M8,$L$20:$L$44,0)),"")</f>
        <v/>
      </c>
      <c r="O8" s="63" t="str">
        <f t="shared" ref="O8:O15" si="3">IFERROR(INDEX($N$20:$N$44,MATCH(M8,$L$20:$L$44,0)),"")</f>
        <v/>
      </c>
      <c r="P8" s="63" t="e">
        <f t="array" ref="P8">INDEX($I$20:$I$44,MATCH(1,(G8=$E$20:$E$44)*(H8=$F$20:$F$44),0))</f>
        <v>#N/A</v>
      </c>
      <c r="Q8" s="63" t="e">
        <f t="array" ref="Q8">INDEX($H$20:$H$44,MATCH(1,(G8=$E$20:$E$44)*(H8=$F$20:$F$44),0))</f>
        <v>#N/A</v>
      </c>
      <c r="R8" s="63">
        <f>ROUND(T8/8760,6)</f>
        <v>0</v>
      </c>
      <c r="S8" s="262">
        <f>IFERROR(ROUND(P8*I8,6),0)</f>
        <v>0</v>
      </c>
      <c r="T8" s="228">
        <f>IFERROR(ROUND(Q8*I8,4),0)</f>
        <v>0</v>
      </c>
      <c r="U8" s="263" cm="1">
        <f t="array" ref="U8">IFERROR(IF(INDEX($K$20:$K$44,MATCH(1,(G8=$E$20:$E$44)*(H8=$F$20:$F$44),0))&gt;I8*J8,I8*J8,INDEX($K$20:$K$44,MATCH(1,(G8=$E$20:$E$44)*(H8=$F$20:$F$44),0))),0)</f>
        <v>0</v>
      </c>
      <c r="V8" s="349" t="str" cm="1">
        <f t="array" ref="V8">IFERROR(INDEX($K$20:$K$44,MATCH(1,(G8=$E$20:$E$44)*(H8=$F$20:$F$44),0)),"")</f>
        <v/>
      </c>
      <c r="W8" s="349" t="str">
        <f t="shared" ref="W8:W15" si="4">IF(I8="","",I8*J8)</f>
        <v/>
      </c>
      <c r="X8" s="350" t="str">
        <f>IF(T8&gt;0,"Yes","No")</f>
        <v>No</v>
      </c>
      <c r="Y8" s="10" t="b">
        <f t="shared" ref="Y8:Y15" si="5">IF(OR(G8=$E$20,G8=$E$27,G8=$E$21),"NA",IF(G8=$E$28,"Copier",IF(G8=$E$31,"Printer",IF(G8=$E$37,"Multifunction",IF(G8=$E$22,"Monitor")))))</f>
        <v>0</v>
      </c>
      <c r="Z8" s="26"/>
      <c r="AA8" s="182"/>
    </row>
    <row r="9" spans="1:27" ht="21.75" customHeight="1">
      <c r="A9" s="1"/>
      <c r="B9" s="34">
        <v>2</v>
      </c>
      <c r="C9" s="47" t="s">
        <v>37</v>
      </c>
      <c r="D9" s="92"/>
      <c r="E9" s="92"/>
      <c r="F9" s="92"/>
      <c r="G9" s="92"/>
      <c r="H9" s="92"/>
      <c r="I9" s="92"/>
      <c r="J9" s="92"/>
      <c r="K9" s="63" t="str">
        <f t="shared" si="0"/>
        <v/>
      </c>
      <c r="L9" s="216" t="e">
        <f t="array" ref="L9">INDEX($G$20:$G$44,MATCH(1,(G9=$E$20:$E$44)*(H9=$F$20:$F$44),0))</f>
        <v>#N/A</v>
      </c>
      <c r="M9" s="63" t="str">
        <f t="shared" si="1"/>
        <v/>
      </c>
      <c r="N9" s="63" t="str">
        <f t="shared" si="2"/>
        <v/>
      </c>
      <c r="O9" s="63" t="str">
        <f t="shared" si="3"/>
        <v/>
      </c>
      <c r="P9" s="63" t="e">
        <f t="array" ref="P9">INDEX($I$20:$I$44,MATCH(1,(G9=$E$20:$E$44)*(H9=$F$20:$F$44),0))</f>
        <v>#N/A</v>
      </c>
      <c r="Q9" s="63" t="e">
        <f t="array" ref="Q9">INDEX($H$20:$H$44,MATCH(1,(G9=$E$20:$E$44)*(H9=$F$20:$F$44),0))</f>
        <v>#N/A</v>
      </c>
      <c r="R9" s="63">
        <f t="shared" ref="R9:R15" si="6">ROUND(T9/8760,6)</f>
        <v>0</v>
      </c>
      <c r="S9" s="262">
        <f t="shared" ref="S9:S15" si="7">IFERROR(ROUND(P9*I9,6),0)</f>
        <v>0</v>
      </c>
      <c r="T9" s="228">
        <f t="shared" ref="T9:T15" si="8">IFERROR(ROUND(Q9*I9,4),0)</f>
        <v>0</v>
      </c>
      <c r="U9" s="263" cm="1">
        <f t="array" ref="U9">IFERROR(IF(INDEX($K$20:$K$44,MATCH(1,(G9=$E$20:$E$44)*(H9=$F$20:$F$44),0))&gt;I9*J9,I9*J9,INDEX($K$20:$K$44,MATCH(1,(G9=$E$20:$E$44)*(H9=$F$20:$F$44),0))),0)</f>
        <v>0</v>
      </c>
      <c r="V9" s="349" t="str" cm="1">
        <f t="array" ref="V9">IFERROR(INDEX($K$20:$K$44,MATCH(1,(G9=$E$20:$E$44)*(H9=$F$20:$F$44),0)),"")</f>
        <v/>
      </c>
      <c r="W9" s="349" t="str">
        <f t="shared" si="4"/>
        <v/>
      </c>
      <c r="X9" s="350" t="str">
        <f t="shared" ref="X9:X15" si="9">IF(T9&gt;0,"Yes","No")</f>
        <v>No</v>
      </c>
      <c r="Y9" s="10" t="b">
        <f t="shared" si="5"/>
        <v>0</v>
      </c>
      <c r="Z9" s="26"/>
      <c r="AA9" s="182"/>
    </row>
    <row r="10" spans="1:27" ht="21.75" customHeight="1">
      <c r="A10" s="1"/>
      <c r="B10" s="34">
        <v>3</v>
      </c>
      <c r="C10" s="47" t="s">
        <v>37</v>
      </c>
      <c r="D10" s="92"/>
      <c r="E10" s="92"/>
      <c r="F10" s="92"/>
      <c r="G10" s="92"/>
      <c r="H10" s="92"/>
      <c r="I10" s="92"/>
      <c r="J10" s="92"/>
      <c r="K10" s="63" t="str">
        <f t="shared" si="0"/>
        <v/>
      </c>
      <c r="L10" s="216" t="e">
        <f t="array" ref="L10">INDEX($G$20:$G$44,MATCH(1,(G10=$E$20:$E$44)*(H10=$F$20:$F$44),0))</f>
        <v>#N/A</v>
      </c>
      <c r="M10" s="63" t="str">
        <f t="shared" si="1"/>
        <v/>
      </c>
      <c r="N10" s="63" t="str">
        <f t="shared" si="2"/>
        <v/>
      </c>
      <c r="O10" s="63" t="str">
        <f t="shared" si="3"/>
        <v/>
      </c>
      <c r="P10" s="63" t="e">
        <f t="array" ref="P10">INDEX($I$20:$I$44,MATCH(1,(G10=$E$20:$E$44)*(H10=$F$20:$F$44),0))</f>
        <v>#N/A</v>
      </c>
      <c r="Q10" s="63" t="e">
        <f t="array" ref="Q10">INDEX($H$20:$H$44,MATCH(1,(G10=$E$20:$E$44)*(H10=$F$20:$F$44),0))</f>
        <v>#N/A</v>
      </c>
      <c r="R10" s="63">
        <f t="shared" si="6"/>
        <v>0</v>
      </c>
      <c r="S10" s="262">
        <f t="shared" si="7"/>
        <v>0</v>
      </c>
      <c r="T10" s="228">
        <f t="shared" si="8"/>
        <v>0</v>
      </c>
      <c r="U10" s="263" cm="1">
        <f t="array" ref="U10">IFERROR(IF(INDEX($K$20:$K$44,MATCH(1,(G10=$E$20:$E$44)*(H10=$F$20:$F$44),0))&gt;I10*J10,I10*J10,INDEX($K$20:$K$44,MATCH(1,(G10=$E$20:$E$44)*(H10=$F$20:$F$44),0))),0)</f>
        <v>0</v>
      </c>
      <c r="V10" s="349" t="str" cm="1">
        <f t="array" ref="V10">IFERROR(INDEX($K$20:$K$44,MATCH(1,(G10=$E$20:$E$44)*(H10=$F$20:$F$44),0)),"")</f>
        <v/>
      </c>
      <c r="W10" s="349" t="str">
        <f t="shared" si="4"/>
        <v/>
      </c>
      <c r="X10" s="350" t="str">
        <f t="shared" si="9"/>
        <v>No</v>
      </c>
      <c r="Y10" s="10" t="b">
        <f t="shared" si="5"/>
        <v>0</v>
      </c>
      <c r="Z10" s="26"/>
      <c r="AA10" s="182"/>
    </row>
    <row r="11" spans="1:27" ht="21.75" customHeight="1">
      <c r="A11" s="1"/>
      <c r="B11" s="34">
        <v>4</v>
      </c>
      <c r="C11" s="47" t="s">
        <v>37</v>
      </c>
      <c r="D11" s="92"/>
      <c r="E11" s="92"/>
      <c r="F11" s="92"/>
      <c r="G11" s="92"/>
      <c r="H11" s="92"/>
      <c r="I11" s="92"/>
      <c r="J11" s="92"/>
      <c r="K11" s="63" t="str">
        <f t="shared" si="0"/>
        <v/>
      </c>
      <c r="L11" s="216" t="e">
        <f t="array" ref="L11">INDEX($G$20:$G$44,MATCH(1,(G11=$E$20:$E$44)*(H11=$F$20:$F$44),0))</f>
        <v>#N/A</v>
      </c>
      <c r="M11" s="63" t="str">
        <f t="shared" si="1"/>
        <v/>
      </c>
      <c r="N11" s="63" t="str">
        <f t="shared" si="2"/>
        <v/>
      </c>
      <c r="O11" s="63" t="str">
        <f t="shared" si="3"/>
        <v/>
      </c>
      <c r="P11" s="63" t="e">
        <f t="array" ref="P11">INDEX($I$20:$I$44,MATCH(1,(G11=$E$20:$E$44)*(H11=$F$20:$F$44),0))</f>
        <v>#N/A</v>
      </c>
      <c r="Q11" s="63" t="e">
        <f t="array" ref="Q11">INDEX($H$20:$H$44,MATCH(1,(G11=$E$20:$E$44)*(H11=$F$20:$F$44),0))</f>
        <v>#N/A</v>
      </c>
      <c r="R11" s="63">
        <f t="shared" si="6"/>
        <v>0</v>
      </c>
      <c r="S11" s="262">
        <f t="shared" si="7"/>
        <v>0</v>
      </c>
      <c r="T11" s="228">
        <f t="shared" si="8"/>
        <v>0</v>
      </c>
      <c r="U11" s="263" cm="1">
        <f t="array" ref="U11">IFERROR(IF(INDEX($K$20:$K$44,MATCH(1,(G11=$E$20:$E$44)*(H11=$F$20:$F$44),0))&gt;I11*J11,I11*J11,INDEX($K$20:$K$44,MATCH(1,(G11=$E$20:$E$44)*(H11=$F$20:$F$44),0))),0)</f>
        <v>0</v>
      </c>
      <c r="V11" s="349" t="str" cm="1">
        <f t="array" ref="V11">IFERROR(INDEX($K$20:$K$44,MATCH(1,(G11=$E$20:$E$44)*(H11=$F$20:$F$44),0)),"")</f>
        <v/>
      </c>
      <c r="W11" s="349" t="str">
        <f t="shared" si="4"/>
        <v/>
      </c>
      <c r="X11" s="350" t="str">
        <f t="shared" si="9"/>
        <v>No</v>
      </c>
      <c r="Y11" s="10" t="b">
        <f t="shared" si="5"/>
        <v>0</v>
      </c>
      <c r="Z11" s="26"/>
      <c r="AA11" s="182"/>
    </row>
    <row r="12" spans="1:27" ht="21.75" customHeight="1">
      <c r="A12" s="1"/>
      <c r="B12" s="34">
        <v>5</v>
      </c>
      <c r="C12" s="47" t="s">
        <v>37</v>
      </c>
      <c r="D12" s="92"/>
      <c r="E12" s="92"/>
      <c r="F12" s="92"/>
      <c r="G12" s="92"/>
      <c r="H12" s="92"/>
      <c r="I12" s="92"/>
      <c r="J12" s="92"/>
      <c r="K12" s="63" t="str">
        <f t="shared" si="0"/>
        <v/>
      </c>
      <c r="L12" s="216" t="e">
        <f t="array" ref="L12">INDEX($G$20:$G$44,MATCH(1,(G12=$E$20:$E$44)*(H12=$F$20:$F$44),0))</f>
        <v>#N/A</v>
      </c>
      <c r="M12" s="63" t="str">
        <f t="shared" si="1"/>
        <v/>
      </c>
      <c r="N12" s="63" t="str">
        <f t="shared" si="2"/>
        <v/>
      </c>
      <c r="O12" s="63" t="str">
        <f t="shared" si="3"/>
        <v/>
      </c>
      <c r="P12" s="63" t="e">
        <f t="array" ref="P12">INDEX($I$20:$I$44,MATCH(1,(G12=$E$20:$E$44)*(H12=$F$20:$F$44),0))</f>
        <v>#N/A</v>
      </c>
      <c r="Q12" s="63" t="e">
        <f t="array" ref="Q12">INDEX($H$20:$H$44,MATCH(1,(G12=$E$20:$E$44)*(H12=$F$20:$F$44),0))</f>
        <v>#N/A</v>
      </c>
      <c r="R12" s="63">
        <f t="shared" si="6"/>
        <v>0</v>
      </c>
      <c r="S12" s="262">
        <f t="shared" si="7"/>
        <v>0</v>
      </c>
      <c r="T12" s="228">
        <f t="shared" si="8"/>
        <v>0</v>
      </c>
      <c r="U12" s="263" cm="1">
        <f t="array" ref="U12">IFERROR(IF(INDEX($K$20:$K$44,MATCH(1,(G12=$E$20:$E$44)*(H12=$F$20:$F$44),0))&gt;I12*J12,I12*J12,INDEX($K$20:$K$44,MATCH(1,(G12=$E$20:$E$44)*(H12=$F$20:$F$44),0))),0)</f>
        <v>0</v>
      </c>
      <c r="V12" s="349" t="str" cm="1">
        <f t="array" ref="V12">IFERROR(INDEX($K$20:$K$44,MATCH(1,(G12=$E$20:$E$44)*(H12=$F$20:$F$44),0)),"")</f>
        <v/>
      </c>
      <c r="W12" s="349" t="str">
        <f t="shared" si="4"/>
        <v/>
      </c>
      <c r="X12" s="350" t="str">
        <f t="shared" si="9"/>
        <v>No</v>
      </c>
      <c r="Y12" s="10" t="b">
        <f t="shared" si="5"/>
        <v>0</v>
      </c>
      <c r="Z12" s="26"/>
      <c r="AA12" s="182"/>
    </row>
    <row r="13" spans="1:27" ht="21.75" customHeight="1">
      <c r="A13" s="1"/>
      <c r="B13" s="34">
        <v>6</v>
      </c>
      <c r="C13" s="47" t="s">
        <v>37</v>
      </c>
      <c r="D13" s="92"/>
      <c r="E13" s="92"/>
      <c r="F13" s="92"/>
      <c r="G13" s="92"/>
      <c r="H13" s="92"/>
      <c r="I13" s="92"/>
      <c r="J13" s="92"/>
      <c r="K13" s="63" t="str">
        <f t="shared" si="0"/>
        <v/>
      </c>
      <c r="L13" s="216" t="e">
        <f t="array" ref="L13">INDEX($G$20:$G$44,MATCH(1,(G13=$E$20:$E$44)*(H13=$F$20:$F$44),0))</f>
        <v>#N/A</v>
      </c>
      <c r="M13" s="63" t="str">
        <f t="shared" si="1"/>
        <v/>
      </c>
      <c r="N13" s="63" t="str">
        <f t="shared" si="2"/>
        <v/>
      </c>
      <c r="O13" s="63" t="str">
        <f t="shared" si="3"/>
        <v/>
      </c>
      <c r="P13" s="63" t="e">
        <f t="array" ref="P13">INDEX($I$20:$I$44,MATCH(1,(G13=$E$20:$E$44)*(H13=$F$20:$F$44),0))</f>
        <v>#N/A</v>
      </c>
      <c r="Q13" s="63" t="e">
        <f t="array" ref="Q13">INDEX($H$20:$H$44,MATCH(1,(G13=$E$20:$E$44)*(H13=$F$20:$F$44),0))</f>
        <v>#N/A</v>
      </c>
      <c r="R13" s="63">
        <f t="shared" si="6"/>
        <v>0</v>
      </c>
      <c r="S13" s="262">
        <f t="shared" si="7"/>
        <v>0</v>
      </c>
      <c r="T13" s="228">
        <f t="shared" si="8"/>
        <v>0</v>
      </c>
      <c r="U13" s="263" cm="1">
        <f t="array" ref="U13">IFERROR(IF(INDEX($K$20:$K$44,MATCH(1,(G13=$E$20:$E$44)*(H13=$F$20:$F$44),0))&gt;I13*J13,I13*J13,INDEX($K$20:$K$44,MATCH(1,(G13=$E$20:$E$44)*(H13=$F$20:$F$44),0))),0)</f>
        <v>0</v>
      </c>
      <c r="V13" s="349" t="str" cm="1">
        <f t="array" ref="V13">IFERROR(INDEX($K$20:$K$44,MATCH(1,(G13=$E$20:$E$44)*(H13=$F$20:$F$44),0)),"")</f>
        <v/>
      </c>
      <c r="W13" s="349" t="str">
        <f t="shared" si="4"/>
        <v/>
      </c>
      <c r="X13" s="350" t="str">
        <f t="shared" si="9"/>
        <v>No</v>
      </c>
      <c r="Y13" s="10" t="b">
        <f t="shared" si="5"/>
        <v>0</v>
      </c>
      <c r="Z13" s="26"/>
      <c r="AA13" s="182"/>
    </row>
    <row r="14" spans="1:27" ht="21.75" customHeight="1">
      <c r="A14" s="1"/>
      <c r="B14" s="34">
        <v>7</v>
      </c>
      <c r="C14" s="47" t="s">
        <v>37</v>
      </c>
      <c r="D14" s="92"/>
      <c r="E14" s="92"/>
      <c r="F14" s="92"/>
      <c r="G14" s="92"/>
      <c r="H14" s="92"/>
      <c r="I14" s="92"/>
      <c r="J14" s="92"/>
      <c r="K14" s="63" t="str">
        <f t="shared" si="0"/>
        <v/>
      </c>
      <c r="L14" s="216" t="e">
        <f t="array" ref="L14">INDEX($G$20:$G$44,MATCH(1,(G14=$E$20:$E$44)*(H14=$F$20:$F$44),0))</f>
        <v>#N/A</v>
      </c>
      <c r="M14" s="63" t="str">
        <f t="shared" si="1"/>
        <v/>
      </c>
      <c r="N14" s="63" t="str">
        <f t="shared" si="2"/>
        <v/>
      </c>
      <c r="O14" s="63" t="str">
        <f t="shared" si="3"/>
        <v/>
      </c>
      <c r="P14" s="63" t="e">
        <f t="array" ref="P14">INDEX($I$20:$I$44,MATCH(1,(G14=$E$20:$E$44)*(H14=$F$20:$F$44),0))</f>
        <v>#N/A</v>
      </c>
      <c r="Q14" s="63" t="e">
        <f t="array" ref="Q14">INDEX($H$20:$H$44,MATCH(1,(G14=$E$20:$E$44)*(H14=$F$20:$F$44),0))</f>
        <v>#N/A</v>
      </c>
      <c r="R14" s="63">
        <f t="shared" si="6"/>
        <v>0</v>
      </c>
      <c r="S14" s="262">
        <f t="shared" si="7"/>
        <v>0</v>
      </c>
      <c r="T14" s="228">
        <f t="shared" si="8"/>
        <v>0</v>
      </c>
      <c r="U14" s="263" cm="1">
        <f t="array" ref="U14">IFERROR(IF(INDEX($K$20:$K$44,MATCH(1,(G14=$E$20:$E$44)*(H14=$F$20:$F$44),0))&gt;I14*J14,I14*J14,INDEX($K$20:$K$44,MATCH(1,(G14=$E$20:$E$44)*(H14=$F$20:$F$44),0))),0)</f>
        <v>0</v>
      </c>
      <c r="V14" s="349" t="str" cm="1">
        <f t="array" ref="V14">IFERROR(INDEX($K$20:$K$44,MATCH(1,(G14=$E$20:$E$44)*(H14=$F$20:$F$44),0)),"")</f>
        <v/>
      </c>
      <c r="W14" s="349" t="str">
        <f t="shared" si="4"/>
        <v/>
      </c>
      <c r="X14" s="350" t="str">
        <f t="shared" si="9"/>
        <v>No</v>
      </c>
      <c r="Y14" s="10" t="b">
        <f t="shared" si="5"/>
        <v>0</v>
      </c>
      <c r="Z14" s="26"/>
      <c r="AA14" s="182"/>
    </row>
    <row r="15" spans="1:27" ht="21.75" customHeight="1">
      <c r="A15" s="1"/>
      <c r="B15" s="34">
        <v>8</v>
      </c>
      <c r="C15" s="47" t="s">
        <v>37</v>
      </c>
      <c r="D15" s="92"/>
      <c r="E15" s="92"/>
      <c r="F15" s="92"/>
      <c r="G15" s="92"/>
      <c r="H15" s="92"/>
      <c r="I15" s="92"/>
      <c r="J15" s="92"/>
      <c r="K15" s="63" t="str">
        <f t="shared" si="0"/>
        <v/>
      </c>
      <c r="L15" s="216" t="e">
        <f t="array" ref="L15">INDEX($G$20:$G$44,MATCH(1,(G15=$E$20:$E$44)*(H15=$F$20:$F$44),0))</f>
        <v>#N/A</v>
      </c>
      <c r="M15" s="63" t="str">
        <f t="shared" si="1"/>
        <v/>
      </c>
      <c r="N15" s="63" t="str">
        <f t="shared" si="2"/>
        <v/>
      </c>
      <c r="O15" s="63" t="str">
        <f t="shared" si="3"/>
        <v/>
      </c>
      <c r="P15" s="63" t="e">
        <f t="array" ref="P15">INDEX($I$20:$I$44,MATCH(1,(G15=$E$20:$E$44)*(H15=$F$20:$F$44),0))</f>
        <v>#N/A</v>
      </c>
      <c r="Q15" s="63" t="e">
        <f t="array" ref="Q15">INDEX($H$20:$H$44,MATCH(1,(G15=$E$20:$E$44)*(H15=$F$20:$F$44),0))</f>
        <v>#N/A</v>
      </c>
      <c r="R15" s="63">
        <f t="shared" si="6"/>
        <v>0</v>
      </c>
      <c r="S15" s="262">
        <f t="shared" si="7"/>
        <v>0</v>
      </c>
      <c r="T15" s="228">
        <f t="shared" si="8"/>
        <v>0</v>
      </c>
      <c r="U15" s="263" cm="1">
        <f t="array" ref="U15">IFERROR(IF(INDEX($K$20:$K$44,MATCH(1,(G15=$E$20:$E$44)*(H15=$F$20:$F$44),0))&gt;I15*J15,I15*J15,INDEX($K$20:$K$44,MATCH(1,(G15=$E$20:$E$44)*(H15=$F$20:$F$44),0))),0)</f>
        <v>0</v>
      </c>
      <c r="V15" s="349" t="str" cm="1">
        <f t="array" ref="V15">IFERROR(INDEX($K$20:$K$44,MATCH(1,(G15=$E$20:$E$44)*(H15=$F$20:$F$44),0)),"")</f>
        <v/>
      </c>
      <c r="W15" s="349" t="str">
        <f t="shared" si="4"/>
        <v/>
      </c>
      <c r="X15" s="350" t="str">
        <f t="shared" si="9"/>
        <v>No</v>
      </c>
      <c r="Y15" s="10" t="b">
        <f t="shared" si="5"/>
        <v>0</v>
      </c>
      <c r="Z15" s="26"/>
      <c r="AA15" s="182"/>
    </row>
    <row r="16" spans="1:27" hidden="1">
      <c r="A16" s="8"/>
      <c r="L16" s="82"/>
      <c r="M16" s="82"/>
      <c r="N16" s="82"/>
      <c r="O16" s="82"/>
      <c r="P16" s="82"/>
      <c r="Q16" s="82"/>
      <c r="R16" s="82"/>
      <c r="AA16" s="182"/>
    </row>
    <row r="17" spans="1:27" hidden="1">
      <c r="A17" s="8"/>
      <c r="I17" s="10">
        <f>SUM(I8:I15)</f>
        <v>0</v>
      </c>
      <c r="J17" s="10"/>
      <c r="K17" s="10"/>
      <c r="L17" s="153"/>
      <c r="M17" s="153"/>
      <c r="N17" s="153"/>
      <c r="O17" s="153"/>
      <c r="P17" s="153"/>
      <c r="Q17" s="153"/>
      <c r="R17" s="153"/>
      <c r="S17" s="99">
        <f>SUM(S8:S15)</f>
        <v>0</v>
      </c>
      <c r="T17" s="99">
        <f>SUM(T8:T15)</f>
        <v>0</v>
      </c>
      <c r="U17" s="64">
        <f>SUM(U8:U15)</f>
        <v>0</v>
      </c>
      <c r="V17" s="64"/>
      <c r="W17" s="64"/>
      <c r="X17" s="64"/>
      <c r="AA17" s="182"/>
    </row>
    <row r="18" spans="1:27" hidden="1">
      <c r="A18" s="8"/>
      <c r="AA18" s="182"/>
    </row>
    <row r="19" spans="1:27" hidden="1">
      <c r="A19" s="8"/>
      <c r="C19" s="13" t="s">
        <v>91</v>
      </c>
      <c r="D19" s="13" t="s">
        <v>500</v>
      </c>
      <c r="E19" s="60" t="s">
        <v>203</v>
      </c>
      <c r="F19" s="60" t="s">
        <v>262</v>
      </c>
      <c r="G19" s="60" t="s">
        <v>113</v>
      </c>
      <c r="H19" s="60" t="s">
        <v>504</v>
      </c>
      <c r="I19" s="60" t="s">
        <v>505</v>
      </c>
      <c r="J19" s="60"/>
      <c r="K19" s="148" t="s">
        <v>30</v>
      </c>
      <c r="L19" s="148" t="s">
        <v>102</v>
      </c>
      <c r="M19" s="258" t="s">
        <v>506</v>
      </c>
      <c r="N19" s="258" t="s">
        <v>507</v>
      </c>
      <c r="O19" s="258"/>
      <c r="AA19" s="182"/>
    </row>
    <row r="20" spans="1:27" hidden="1">
      <c r="A20" s="8"/>
      <c r="C20" s="15" t="s">
        <v>146</v>
      </c>
      <c r="D20" s="15" t="s">
        <v>146</v>
      </c>
      <c r="E20" s="48" t="s">
        <v>508</v>
      </c>
      <c r="F20" s="3" t="s">
        <v>401</v>
      </c>
      <c r="G20" s="3">
        <v>4</v>
      </c>
      <c r="H20" s="216">
        <v>124</v>
      </c>
      <c r="I20" s="209">
        <v>1.67E-2</v>
      </c>
      <c r="J20" s="209"/>
      <c r="K20" s="16">
        <v>5</v>
      </c>
      <c r="L20" s="48" t="s">
        <v>72</v>
      </c>
      <c r="M20" t="s">
        <v>509</v>
      </c>
      <c r="N20" t="s">
        <v>510</v>
      </c>
      <c r="P20" t="s">
        <v>508</v>
      </c>
      <c r="AA20" s="182"/>
    </row>
    <row r="21" spans="1:27" hidden="1">
      <c r="A21" s="8"/>
      <c r="C21" s="15" t="s">
        <v>147</v>
      </c>
      <c r="D21" s="15" t="s">
        <v>511</v>
      </c>
      <c r="E21" s="259" t="s">
        <v>512</v>
      </c>
      <c r="F21" s="216" t="s">
        <v>401</v>
      </c>
      <c r="G21" s="216">
        <v>4</v>
      </c>
      <c r="H21" s="216">
        <v>37</v>
      </c>
      <c r="I21" s="209">
        <v>5.0000000000000001E-3</v>
      </c>
      <c r="J21" s="209"/>
      <c r="K21" s="260">
        <v>5</v>
      </c>
      <c r="L21" s="259" t="s">
        <v>72</v>
      </c>
      <c r="M21" t="s">
        <v>509</v>
      </c>
      <c r="N21" t="s">
        <v>510</v>
      </c>
      <c r="O21" s="261"/>
      <c r="P21" s="217" t="s">
        <v>512</v>
      </c>
      <c r="R21" s="217"/>
      <c r="AA21" s="182"/>
    </row>
    <row r="22" spans="1:27" hidden="1">
      <c r="A22" s="8"/>
      <c r="E22" s="259" t="s">
        <v>513</v>
      </c>
      <c r="F22" s="217" t="s">
        <v>514</v>
      </c>
      <c r="G22" s="216">
        <v>4</v>
      </c>
      <c r="H22" s="216">
        <v>5</v>
      </c>
      <c r="I22" s="209">
        <v>6.9999999999999999E-4</v>
      </c>
      <c r="J22" s="209"/>
      <c r="K22" s="260">
        <v>5</v>
      </c>
      <c r="L22" s="259" t="s">
        <v>74</v>
      </c>
      <c r="M22" s="261" t="s">
        <v>515</v>
      </c>
      <c r="N22" s="261" t="s">
        <v>516</v>
      </c>
      <c r="O22" s="261"/>
      <c r="P22" t="s">
        <v>513</v>
      </c>
      <c r="AA22" s="182"/>
    </row>
    <row r="23" spans="1:27" hidden="1">
      <c r="A23" s="8"/>
      <c r="E23" s="259" t="s">
        <v>513</v>
      </c>
      <c r="F23" s="217" t="s">
        <v>517</v>
      </c>
      <c r="G23" s="216">
        <v>4</v>
      </c>
      <c r="H23" s="216">
        <v>6</v>
      </c>
      <c r="I23" s="209">
        <v>8.0000000000000004E-4</v>
      </c>
      <c r="J23" s="209"/>
      <c r="K23" s="260">
        <v>5</v>
      </c>
      <c r="L23" s="259" t="s">
        <v>74</v>
      </c>
      <c r="M23" s="261" t="s">
        <v>515</v>
      </c>
      <c r="N23" s="261" t="s">
        <v>516</v>
      </c>
      <c r="O23" s="261"/>
      <c r="P23" t="s">
        <v>518</v>
      </c>
      <c r="AA23" s="182"/>
    </row>
    <row r="24" spans="1:27" hidden="1">
      <c r="A24" s="8"/>
      <c r="E24" s="259" t="s">
        <v>513</v>
      </c>
      <c r="F24" s="217" t="s">
        <v>519</v>
      </c>
      <c r="G24" s="216">
        <v>4</v>
      </c>
      <c r="H24" s="216">
        <v>9</v>
      </c>
      <c r="I24" s="209">
        <v>1.1999999999999999E-3</v>
      </c>
      <c r="J24" s="209"/>
      <c r="K24" s="260">
        <v>5</v>
      </c>
      <c r="L24" s="259" t="s">
        <v>74</v>
      </c>
      <c r="M24" s="261" t="s">
        <v>515</v>
      </c>
      <c r="N24" s="261" t="s">
        <v>516</v>
      </c>
      <c r="O24" s="261"/>
      <c r="P24" t="s">
        <v>520</v>
      </c>
      <c r="AA24" s="182"/>
    </row>
    <row r="25" spans="1:27" hidden="1">
      <c r="A25" s="8"/>
      <c r="E25" s="259" t="s">
        <v>513</v>
      </c>
      <c r="F25" s="217" t="s">
        <v>521</v>
      </c>
      <c r="G25" s="216">
        <v>4</v>
      </c>
      <c r="H25" s="216">
        <v>8</v>
      </c>
      <c r="I25" s="209">
        <v>1.1000000000000001E-3</v>
      </c>
      <c r="J25" s="209"/>
      <c r="K25" s="260">
        <v>5</v>
      </c>
      <c r="L25" s="259" t="s">
        <v>74</v>
      </c>
      <c r="M25" s="261" t="s">
        <v>515</v>
      </c>
      <c r="N25" s="261" t="s">
        <v>516</v>
      </c>
      <c r="O25" s="261"/>
      <c r="P25" t="s">
        <v>522</v>
      </c>
      <c r="AA25" s="182"/>
    </row>
    <row r="26" spans="1:27" hidden="1">
      <c r="A26" s="8"/>
      <c r="E26" s="259" t="s">
        <v>513</v>
      </c>
      <c r="F26" s="217" t="s">
        <v>523</v>
      </c>
      <c r="G26" s="216">
        <v>4</v>
      </c>
      <c r="H26" s="216">
        <v>22</v>
      </c>
      <c r="I26" s="209">
        <v>3.0000000000000001E-3</v>
      </c>
      <c r="J26" s="209"/>
      <c r="K26" s="260">
        <v>5</v>
      </c>
      <c r="L26" s="259" t="s">
        <v>74</v>
      </c>
      <c r="M26" s="261" t="s">
        <v>515</v>
      </c>
      <c r="N26" s="261" t="s">
        <v>516</v>
      </c>
      <c r="O26" s="261"/>
      <c r="P26" t="s">
        <v>524</v>
      </c>
      <c r="AA26" s="182"/>
    </row>
    <row r="27" spans="1:27" hidden="1">
      <c r="A27" s="8"/>
      <c r="E27" s="48" t="s">
        <v>518</v>
      </c>
      <c r="F27" s="3" t="s">
        <v>401</v>
      </c>
      <c r="G27" s="3">
        <v>4</v>
      </c>
      <c r="H27" s="216">
        <v>16</v>
      </c>
      <c r="I27" s="209">
        <v>2.2000000000000001E-3</v>
      </c>
      <c r="J27" s="209"/>
      <c r="K27" s="16">
        <v>10</v>
      </c>
      <c r="L27" s="48" t="s">
        <v>78</v>
      </c>
      <c r="M27" t="s">
        <v>525</v>
      </c>
      <c r="N27" t="s">
        <v>526</v>
      </c>
      <c r="AA27" s="182"/>
    </row>
    <row r="28" spans="1:27" hidden="1">
      <c r="A28" s="8"/>
      <c r="E28" s="48" t="s">
        <v>520</v>
      </c>
      <c r="F28" s="3" t="s">
        <v>527</v>
      </c>
      <c r="G28" s="3">
        <v>6</v>
      </c>
      <c r="H28" s="3">
        <v>73</v>
      </c>
      <c r="I28" s="54">
        <v>9.7999999999999997E-3</v>
      </c>
      <c r="J28" s="54"/>
      <c r="K28" s="16">
        <v>10</v>
      </c>
      <c r="L28" s="48" t="s">
        <v>76</v>
      </c>
      <c r="M28" t="s">
        <v>525</v>
      </c>
      <c r="N28" t="s">
        <v>526</v>
      </c>
      <c r="AA28" s="182"/>
    </row>
    <row r="29" spans="1:27" hidden="1">
      <c r="A29" s="8"/>
      <c r="E29" s="48" t="s">
        <v>520</v>
      </c>
      <c r="F29" s="3" t="s">
        <v>528</v>
      </c>
      <c r="G29" s="3">
        <v>6</v>
      </c>
      <c r="H29" s="3">
        <v>151</v>
      </c>
      <c r="I29" s="54">
        <v>2.0299999999999999E-2</v>
      </c>
      <c r="J29" s="54"/>
      <c r="K29" s="16">
        <v>10</v>
      </c>
      <c r="L29" s="48" t="s">
        <v>76</v>
      </c>
      <c r="M29" t="s">
        <v>525</v>
      </c>
      <c r="N29" t="s">
        <v>526</v>
      </c>
      <c r="AA29" s="182"/>
    </row>
    <row r="30" spans="1:27" hidden="1">
      <c r="A30" s="8"/>
      <c r="E30" s="48" t="s">
        <v>520</v>
      </c>
      <c r="F30" s="3" t="s">
        <v>529</v>
      </c>
      <c r="G30" s="3">
        <v>6</v>
      </c>
      <c r="H30" s="3">
        <v>162</v>
      </c>
      <c r="I30" s="54">
        <v>2.18E-2</v>
      </c>
      <c r="J30" s="54"/>
      <c r="K30" s="16">
        <v>10</v>
      </c>
      <c r="L30" s="48" t="s">
        <v>76</v>
      </c>
      <c r="M30" t="s">
        <v>525</v>
      </c>
      <c r="N30" t="s">
        <v>526</v>
      </c>
      <c r="AA30" s="182"/>
    </row>
    <row r="31" spans="1:27" hidden="1">
      <c r="A31" s="8"/>
      <c r="E31" s="48" t="s">
        <v>522</v>
      </c>
      <c r="F31" s="3" t="s">
        <v>530</v>
      </c>
      <c r="G31" s="3">
        <v>5</v>
      </c>
      <c r="H31" s="3">
        <v>26</v>
      </c>
      <c r="I31" s="54">
        <v>3.5000000000000001E-3</v>
      </c>
      <c r="J31" s="54"/>
      <c r="K31" s="16">
        <v>10</v>
      </c>
      <c r="L31" s="48" t="s">
        <v>82</v>
      </c>
      <c r="M31" t="s">
        <v>525</v>
      </c>
      <c r="N31" t="s">
        <v>526</v>
      </c>
      <c r="AA31" s="182"/>
    </row>
    <row r="32" spans="1:27" hidden="1">
      <c r="A32" s="8"/>
      <c r="E32" s="48" t="s">
        <v>522</v>
      </c>
      <c r="F32" s="3" t="s">
        <v>531</v>
      </c>
      <c r="G32" s="3">
        <v>5</v>
      </c>
      <c r="H32" s="3">
        <v>73</v>
      </c>
      <c r="I32" s="54">
        <v>9.7999999999999997E-3</v>
      </c>
      <c r="J32" s="54"/>
      <c r="K32" s="16">
        <v>10</v>
      </c>
      <c r="L32" s="48" t="s">
        <v>82</v>
      </c>
      <c r="M32" t="s">
        <v>525</v>
      </c>
      <c r="N32" t="s">
        <v>526</v>
      </c>
      <c r="AA32" s="182"/>
    </row>
    <row r="33" spans="1:27" hidden="1">
      <c r="A33" s="8"/>
      <c r="E33" s="48" t="s">
        <v>522</v>
      </c>
      <c r="F33" s="3" t="s">
        <v>532</v>
      </c>
      <c r="G33" s="3">
        <v>5</v>
      </c>
      <c r="H33" s="3">
        <v>104</v>
      </c>
      <c r="I33" s="54">
        <v>1.4E-2</v>
      </c>
      <c r="J33" s="54"/>
      <c r="K33" s="16">
        <v>10</v>
      </c>
      <c r="L33" s="48" t="s">
        <v>82</v>
      </c>
      <c r="M33" t="s">
        <v>525</v>
      </c>
      <c r="N33" t="s">
        <v>526</v>
      </c>
      <c r="AA33" s="182"/>
    </row>
    <row r="34" spans="1:27" hidden="1">
      <c r="A34" s="8"/>
      <c r="E34" s="48" t="s">
        <v>522</v>
      </c>
      <c r="F34" s="3" t="s">
        <v>533</v>
      </c>
      <c r="G34" s="3">
        <v>5</v>
      </c>
      <c r="H34" s="3">
        <v>156</v>
      </c>
      <c r="I34" s="54">
        <v>2.1000000000000001E-2</v>
      </c>
      <c r="J34" s="54"/>
      <c r="K34" s="16">
        <v>10</v>
      </c>
      <c r="L34" s="48" t="s">
        <v>82</v>
      </c>
      <c r="M34" t="s">
        <v>525</v>
      </c>
      <c r="N34" t="s">
        <v>526</v>
      </c>
      <c r="AA34" s="182"/>
    </row>
    <row r="35" spans="1:27" hidden="1">
      <c r="A35" s="8"/>
      <c r="E35" s="48" t="s">
        <v>522</v>
      </c>
      <c r="F35" s="3" t="s">
        <v>534</v>
      </c>
      <c r="G35" s="3">
        <v>5</v>
      </c>
      <c r="H35" s="3">
        <v>133</v>
      </c>
      <c r="I35" s="54">
        <v>1.7899999999999999E-2</v>
      </c>
      <c r="J35" s="54"/>
      <c r="K35" s="16">
        <v>10</v>
      </c>
      <c r="L35" s="48" t="s">
        <v>82</v>
      </c>
      <c r="M35" t="s">
        <v>525</v>
      </c>
      <c r="N35" t="s">
        <v>526</v>
      </c>
      <c r="AA35" s="182"/>
    </row>
    <row r="36" spans="1:27" hidden="1">
      <c r="A36" s="8"/>
      <c r="E36" s="48" t="s">
        <v>522</v>
      </c>
      <c r="F36" s="3" t="s">
        <v>535</v>
      </c>
      <c r="G36" s="3">
        <v>5</v>
      </c>
      <c r="H36" s="3">
        <v>329</v>
      </c>
      <c r="I36" s="54">
        <v>4.4299999999999999E-2</v>
      </c>
      <c r="J36" s="54"/>
      <c r="K36" s="16">
        <v>10</v>
      </c>
      <c r="L36" s="48" t="s">
        <v>82</v>
      </c>
      <c r="M36" t="s">
        <v>525</v>
      </c>
      <c r="N36" t="s">
        <v>526</v>
      </c>
      <c r="AA36" s="182"/>
    </row>
    <row r="37" spans="1:27" hidden="1">
      <c r="A37" s="8"/>
      <c r="E37" s="48" t="s">
        <v>524</v>
      </c>
      <c r="F37" s="3" t="s">
        <v>530</v>
      </c>
      <c r="G37" s="3">
        <v>6</v>
      </c>
      <c r="H37" s="3">
        <v>78</v>
      </c>
      <c r="I37" s="54">
        <v>1.0500000000000001E-2</v>
      </c>
      <c r="J37" s="54"/>
      <c r="K37" s="16">
        <v>10</v>
      </c>
      <c r="L37" s="48" t="s">
        <v>80</v>
      </c>
      <c r="M37" t="s">
        <v>525</v>
      </c>
      <c r="N37" t="s">
        <v>526</v>
      </c>
      <c r="AA37" s="182"/>
    </row>
    <row r="38" spans="1:27" hidden="1">
      <c r="A38" s="8"/>
      <c r="E38" s="48" t="s">
        <v>524</v>
      </c>
      <c r="F38" s="3" t="s">
        <v>531</v>
      </c>
      <c r="G38" s="3">
        <v>6</v>
      </c>
      <c r="H38" s="3">
        <v>147</v>
      </c>
      <c r="I38" s="54">
        <v>1.9800000000000002E-2</v>
      </c>
      <c r="J38" s="54"/>
      <c r="K38" s="16">
        <v>10</v>
      </c>
      <c r="L38" s="48" t="s">
        <v>80</v>
      </c>
      <c r="M38" t="s">
        <v>525</v>
      </c>
      <c r="N38" t="s">
        <v>526</v>
      </c>
      <c r="AA38" s="182"/>
    </row>
    <row r="39" spans="1:27" hidden="1">
      <c r="A39" s="8"/>
      <c r="E39" s="48" t="s">
        <v>524</v>
      </c>
      <c r="F39" s="3" t="s">
        <v>536</v>
      </c>
      <c r="G39" s="3">
        <v>6</v>
      </c>
      <c r="H39" s="3">
        <v>253</v>
      </c>
      <c r="I39" s="54">
        <v>3.4099999999999998E-2</v>
      </c>
      <c r="J39" s="54"/>
      <c r="K39" s="16">
        <v>10</v>
      </c>
      <c r="L39" s="48" t="s">
        <v>80</v>
      </c>
      <c r="M39" t="s">
        <v>525</v>
      </c>
      <c r="N39" t="s">
        <v>526</v>
      </c>
      <c r="AA39" s="182"/>
    </row>
    <row r="40" spans="1:27" hidden="1">
      <c r="A40" s="8"/>
      <c r="E40" s="48" t="s">
        <v>524</v>
      </c>
      <c r="F40" s="3" t="s">
        <v>537</v>
      </c>
      <c r="G40" s="3">
        <v>6</v>
      </c>
      <c r="H40" s="3">
        <v>422</v>
      </c>
      <c r="I40" s="54">
        <v>5.6899999999999999E-2</v>
      </c>
      <c r="J40" s="54"/>
      <c r="K40" s="16">
        <v>10</v>
      </c>
      <c r="L40" s="48" t="s">
        <v>80</v>
      </c>
      <c r="M40" t="s">
        <v>525</v>
      </c>
      <c r="N40" t="s">
        <v>526</v>
      </c>
      <c r="AA40" s="182"/>
    </row>
    <row r="41" spans="1:27" hidden="1">
      <c r="A41" s="8"/>
      <c r="E41" s="48" t="s">
        <v>524</v>
      </c>
      <c r="F41" s="3" t="s">
        <v>538</v>
      </c>
      <c r="G41" s="3">
        <v>6</v>
      </c>
      <c r="H41" s="3">
        <v>730</v>
      </c>
      <c r="I41" s="54">
        <v>9.8400000000000001E-2</v>
      </c>
      <c r="J41" s="54"/>
      <c r="K41" s="16">
        <v>10</v>
      </c>
      <c r="L41" s="48" t="s">
        <v>80</v>
      </c>
      <c r="M41" t="s">
        <v>525</v>
      </c>
      <c r="N41" t="s">
        <v>526</v>
      </c>
      <c r="AA41" s="182"/>
    </row>
    <row r="42" spans="1:27" hidden="1">
      <c r="A42" s="8"/>
      <c r="E42" s="259" t="s">
        <v>508</v>
      </c>
      <c r="F42" s="216"/>
      <c r="G42" s="216">
        <v>4</v>
      </c>
      <c r="H42" s="216">
        <v>124</v>
      </c>
      <c r="I42" s="209">
        <v>1.67E-2</v>
      </c>
      <c r="J42" s="209"/>
      <c r="K42" s="260">
        <v>5</v>
      </c>
      <c r="L42" s="259" t="s">
        <v>72</v>
      </c>
      <c r="M42" s="261" t="s">
        <v>509</v>
      </c>
      <c r="N42" s="261" t="s">
        <v>510</v>
      </c>
      <c r="O42" s="261"/>
      <c r="AA42" s="182"/>
    </row>
    <row r="43" spans="1:27" hidden="1">
      <c r="A43" s="8"/>
      <c r="E43" s="259" t="s">
        <v>512</v>
      </c>
      <c r="F43" s="216"/>
      <c r="G43" s="216">
        <v>4</v>
      </c>
      <c r="H43" s="216">
        <v>37</v>
      </c>
      <c r="I43" s="209">
        <v>5.0000000000000001E-3</v>
      </c>
      <c r="J43" s="209"/>
      <c r="K43" s="260">
        <v>5</v>
      </c>
      <c r="L43" s="259" t="s">
        <v>72</v>
      </c>
      <c r="M43" s="261" t="s">
        <v>509</v>
      </c>
      <c r="N43" s="261" t="s">
        <v>510</v>
      </c>
      <c r="O43" s="261"/>
      <c r="AA43" s="182"/>
    </row>
    <row r="44" spans="1:27" hidden="1">
      <c r="A44" s="8"/>
      <c r="E44" s="259" t="s">
        <v>518</v>
      </c>
      <c r="F44" s="216"/>
      <c r="G44" s="216">
        <v>4</v>
      </c>
      <c r="H44" s="216">
        <v>16</v>
      </c>
      <c r="I44" s="209">
        <v>2.2000000000000001E-3</v>
      </c>
      <c r="J44" s="209"/>
      <c r="K44" s="260">
        <v>10</v>
      </c>
      <c r="L44" s="259" t="s">
        <v>78</v>
      </c>
      <c r="M44" s="261" t="s">
        <v>525</v>
      </c>
      <c r="N44" s="261" t="s">
        <v>526</v>
      </c>
      <c r="O44" s="261"/>
      <c r="AA44" s="182"/>
    </row>
    <row r="45" spans="1:27" hidden="1">
      <c r="A45" s="8"/>
      <c r="AA45" s="182"/>
    </row>
    <row r="46" spans="1:27" hidden="1">
      <c r="A46" s="8"/>
      <c r="AA46" s="182"/>
    </row>
    <row r="47" spans="1:27">
      <c r="A47" s="182"/>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row>
    <row r="48" spans="1:27">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row>
  </sheetData>
  <sheetProtection algorithmName="SHA-512" hashValue="4hm5hrWvh/x+IN9hrsTwL8eqgAIkrOfD2cMMojQCtPF4iUYVmWFVprL8FehyqALW8iZcVI1737AiQj1PgIpE3w==" saltValue="uN3LHIzc1Po/+nN+ANzjoA==" spinCount="100000" sheet="1" selectLockedCells="1"/>
  <mergeCells count="3">
    <mergeCell ref="B3:C3"/>
    <mergeCell ref="D3:G4"/>
    <mergeCell ref="B2:U2"/>
  </mergeCells>
  <conditionalFormatting sqref="H8:H15">
    <cfRule type="expression" dxfId="0" priority="1" stopIfTrue="1">
      <formula>IF(OR(G8 = $E$27, $G8=$E$20, $G8=$E$21), TRUE, FALSE)</formula>
    </cfRule>
  </conditionalFormatting>
  <dataValidations count="3">
    <dataValidation type="list" allowBlank="1" showInputMessage="1" showErrorMessage="1" sqref="H8:H15" xr:uid="{00000000-0002-0000-0C00-000000000000}">
      <formula1>INDIRECT($Y8)</formula1>
    </dataValidation>
    <dataValidation type="list" allowBlank="1" showInputMessage="1" showErrorMessage="1" sqref="D8:D15" xr:uid="{00000000-0002-0000-0C00-000001000000}">
      <formula1>$C$20:$C$21</formula1>
    </dataValidation>
    <dataValidation type="list" allowBlank="1" showInputMessage="1" showErrorMessage="1" sqref="G8:G15" xr:uid="{00000000-0002-0000-0C00-000002000000}">
      <formula1>$P$20:$P$26</formula1>
    </dataValidation>
  </dataValidations>
  <hyperlinks>
    <hyperlink ref="B3" location="'Calculator Index'!A1" display="Return to Index" xr:uid="{00000000-0004-0000-0C00-000000000000}"/>
    <hyperlink ref="B3:C3" location="'Project Summary'!A1" display="Return to Index" xr:uid="{00000000-0004-0000-0C00-000001000000}"/>
  </hyperlinks>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27E78-1AC8-40E0-A7A5-33C28F896FB6}">
  <dimension ref="A1:E2"/>
  <sheetViews>
    <sheetView workbookViewId="0">
      <selection activeCell="C3" sqref="C3"/>
    </sheetView>
  </sheetViews>
  <sheetFormatPr defaultRowHeight="15"/>
  <cols>
    <col min="1" max="1" width="9.7109375" bestFit="1" customWidth="1"/>
    <col min="3" max="3" width="57.85546875" customWidth="1"/>
    <col min="4" max="4" width="10.28515625" customWidth="1"/>
  </cols>
  <sheetData>
    <row r="1" spans="1:5">
      <c r="A1" s="27" t="s">
        <v>539</v>
      </c>
      <c r="B1" s="27" t="s">
        <v>540</v>
      </c>
      <c r="C1" s="27" t="s">
        <v>541</v>
      </c>
      <c r="D1" s="27" t="s">
        <v>542</v>
      </c>
      <c r="E1" s="27" t="s">
        <v>543</v>
      </c>
    </row>
    <row r="2" spans="1:5" ht="30">
      <c r="A2" s="331">
        <v>44610</v>
      </c>
      <c r="B2">
        <v>4.2</v>
      </c>
      <c r="C2" s="332" t="s">
        <v>544</v>
      </c>
      <c r="D2" t="s">
        <v>545</v>
      </c>
      <c r="E2" t="s">
        <v>546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dimension ref="A1:M48"/>
  <sheetViews>
    <sheetView workbookViewId="0">
      <selection activeCell="C51" sqref="C51"/>
    </sheetView>
  </sheetViews>
  <sheetFormatPr defaultRowHeight="15"/>
  <sheetData>
    <row r="1" spans="1:9">
      <c r="A1" s="207">
        <v>44013</v>
      </c>
      <c r="B1" t="s">
        <v>547</v>
      </c>
    </row>
    <row r="2" spans="1:9">
      <c r="A2" t="s">
        <v>548</v>
      </c>
    </row>
    <row r="3" spans="1:9">
      <c r="B3" t="s">
        <v>549</v>
      </c>
    </row>
    <row r="7" spans="1:9">
      <c r="A7" t="s">
        <v>550</v>
      </c>
    </row>
    <row r="8" spans="1:9">
      <c r="B8" t="s">
        <v>551</v>
      </c>
    </row>
    <row r="10" spans="1:9">
      <c r="B10" t="s">
        <v>552</v>
      </c>
      <c r="I10" t="s">
        <v>553</v>
      </c>
    </row>
    <row r="32" ht="15" customHeight="1"/>
    <row r="36" spans="1:13" ht="49.5" customHeight="1">
      <c r="B36" s="498" t="s">
        <v>554</v>
      </c>
      <c r="C36" s="498"/>
      <c r="D36" s="498"/>
      <c r="E36" s="498"/>
      <c r="F36" s="498"/>
      <c r="G36" s="498"/>
      <c r="H36" s="498"/>
      <c r="I36" s="498"/>
      <c r="J36" s="498"/>
      <c r="K36" s="498"/>
      <c r="L36" s="310"/>
      <c r="M36" s="310"/>
    </row>
    <row r="37" spans="1:13">
      <c r="B37" s="498"/>
      <c r="C37" s="498"/>
      <c r="D37" s="498"/>
      <c r="E37" s="498"/>
      <c r="F37" s="498"/>
      <c r="G37" s="498"/>
      <c r="H37" s="498"/>
      <c r="I37" s="498"/>
      <c r="J37" s="498"/>
      <c r="K37" s="498"/>
      <c r="L37" s="310"/>
      <c r="M37" s="310"/>
    </row>
    <row r="38" spans="1:13">
      <c r="B38" s="310"/>
      <c r="C38" s="310"/>
      <c r="D38" s="310"/>
      <c r="E38" s="310"/>
      <c r="F38" s="310"/>
      <c r="G38" s="310"/>
      <c r="H38" s="310"/>
      <c r="I38" s="310"/>
      <c r="J38" s="310"/>
      <c r="K38" s="310"/>
      <c r="L38" s="310"/>
      <c r="M38" s="310"/>
    </row>
    <row r="39" spans="1:13">
      <c r="B39" s="310"/>
      <c r="C39" s="310"/>
      <c r="D39" s="310"/>
      <c r="E39" s="310"/>
      <c r="F39" s="310"/>
      <c r="G39" s="310"/>
      <c r="H39" s="310"/>
      <c r="I39" s="310"/>
      <c r="J39" s="310"/>
      <c r="K39" s="310"/>
      <c r="L39" s="310"/>
      <c r="M39" s="310"/>
    </row>
    <row r="41" spans="1:13">
      <c r="A41" t="s">
        <v>34</v>
      </c>
      <c r="C41" t="s">
        <v>555</v>
      </c>
    </row>
    <row r="43" spans="1:13">
      <c r="A43" t="s">
        <v>556</v>
      </c>
      <c r="E43" t="s">
        <v>557</v>
      </c>
    </row>
    <row r="45" spans="1:13">
      <c r="A45" t="s">
        <v>558</v>
      </c>
      <c r="E45" t="s">
        <v>559</v>
      </c>
    </row>
    <row r="47" spans="1:13">
      <c r="A47" t="s">
        <v>68</v>
      </c>
      <c r="D47" t="s">
        <v>560</v>
      </c>
    </row>
    <row r="48" spans="1:13">
      <c r="D48" t="s">
        <v>561</v>
      </c>
    </row>
  </sheetData>
  <mergeCells count="1">
    <mergeCell ref="B36:K37"/>
  </mergeCells>
  <pageMargins left="0.7" right="0.7" top="0.75" bottom="0.75" header="0.3" footer="0.3"/>
  <pageSetup orientation="portrait"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BA89"/>
  <sheetViews>
    <sheetView workbookViewId="0">
      <pane ySplit="1" topLeftCell="A2" activePane="bottomLeft" state="frozen"/>
      <selection pane="bottomLeft" activeCell="F53" sqref="F53"/>
    </sheetView>
  </sheetViews>
  <sheetFormatPr defaultColWidth="9.140625" defaultRowHeight="15"/>
  <cols>
    <col min="1" max="1" width="9.5703125" style="10" customWidth="1"/>
    <col min="2" max="2" width="32.140625" style="10" customWidth="1"/>
    <col min="3" max="3" width="13.85546875" style="10" bestFit="1" customWidth="1"/>
    <col min="4" max="4" width="36.140625" style="10" customWidth="1"/>
    <col min="5" max="5" width="17.5703125" style="10" customWidth="1"/>
    <col min="6" max="6" width="20" style="10" bestFit="1" customWidth="1"/>
    <col min="7" max="7" width="17" style="10" bestFit="1" customWidth="1"/>
    <col min="8" max="8" width="15.85546875" style="10" bestFit="1" customWidth="1"/>
    <col min="9" max="9" width="11.5703125" style="10" customWidth="1"/>
    <col min="10" max="10" width="17.7109375" style="10" bestFit="1" customWidth="1"/>
    <col min="11" max="11" width="17.85546875" style="10" customWidth="1"/>
    <col min="12" max="12" width="12.28515625" style="10" customWidth="1"/>
    <col min="13" max="13" width="16.140625" style="10" customWidth="1"/>
    <col min="14" max="14" width="16.85546875" style="10" customWidth="1"/>
    <col min="15" max="15" width="15.7109375" style="10" bestFit="1" customWidth="1"/>
    <col min="16" max="16" width="13.140625" style="10" customWidth="1"/>
    <col min="17" max="17" width="9.140625" style="10" customWidth="1"/>
    <col min="18" max="18" width="18.85546875" style="10" customWidth="1"/>
    <col min="19" max="19" width="17.85546875" style="10" customWidth="1"/>
    <col min="20" max="20" width="50.140625" style="10" bestFit="1" customWidth="1"/>
    <col min="21" max="21" width="30.7109375" style="10" bestFit="1" customWidth="1"/>
    <col min="22" max="22" width="8.7109375" style="10" customWidth="1"/>
    <col min="23" max="23" width="12.5703125" style="10" customWidth="1"/>
    <col min="24" max="24" width="12.28515625" style="10" customWidth="1"/>
    <col min="25" max="25" width="8" style="10" bestFit="1" customWidth="1"/>
    <col min="26" max="26" width="8.7109375" style="10" bestFit="1" customWidth="1"/>
    <col min="27" max="27" width="35.85546875" style="10" bestFit="1" customWidth="1"/>
    <col min="28" max="28" width="16.85546875" style="10" bestFit="1" customWidth="1"/>
    <col min="29" max="30" width="13.85546875" style="10" bestFit="1" customWidth="1"/>
    <col min="31" max="31" width="20" style="10" bestFit="1" customWidth="1"/>
    <col min="32" max="32" width="10.7109375" style="10" bestFit="1" customWidth="1"/>
    <col min="33" max="33" width="12.28515625" style="10" bestFit="1" customWidth="1"/>
    <col min="34" max="34" width="9.28515625" style="10" bestFit="1" customWidth="1"/>
    <col min="35" max="36" width="8.7109375" style="10" bestFit="1" customWidth="1"/>
    <col min="37" max="37" width="7.28515625" style="10" bestFit="1" customWidth="1"/>
    <col min="38" max="38" width="46.28515625" style="10" bestFit="1" customWidth="1"/>
    <col min="39" max="39" width="9.42578125" style="10" customWidth="1"/>
    <col min="40" max="40" width="11.7109375" style="10" customWidth="1"/>
    <col min="41" max="41" width="12.140625" style="10" customWidth="1"/>
    <col min="42" max="42" width="12" style="10" customWidth="1"/>
    <col min="43" max="46" width="16.42578125" style="10" bestFit="1" customWidth="1"/>
    <col min="47" max="49" width="12.5703125" style="10" customWidth="1"/>
    <col min="50" max="53" width="16.42578125" style="10" bestFit="1" customWidth="1"/>
    <col min="54" max="16384" width="9.140625" style="10"/>
  </cols>
  <sheetData>
    <row r="1" spans="1:53" ht="32.25" customHeight="1">
      <c r="A1" s="10" t="s">
        <v>562</v>
      </c>
      <c r="B1" s="9" t="s">
        <v>563</v>
      </c>
      <c r="C1" s="9" t="s">
        <v>564</v>
      </c>
      <c r="D1" s="9" t="s">
        <v>565</v>
      </c>
      <c r="E1" s="9" t="s">
        <v>566</v>
      </c>
      <c r="F1" s="10" t="s">
        <v>567</v>
      </c>
      <c r="G1" s="10" t="s">
        <v>44</v>
      </c>
      <c r="H1" s="10" t="s">
        <v>42</v>
      </c>
      <c r="I1" s="9" t="s">
        <v>568</v>
      </c>
      <c r="J1" s="9" t="s">
        <v>569</v>
      </c>
      <c r="K1" s="9" t="s">
        <v>570</v>
      </c>
      <c r="L1" s="9" t="s">
        <v>41</v>
      </c>
      <c r="M1" s="9" t="s">
        <v>28</v>
      </c>
      <c r="N1" s="9" t="s">
        <v>571</v>
      </c>
      <c r="O1" s="9" t="s">
        <v>29</v>
      </c>
      <c r="P1" s="9" t="s">
        <v>277</v>
      </c>
      <c r="Q1" s="9" t="s">
        <v>113</v>
      </c>
      <c r="R1" s="9" t="s">
        <v>92</v>
      </c>
      <c r="S1" s="9" t="s">
        <v>93</v>
      </c>
      <c r="T1" s="9" t="s">
        <v>203</v>
      </c>
      <c r="U1" s="9" t="s">
        <v>95</v>
      </c>
      <c r="V1" s="9" t="s">
        <v>572</v>
      </c>
      <c r="W1" s="9" t="s">
        <v>573</v>
      </c>
      <c r="X1" s="9" t="s">
        <v>574</v>
      </c>
      <c r="Y1" s="9" t="s">
        <v>575</v>
      </c>
      <c r="Z1" s="9" t="s">
        <v>176</v>
      </c>
      <c r="AA1" s="9" t="s">
        <v>202</v>
      </c>
      <c r="AB1" s="9" t="s">
        <v>262</v>
      </c>
      <c r="AC1" s="9" t="s">
        <v>576</v>
      </c>
      <c r="AD1" s="9" t="s">
        <v>577</v>
      </c>
      <c r="AE1" s="9" t="s">
        <v>357</v>
      </c>
      <c r="AF1" s="9" t="s">
        <v>578</v>
      </c>
      <c r="AG1" s="9" t="s">
        <v>579</v>
      </c>
      <c r="AH1" s="9" t="s">
        <v>363</v>
      </c>
      <c r="AI1" s="9" t="s">
        <v>580</v>
      </c>
      <c r="AJ1" s="9" t="s">
        <v>581</v>
      </c>
      <c r="AK1" s="9" t="s">
        <v>582</v>
      </c>
      <c r="AL1" s="9" t="s">
        <v>583</v>
      </c>
      <c r="AM1" s="9" t="s">
        <v>584</v>
      </c>
      <c r="AN1" s="9" t="s">
        <v>585</v>
      </c>
      <c r="AO1" s="9" t="s">
        <v>586</v>
      </c>
      <c r="AP1" s="9" t="s">
        <v>587</v>
      </c>
      <c r="AQ1" s="9" t="s">
        <v>588</v>
      </c>
      <c r="AR1" s="9" t="s">
        <v>589</v>
      </c>
      <c r="AS1" s="9" t="s">
        <v>590</v>
      </c>
      <c r="AT1" s="9" t="s">
        <v>591</v>
      </c>
      <c r="AU1" s="9" t="s">
        <v>592</v>
      </c>
      <c r="AV1" s="9" t="s">
        <v>593</v>
      </c>
      <c r="AW1" s="9" t="s">
        <v>594</v>
      </c>
      <c r="AX1" s="9" t="s">
        <v>595</v>
      </c>
      <c r="AY1" s="9" t="s">
        <v>596</v>
      </c>
      <c r="AZ1" s="9" t="s">
        <v>597</v>
      </c>
      <c r="BA1" s="9" t="s">
        <v>598</v>
      </c>
    </row>
    <row r="2" spans="1:53">
      <c r="A2" s="10" t="str">
        <f>IF(B2="", "", 'Project Summary'!S34)</f>
        <v/>
      </c>
      <c r="B2" s="10" t="str">
        <f>IF(OR(Refrigerators!AE8="",Refrigerators!AD8&lt;0),"",Refrigerators!P8)</f>
        <v/>
      </c>
      <c r="C2" s="10" t="str">
        <f>IF(B2="", "", 'Project Summary'!$C$10)</f>
        <v/>
      </c>
      <c r="D2" s="10" t="str">
        <f>IF(B2="", "", CONCATENATE('Project Summary'!$C$7, " - ", 'Project Summary'!$C$10))</f>
        <v/>
      </c>
      <c r="E2" s="10" t="str">
        <f>IF(B2="", "", "FPAEPR")</f>
        <v/>
      </c>
      <c r="F2" s="10" t="str">
        <f>IF(B2="", "", 'Project Summary'!$C$11)</f>
        <v/>
      </c>
      <c r="G2" s="10" t="str">
        <f>IF(B2="","",VLOOKUP(B2,'Project Summary'!$L$128:$M$147, 2, FALSE))</f>
        <v/>
      </c>
      <c r="H2" s="10" t="str">
        <f>IF(B2="", "",'Project Summary'!Q35)</f>
        <v/>
      </c>
      <c r="I2" s="99" t="str">
        <f>IF(B2="", "", Instructions!$M$2)</f>
        <v/>
      </c>
      <c r="J2" s="10" t="str">
        <f>IF(B2="", "", Refrigerators!D8)</f>
        <v/>
      </c>
      <c r="K2" s="10" t="str">
        <f>IF(B2="", "", Refrigerators!N8)</f>
        <v/>
      </c>
      <c r="L2" s="99" t="str">
        <f>IF(B2="", "", Refrigerators!AE8)</f>
        <v/>
      </c>
      <c r="M2" s="199" t="str">
        <f>IF(B2="", "", Refrigerators!AC8)</f>
        <v/>
      </c>
      <c r="N2" s="199" t="str">
        <f>IF(B2="", "", M2)</f>
        <v/>
      </c>
      <c r="O2" s="199" t="str">
        <f>IF(C2="", "", Refrigerators!AD8)</f>
        <v/>
      </c>
      <c r="P2" s="99" t="str">
        <f>IF(B2="", "", 1)</f>
        <v/>
      </c>
      <c r="Q2" s="10" t="str">
        <f>IF(B2="", "", Refrigerators!$C$30)</f>
        <v/>
      </c>
      <c r="R2" s="10" t="str">
        <f>IF(B2="", "", Refrigerators!E8)</f>
        <v/>
      </c>
      <c r="S2" s="10" t="str">
        <f>IF(B2="", "", Refrigerators!F8)</f>
        <v/>
      </c>
      <c r="T2" s="10" t="str">
        <f>IF(B2="", "", Refrigerators!G8)</f>
        <v/>
      </c>
      <c r="U2" s="10" t="str">
        <f>IF(B2="", "", Refrigerators!H8)</f>
        <v/>
      </c>
      <c r="V2" s="10" t="str">
        <f>IF(B2="", "", Refrigerators!I8)</f>
        <v/>
      </c>
      <c r="W2" s="10" t="str">
        <f>IF(B2="", "", Refrigerators!J8)</f>
        <v/>
      </c>
      <c r="X2" s="10" t="str">
        <f>IF(B2="", "", Refrigerators!K8)</f>
        <v/>
      </c>
      <c r="Y2" s="10" t="str">
        <f>IF(B2="", "", Refrigerators!L8)</f>
        <v/>
      </c>
      <c r="AB2" s="99"/>
      <c r="AC2" s="99"/>
      <c r="AD2" s="99"/>
      <c r="AI2" s="99"/>
      <c r="AJ2" s="99"/>
    </row>
    <row r="3" spans="1:53">
      <c r="A3" s="10" t="str">
        <f>IF(B3="", "", 'Project Summary'!S35)</f>
        <v/>
      </c>
      <c r="B3" s="10" t="str">
        <f>IF(OR(Refrigerators!AE9="",Refrigerators!AD9&lt;0),"",Refrigerators!P9)</f>
        <v/>
      </c>
      <c r="C3" s="10" t="str">
        <f>IF(B3="", "", 'Project Summary'!$C$10)</f>
        <v/>
      </c>
      <c r="D3" s="10" t="str">
        <f>IF(B3="", "", CONCATENATE('Project Summary'!$C$7, " - ", 'Project Summary'!$C$10))</f>
        <v/>
      </c>
      <c r="E3" s="10" t="str">
        <f t="shared" ref="E3:E66" si="0">IF(B3="", "", "FPAEPR")</f>
        <v/>
      </c>
      <c r="F3" s="10" t="str">
        <f>IF(B3="", "", 'Project Summary'!$C$11)</f>
        <v/>
      </c>
      <c r="G3" s="10" t="str">
        <f>IF(B3="","",VLOOKUP(B3,'Project Summary'!$L$128:$M$147, 2, FALSE))</f>
        <v/>
      </c>
      <c r="H3" s="10" t="str">
        <f>IF(B3="", "",'Project Summary'!Q36)</f>
        <v/>
      </c>
      <c r="I3" s="99" t="str">
        <f>IF(B3="", "", Instructions!$M$2)</f>
        <v/>
      </c>
      <c r="J3" s="10" t="str">
        <f>IF(B3="", "", Refrigerators!D9)</f>
        <v/>
      </c>
      <c r="K3" s="10" t="str">
        <f>IF(B3="", "", Refrigerators!N9)</f>
        <v/>
      </c>
      <c r="L3" s="99" t="str">
        <f>IF(B3="", "", Refrigerators!AE9)</f>
        <v/>
      </c>
      <c r="M3" s="199" t="str">
        <f>IF(B3="", "", Refrigerators!AC9)</f>
        <v/>
      </c>
      <c r="N3" s="199" t="str">
        <f t="shared" ref="N3:N66" si="1">IF(B3="", "", M3)</f>
        <v/>
      </c>
      <c r="O3" s="199" t="str">
        <f>IF(C3="", "", Refrigerators!AD9)</f>
        <v/>
      </c>
      <c r="P3" s="99" t="str">
        <f t="shared" ref="P3:P9" si="2">IF(B3="", "", 1)</f>
        <v/>
      </c>
      <c r="Q3" s="10" t="str">
        <f>IF(B3="", "", Refrigerators!$C$30)</f>
        <v/>
      </c>
      <c r="R3" s="10" t="str">
        <f>IF(B3="", "", Refrigerators!E9)</f>
        <v/>
      </c>
      <c r="S3" s="10" t="str">
        <f>IF(B3="", "", Refrigerators!F9)</f>
        <v/>
      </c>
      <c r="T3" s="10" t="str">
        <f>IF(B3="", "", Refrigerators!G9)</f>
        <v/>
      </c>
      <c r="U3" s="10" t="str">
        <f>IF(B3="", "", Refrigerators!H9)</f>
        <v/>
      </c>
      <c r="V3" s="10" t="str">
        <f>IF(B3="", "", Refrigerators!I9)</f>
        <v/>
      </c>
      <c r="W3" s="10" t="str">
        <f>IF(B3="", "", Refrigerators!J9)</f>
        <v/>
      </c>
      <c r="X3" s="10" t="str">
        <f>IF(B3="", "", Refrigerators!K9)</f>
        <v/>
      </c>
      <c r="Y3" s="10" t="str">
        <f>IF(B3="", "", Refrigerators!L9)</f>
        <v/>
      </c>
      <c r="AB3" s="99"/>
      <c r="AC3" s="99"/>
      <c r="AD3" s="99"/>
      <c r="AI3" s="99"/>
      <c r="AJ3" s="99"/>
    </row>
    <row r="4" spans="1:53">
      <c r="A4" s="10" t="str">
        <f>IF(B4="", "", 'Project Summary'!S36)</f>
        <v/>
      </c>
      <c r="B4" s="10" t="str">
        <f>IF(OR(Refrigerators!AE10="",Refrigerators!AD10&lt;0),"",Refrigerators!P10)</f>
        <v/>
      </c>
      <c r="C4" s="10" t="str">
        <f>IF(B4="", "", 'Project Summary'!$C$10)</f>
        <v/>
      </c>
      <c r="D4" s="10" t="str">
        <f>IF(B4="", "", CONCATENATE('Project Summary'!$C$7, " - ", 'Project Summary'!$C$10))</f>
        <v/>
      </c>
      <c r="E4" s="10" t="str">
        <f t="shared" si="0"/>
        <v/>
      </c>
      <c r="F4" s="10" t="str">
        <f>IF(B4="", "", 'Project Summary'!$C$11)</f>
        <v/>
      </c>
      <c r="G4" s="10" t="str">
        <f>IF(B4="","",VLOOKUP(B4,'Project Summary'!$L$128:$M$147, 2, FALSE))</f>
        <v/>
      </c>
      <c r="H4" s="10" t="str">
        <f>IF(B4="", "",'Project Summary'!Q37)</f>
        <v/>
      </c>
      <c r="I4" s="99" t="str">
        <f>IF(B4="", "", Instructions!$M$2)</f>
        <v/>
      </c>
      <c r="J4" s="10" t="str">
        <f>IF(B4="", "", Refrigerators!D10)</f>
        <v/>
      </c>
      <c r="K4" s="10" t="str">
        <f>IF(B4="", "", Refrigerators!N10)</f>
        <v/>
      </c>
      <c r="L4" s="99" t="str">
        <f>IF(B4="", "", Refrigerators!AE10)</f>
        <v/>
      </c>
      <c r="M4" s="199" t="str">
        <f>IF(B4="", "", Refrigerators!AC10)</f>
        <v/>
      </c>
      <c r="N4" s="199" t="str">
        <f t="shared" si="1"/>
        <v/>
      </c>
      <c r="O4" s="199" t="str">
        <f>IF(C4="", "", Refrigerators!AD10)</f>
        <v/>
      </c>
      <c r="P4" s="99" t="str">
        <f t="shared" si="2"/>
        <v/>
      </c>
      <c r="Q4" s="10" t="str">
        <f>IF(B4="", "", Refrigerators!$C$30)</f>
        <v/>
      </c>
      <c r="R4" s="10" t="str">
        <f>IF(B4="", "", Refrigerators!E10)</f>
        <v/>
      </c>
      <c r="S4" s="10" t="str">
        <f>IF(B4="", "", Refrigerators!F10)</f>
        <v/>
      </c>
      <c r="T4" s="10" t="str">
        <f>IF(B4="", "", Refrigerators!G10)</f>
        <v/>
      </c>
      <c r="U4" s="10" t="str">
        <f>IF(B4="", "", Refrigerators!H10)</f>
        <v/>
      </c>
      <c r="V4" s="10" t="str">
        <f>IF(B4="", "", Refrigerators!I10)</f>
        <v/>
      </c>
      <c r="W4" s="10" t="str">
        <f>IF(B4="", "", Refrigerators!J10)</f>
        <v/>
      </c>
      <c r="X4" s="10" t="str">
        <f>IF(B4="", "", Refrigerators!K10)</f>
        <v/>
      </c>
      <c r="Y4" s="10" t="str">
        <f>IF(B4="", "", Refrigerators!L10)</f>
        <v/>
      </c>
      <c r="AB4" s="99"/>
      <c r="AC4" s="99"/>
      <c r="AD4" s="99"/>
      <c r="AI4" s="99"/>
      <c r="AJ4" s="99"/>
    </row>
    <row r="5" spans="1:53">
      <c r="A5" s="10" t="str">
        <f>IF(B5="", "", 'Project Summary'!S37)</f>
        <v/>
      </c>
      <c r="B5" s="10" t="str">
        <f>IF(OR(Refrigerators!AE11="",Refrigerators!AD11&lt;0),"",Refrigerators!P11)</f>
        <v/>
      </c>
      <c r="C5" s="10" t="str">
        <f>IF(B5="", "", 'Project Summary'!$C$10)</f>
        <v/>
      </c>
      <c r="D5" s="10" t="str">
        <f>IF(B5="", "", CONCATENATE('Project Summary'!$C$7, " - ", 'Project Summary'!$C$10))</f>
        <v/>
      </c>
      <c r="E5" s="10" t="str">
        <f t="shared" si="0"/>
        <v/>
      </c>
      <c r="F5" s="10" t="str">
        <f>IF(B5="", "", 'Project Summary'!$C$11)</f>
        <v/>
      </c>
      <c r="G5" s="10" t="str">
        <f>IF(B5="","",VLOOKUP(B5,'Project Summary'!$L$128:$M$147, 2, FALSE))</f>
        <v/>
      </c>
      <c r="H5" s="10" t="str">
        <f>IF(B5="", "",'Project Summary'!Q38)</f>
        <v/>
      </c>
      <c r="I5" s="99" t="str">
        <f>IF(B5="", "", Instructions!$M$2)</f>
        <v/>
      </c>
      <c r="J5" s="10" t="str">
        <f>IF(B5="", "", Refrigerators!D11)</f>
        <v/>
      </c>
      <c r="K5" s="10" t="str">
        <f>IF(B5="", "", Refrigerators!N11)</f>
        <v/>
      </c>
      <c r="L5" s="99" t="str">
        <f>IF(B5="", "", Refrigerators!AE11)</f>
        <v/>
      </c>
      <c r="M5" s="199" t="str">
        <f>IF(B5="", "", Refrigerators!AC11)</f>
        <v/>
      </c>
      <c r="N5" s="199" t="str">
        <f t="shared" si="1"/>
        <v/>
      </c>
      <c r="O5" s="199" t="str">
        <f>IF(C5="", "", Refrigerators!AD11)</f>
        <v/>
      </c>
      <c r="P5" s="99" t="str">
        <f t="shared" si="2"/>
        <v/>
      </c>
      <c r="Q5" s="10" t="str">
        <f>IF(B5="", "", Refrigerators!$C$30)</f>
        <v/>
      </c>
      <c r="R5" s="10" t="str">
        <f>IF(B5="", "", Refrigerators!E11)</f>
        <v/>
      </c>
      <c r="S5" s="10" t="str">
        <f>IF(B5="", "", Refrigerators!F11)</f>
        <v/>
      </c>
      <c r="T5" s="10" t="str">
        <f>IF(B5="", "", Refrigerators!G11)</f>
        <v/>
      </c>
      <c r="U5" s="10" t="str">
        <f>IF(B5="", "", Refrigerators!H11)</f>
        <v/>
      </c>
      <c r="V5" s="10" t="str">
        <f>IF(B5="", "", Refrigerators!I11)</f>
        <v/>
      </c>
      <c r="W5" s="10" t="str">
        <f>IF(B5="", "", Refrigerators!J11)</f>
        <v/>
      </c>
      <c r="X5" s="10" t="str">
        <f>IF(B5="", "", Refrigerators!K11)</f>
        <v/>
      </c>
      <c r="Y5" s="10" t="str">
        <f>IF(B5="", "", Refrigerators!L11)</f>
        <v/>
      </c>
      <c r="AB5" s="99"/>
      <c r="AC5" s="99"/>
      <c r="AD5" s="99"/>
      <c r="AI5" s="99"/>
      <c r="AJ5" s="99"/>
    </row>
    <row r="6" spans="1:53">
      <c r="A6" s="10" t="str">
        <f>IF(B6="", "", 'Project Summary'!S38)</f>
        <v/>
      </c>
      <c r="B6" s="10" t="str">
        <f>IF(OR(Refrigerators!AE12="",Refrigerators!AD12&lt;0),"",Refrigerators!P12)</f>
        <v/>
      </c>
      <c r="C6" s="10" t="str">
        <f>IF(B6="", "", 'Project Summary'!$C$10)</f>
        <v/>
      </c>
      <c r="D6" s="10" t="str">
        <f>IF(B6="", "", CONCATENATE('Project Summary'!$C$7, " - ", 'Project Summary'!$C$10))</f>
        <v/>
      </c>
      <c r="E6" s="10" t="str">
        <f t="shared" si="0"/>
        <v/>
      </c>
      <c r="F6" s="10" t="str">
        <f>IF(B6="", "", 'Project Summary'!$C$11)</f>
        <v/>
      </c>
      <c r="G6" s="10" t="str">
        <f>IF(B6="","",VLOOKUP(B6,'Project Summary'!$L$128:$M$147, 2, FALSE))</f>
        <v/>
      </c>
      <c r="H6" s="10" t="str">
        <f>IF(B6="", "",'Project Summary'!Q39)</f>
        <v/>
      </c>
      <c r="I6" s="99" t="str">
        <f>IF(B6="", "", Instructions!$M$2)</f>
        <v/>
      </c>
      <c r="J6" s="10" t="str">
        <f>IF(B6="", "", Refrigerators!D12)</f>
        <v/>
      </c>
      <c r="K6" s="10" t="str">
        <f>IF(B6="", "", Refrigerators!N12)</f>
        <v/>
      </c>
      <c r="L6" s="99" t="str">
        <f>IF(B6="", "", Refrigerators!AE12)</f>
        <v/>
      </c>
      <c r="M6" s="199" t="str">
        <f>IF(B6="", "", Refrigerators!AC12)</f>
        <v/>
      </c>
      <c r="N6" s="199" t="str">
        <f t="shared" si="1"/>
        <v/>
      </c>
      <c r="O6" s="199" t="str">
        <f>IF(C6="", "", Refrigerators!AD12)</f>
        <v/>
      </c>
      <c r="P6" s="99" t="str">
        <f t="shared" si="2"/>
        <v/>
      </c>
      <c r="Q6" s="10" t="str">
        <f>IF(B6="", "", Refrigerators!$C$30)</f>
        <v/>
      </c>
      <c r="R6" s="10" t="str">
        <f>IF(B6="", "", Refrigerators!E12)</f>
        <v/>
      </c>
      <c r="S6" s="10" t="str">
        <f>IF(B6="", "", Refrigerators!F12)</f>
        <v/>
      </c>
      <c r="T6" s="10" t="str">
        <f>IF(B6="", "", Refrigerators!G12)</f>
        <v/>
      </c>
      <c r="U6" s="10" t="str">
        <f>IF(B6="", "", Refrigerators!H12)</f>
        <v/>
      </c>
      <c r="V6" s="10" t="str">
        <f>IF(B6="", "", Refrigerators!I12)</f>
        <v/>
      </c>
      <c r="W6" s="10" t="str">
        <f>IF(B6="", "", Refrigerators!J12)</f>
        <v/>
      </c>
      <c r="X6" s="10" t="str">
        <f>IF(B6="", "", Refrigerators!K12)</f>
        <v/>
      </c>
      <c r="Y6" s="10" t="str">
        <f>IF(B6="", "", Refrigerators!L12)</f>
        <v/>
      </c>
      <c r="AB6" s="99"/>
      <c r="AC6" s="99"/>
      <c r="AD6" s="99"/>
      <c r="AI6" s="99"/>
      <c r="AJ6" s="99"/>
    </row>
    <row r="7" spans="1:53">
      <c r="A7" s="10" t="str">
        <f>IF(B7="", "", 'Project Summary'!S39)</f>
        <v/>
      </c>
      <c r="B7" s="10" t="str">
        <f>IF(OR(Refrigerators!AE13="",Refrigerators!AD13&lt;0),"",Refrigerators!P13)</f>
        <v/>
      </c>
      <c r="C7" s="10" t="str">
        <f>IF(B7="", "", 'Project Summary'!$C$10)</f>
        <v/>
      </c>
      <c r="D7" s="10" t="str">
        <f>IF(B7="", "", CONCATENATE('Project Summary'!$C$7, " - ", 'Project Summary'!$C$10))</f>
        <v/>
      </c>
      <c r="E7" s="10" t="str">
        <f t="shared" si="0"/>
        <v/>
      </c>
      <c r="F7" s="10" t="str">
        <f>IF(B7="", "", 'Project Summary'!$C$11)</f>
        <v/>
      </c>
      <c r="G7" s="10" t="str">
        <f>IF(B7="","",VLOOKUP(B7,'Project Summary'!$L$128:$M$147, 2, FALSE))</f>
        <v/>
      </c>
      <c r="H7" s="10" t="str">
        <f>IF(B7="", "",'Project Summary'!Q40)</f>
        <v/>
      </c>
      <c r="I7" s="99" t="str">
        <f>IF(B7="", "", Instructions!$M$2)</f>
        <v/>
      </c>
      <c r="J7" s="10" t="str">
        <f>IF(B7="", "", Refrigerators!D13)</f>
        <v/>
      </c>
      <c r="K7" s="10" t="str">
        <f>IF(B7="", "", Refrigerators!N13)</f>
        <v/>
      </c>
      <c r="L7" s="99" t="str">
        <f>IF(B7="", "", Refrigerators!AE13)</f>
        <v/>
      </c>
      <c r="M7" s="199" t="str">
        <f>IF(B7="", "", Refrigerators!AC13)</f>
        <v/>
      </c>
      <c r="N7" s="199" t="str">
        <f t="shared" si="1"/>
        <v/>
      </c>
      <c r="O7" s="199" t="str">
        <f>IF(C7="", "", Refrigerators!AD13)</f>
        <v/>
      </c>
      <c r="P7" s="99" t="str">
        <f t="shared" si="2"/>
        <v/>
      </c>
      <c r="Q7" s="10" t="str">
        <f>IF(B7="", "", Refrigerators!$C$30)</f>
        <v/>
      </c>
      <c r="R7" s="10" t="str">
        <f>IF(B7="", "", Refrigerators!E13)</f>
        <v/>
      </c>
      <c r="S7" s="10" t="str">
        <f>IF(B7="", "", Refrigerators!F13)</f>
        <v/>
      </c>
      <c r="T7" s="10" t="str">
        <f>IF(B7="", "", Refrigerators!G13)</f>
        <v/>
      </c>
      <c r="U7" s="10" t="str">
        <f>IF(B7="", "", Refrigerators!H13)</f>
        <v/>
      </c>
      <c r="V7" s="10" t="str">
        <f>IF(B7="", "", Refrigerators!I13)</f>
        <v/>
      </c>
      <c r="W7" s="10" t="str">
        <f>IF(B7="", "", Refrigerators!J13)</f>
        <v/>
      </c>
      <c r="X7" s="10" t="str">
        <f>IF(B7="", "", Refrigerators!K13)</f>
        <v/>
      </c>
      <c r="Y7" s="10" t="str">
        <f>IF(B7="", "", Refrigerators!L13)</f>
        <v/>
      </c>
      <c r="AB7" s="99"/>
      <c r="AC7" s="99"/>
      <c r="AD7" s="99"/>
      <c r="AI7" s="99"/>
      <c r="AJ7" s="99"/>
    </row>
    <row r="8" spans="1:53">
      <c r="A8" s="10" t="str">
        <f>IF(B8="", "", 'Project Summary'!S40)</f>
        <v/>
      </c>
      <c r="B8" s="10" t="str">
        <f>IF(OR(Refrigerators!AE14="",Refrigerators!AD14&lt;0),"",Refrigerators!P14)</f>
        <v/>
      </c>
      <c r="C8" s="10" t="str">
        <f>IF(B8="", "", 'Project Summary'!$C$10)</f>
        <v/>
      </c>
      <c r="D8" s="10" t="str">
        <f>IF(B8="", "", CONCATENATE('Project Summary'!$C$7, " - ", 'Project Summary'!$C$10))</f>
        <v/>
      </c>
      <c r="E8" s="10" t="str">
        <f t="shared" si="0"/>
        <v/>
      </c>
      <c r="F8" s="10" t="str">
        <f>IF(B8="", "", 'Project Summary'!$C$11)</f>
        <v/>
      </c>
      <c r="G8" s="10" t="str">
        <f>IF(B8="","",VLOOKUP(B8,'Project Summary'!$L$128:$M$147, 2, FALSE))</f>
        <v/>
      </c>
      <c r="H8" s="10" t="str">
        <f>IF(B8="", "",'Project Summary'!Q41)</f>
        <v/>
      </c>
      <c r="I8" s="99" t="str">
        <f>IF(B8="", "", Instructions!$M$2)</f>
        <v/>
      </c>
      <c r="J8" s="10" t="str">
        <f>IF(B8="", "", Refrigerators!D14)</f>
        <v/>
      </c>
      <c r="K8" s="10" t="str">
        <f>IF(B8="", "", Refrigerators!N14)</f>
        <v/>
      </c>
      <c r="L8" s="99" t="str">
        <f>IF(B8="", "", Refrigerators!AE14)</f>
        <v/>
      </c>
      <c r="M8" s="199" t="str">
        <f>IF(B8="", "", Refrigerators!AC14)</f>
        <v/>
      </c>
      <c r="N8" s="199" t="str">
        <f t="shared" si="1"/>
        <v/>
      </c>
      <c r="O8" s="199" t="str">
        <f>IF(C8="", "", Refrigerators!AD14)</f>
        <v/>
      </c>
      <c r="P8" s="99" t="str">
        <f t="shared" si="2"/>
        <v/>
      </c>
      <c r="Q8" s="10" t="str">
        <f>IF(B8="", "", Refrigerators!$C$30)</f>
        <v/>
      </c>
      <c r="R8" s="10" t="str">
        <f>IF(B8="", "", Refrigerators!E14)</f>
        <v/>
      </c>
      <c r="S8" s="10" t="str">
        <f>IF(B8="", "", Refrigerators!F14)</f>
        <v/>
      </c>
      <c r="T8" s="10" t="str">
        <f>IF(B8="", "", Refrigerators!G14)</f>
        <v/>
      </c>
      <c r="U8" s="10" t="str">
        <f>IF(B8="", "", Refrigerators!H14)</f>
        <v/>
      </c>
      <c r="V8" s="10" t="str">
        <f>IF(B8="", "", Refrigerators!I14)</f>
        <v/>
      </c>
      <c r="W8" s="10" t="str">
        <f>IF(B8="", "", Refrigerators!J14)</f>
        <v/>
      </c>
      <c r="X8" s="10" t="str">
        <f>IF(B8="", "", Refrigerators!K14)</f>
        <v/>
      </c>
      <c r="Y8" s="10" t="str">
        <f>IF(B8="", "", Refrigerators!L14)</f>
        <v/>
      </c>
      <c r="AB8" s="99"/>
      <c r="AC8" s="99"/>
      <c r="AD8" s="99"/>
      <c r="AI8" s="99"/>
      <c r="AJ8" s="99"/>
    </row>
    <row r="9" spans="1:53">
      <c r="A9" s="10" t="str">
        <f>IF(B9="", "", 'Project Summary'!S41)</f>
        <v/>
      </c>
      <c r="B9" s="10" t="str">
        <f>IF(OR(Refrigerators!AE15="",Refrigerators!AD15&lt;0),"",Refrigerators!P15)</f>
        <v/>
      </c>
      <c r="C9" s="10" t="str">
        <f>IF(B9="", "", 'Project Summary'!$C$10)</f>
        <v/>
      </c>
      <c r="D9" s="10" t="str">
        <f>IF(B9="", "", CONCATENATE('Project Summary'!$C$7, " - ", 'Project Summary'!$C$10))</f>
        <v/>
      </c>
      <c r="E9" s="10" t="str">
        <f t="shared" si="0"/>
        <v/>
      </c>
      <c r="F9" s="10" t="str">
        <f>IF(B9="", "", 'Project Summary'!$C$11)</f>
        <v/>
      </c>
      <c r="G9" s="10" t="str">
        <f>IF(B9="","",VLOOKUP(B9,'Project Summary'!$L$128:$M$147, 2, FALSE))</f>
        <v/>
      </c>
      <c r="H9" s="10" t="str">
        <f>IF(B9="", "",'Project Summary'!Q42)</f>
        <v/>
      </c>
      <c r="I9" s="99" t="str">
        <f>IF(B9="", "", Instructions!$M$2)</f>
        <v/>
      </c>
      <c r="J9" s="10" t="str">
        <f>IF(B9="", "", Refrigerators!D15)</f>
        <v/>
      </c>
      <c r="K9" s="10" t="str">
        <f>IF(B9="", "", Refrigerators!N15)</f>
        <v/>
      </c>
      <c r="L9" s="99" t="str">
        <f>IF(B9="", "", Refrigerators!AE15)</f>
        <v/>
      </c>
      <c r="M9" s="199" t="str">
        <f>IF(B9="", "", Refrigerators!AC15)</f>
        <v/>
      </c>
      <c r="N9" s="199" t="str">
        <f t="shared" si="1"/>
        <v/>
      </c>
      <c r="O9" s="199" t="str">
        <f>IF(C9="", "", Refrigerators!AD15)</f>
        <v/>
      </c>
      <c r="P9" s="99" t="str">
        <f t="shared" si="2"/>
        <v/>
      </c>
      <c r="Q9" s="10" t="str">
        <f>IF(B9="", "", Refrigerators!$C$30)</f>
        <v/>
      </c>
      <c r="R9" s="10" t="str">
        <f>IF(B9="", "", Refrigerators!E15)</f>
        <v/>
      </c>
      <c r="S9" s="10" t="str">
        <f>IF(B9="", "", Refrigerators!F15)</f>
        <v/>
      </c>
      <c r="T9" s="10" t="str">
        <f>IF(B9="", "", Refrigerators!G15)</f>
        <v/>
      </c>
      <c r="U9" s="10" t="str">
        <f>IF(B9="", "", Refrigerators!H15)</f>
        <v/>
      </c>
      <c r="V9" s="10" t="str">
        <f>IF(B9="", "", Refrigerators!I15)</f>
        <v/>
      </c>
      <c r="W9" s="10" t="str">
        <f>IF(B9="", "", Refrigerators!J15)</f>
        <v/>
      </c>
      <c r="X9" s="10" t="str">
        <f>IF(B9="", "", Refrigerators!K15)</f>
        <v/>
      </c>
      <c r="Y9" s="10" t="str">
        <f>IF(B9="", "", Refrigerators!L15)</f>
        <v/>
      </c>
      <c r="AB9" s="99"/>
      <c r="AC9" s="99"/>
      <c r="AD9" s="99"/>
      <c r="AI9" s="99"/>
      <c r="AJ9" s="99"/>
    </row>
    <row r="10" spans="1:53">
      <c r="A10" s="10" t="str">
        <f>IF(B10="", "", 'Project Summary'!S42)</f>
        <v/>
      </c>
      <c r="B10" s="10" t="str">
        <f>IF(OR(Freezers!Y8="",Freezers!X8&lt;0),"",Freezers!C8)</f>
        <v/>
      </c>
      <c r="C10" s="10" t="str">
        <f>IF(B10="", "", 'Project Summary'!$C$10)</f>
        <v/>
      </c>
      <c r="D10" s="10" t="str">
        <f>IF(B10="", "", CONCATENATE('Project Summary'!$C$7, " - ", 'Project Summary'!$C$10))</f>
        <v/>
      </c>
      <c r="E10" s="10" t="str">
        <f t="shared" si="0"/>
        <v/>
      </c>
      <c r="F10" s="10" t="str">
        <f>IF(B10="", "", 'Project Summary'!$C$11)</f>
        <v/>
      </c>
      <c r="G10" s="10" t="str">
        <f>IF(B10="","",VLOOKUP(B10,'Project Summary'!$L$128:$M$147, 2, FALSE))</f>
        <v/>
      </c>
      <c r="H10" s="10" t="str">
        <f>IF(B10="", "",'Project Summary'!Q45)</f>
        <v/>
      </c>
      <c r="I10" s="99" t="str">
        <f>IF(B10="", "", Instructions!$M$2)</f>
        <v/>
      </c>
      <c r="J10" s="10" t="str">
        <f>IF(B10="", "", Freezers!D8)</f>
        <v/>
      </c>
      <c r="K10" s="10" t="str">
        <f>IF(B10="", "", Freezers!J8)</f>
        <v/>
      </c>
      <c r="L10" s="99" t="str">
        <f>IF(B10="", "", Freezers!Y8)</f>
        <v/>
      </c>
      <c r="M10" s="199" t="str">
        <f>IF(B10="", "", Freezers!W8)</f>
        <v/>
      </c>
      <c r="N10" s="199" t="str">
        <f t="shared" si="1"/>
        <v/>
      </c>
      <c r="O10" s="199" t="str">
        <f>IF(C10="", "", Freezers!X8)</f>
        <v/>
      </c>
      <c r="P10" s="99" t="str">
        <f>IF(B10="", "", 1)</f>
        <v/>
      </c>
      <c r="Q10" s="10" t="str">
        <f>IF(B10="", "", Freezers!$C$31)</f>
        <v/>
      </c>
      <c r="R10" s="10" t="str">
        <f>IF(B10="", "", Freezers!E8)</f>
        <v/>
      </c>
      <c r="S10" s="10" t="str">
        <f>IF(B10="", "", Freezers!F8)</f>
        <v/>
      </c>
      <c r="U10" s="10" t="str">
        <f>IF(B10="", "", Freezers!H8)</f>
        <v/>
      </c>
      <c r="Y10" s="10" t="str">
        <f>IF(B10="", "", Freezers!I8)</f>
        <v/>
      </c>
      <c r="Z10" s="10" t="str">
        <f>IF(B10="", "", Freezers!G8)</f>
        <v/>
      </c>
      <c r="AB10" s="99"/>
      <c r="AC10" s="99"/>
      <c r="AD10" s="99"/>
      <c r="AI10" s="99"/>
      <c r="AJ10" s="99"/>
    </row>
    <row r="11" spans="1:53">
      <c r="A11" s="10" t="str">
        <f>IF(B11="", "", 'Project Summary'!S43)</f>
        <v/>
      </c>
      <c r="B11" s="10" t="str">
        <f>IF(OR(Freezers!Y9="",Freezers!X9&lt;0),"",Freezers!C9)</f>
        <v/>
      </c>
      <c r="C11" s="10" t="str">
        <f>IF(B11="", "", 'Project Summary'!$C$10)</f>
        <v/>
      </c>
      <c r="D11" s="10" t="str">
        <f>IF(B11="", "", CONCATENATE('Project Summary'!$C$7, " - ", 'Project Summary'!$C$10))</f>
        <v/>
      </c>
      <c r="E11" s="10" t="str">
        <f t="shared" si="0"/>
        <v/>
      </c>
      <c r="F11" s="10" t="str">
        <f>IF(B11="", "", 'Project Summary'!$C$11)</f>
        <v/>
      </c>
      <c r="G11" s="10" t="str">
        <f>IF(B11="","",VLOOKUP(B11,'Project Summary'!$L$128:$M$147, 2, FALSE))</f>
        <v/>
      </c>
      <c r="H11" s="10" t="str">
        <f>IF(B11="", "",'Project Summary'!Q46)</f>
        <v/>
      </c>
      <c r="I11" s="99" t="str">
        <f>IF(B11="", "", Instructions!$M$2)</f>
        <v/>
      </c>
      <c r="J11" s="10" t="str">
        <f>IF(B11="", "", Freezers!D9)</f>
        <v/>
      </c>
      <c r="K11" s="10" t="str">
        <f>IF(B11="", "", Freezers!J9)</f>
        <v/>
      </c>
      <c r="L11" s="99" t="str">
        <f>IF(B11="", "", Freezers!Y9)</f>
        <v/>
      </c>
      <c r="M11" s="199" t="str">
        <f>IF(B11="", "", Freezers!W9)</f>
        <v/>
      </c>
      <c r="N11" s="199" t="str">
        <f t="shared" si="1"/>
        <v/>
      </c>
      <c r="O11" s="199" t="str">
        <f>IF(C11="", "", Freezers!X9)</f>
        <v/>
      </c>
      <c r="P11" s="99" t="str">
        <f t="shared" ref="P11:P17" si="3">IF(B11="", "", 1)</f>
        <v/>
      </c>
      <c r="Q11" s="10" t="str">
        <f>IF(B11="", "", Freezers!$C$31)</f>
        <v/>
      </c>
      <c r="R11" s="10" t="str">
        <f>IF(B11="", "", Freezers!E9)</f>
        <v/>
      </c>
      <c r="S11" s="10" t="str">
        <f>IF(B11="", "", Freezers!F9)</f>
        <v/>
      </c>
      <c r="U11" s="10" t="str">
        <f>IF(B11="", "", Freezers!H9)</f>
        <v/>
      </c>
      <c r="Y11" s="10" t="str">
        <f>IF(B11="", "", Freezers!I9)</f>
        <v/>
      </c>
      <c r="Z11" s="10" t="str">
        <f>IF(B11="", "", Freezers!G9)</f>
        <v/>
      </c>
      <c r="AB11" s="99"/>
      <c r="AC11" s="99"/>
      <c r="AD11" s="99"/>
      <c r="AI11" s="99"/>
      <c r="AJ11" s="99"/>
    </row>
    <row r="12" spans="1:53">
      <c r="A12" s="10" t="str">
        <f>IF(B12="", "", 'Project Summary'!S44)</f>
        <v/>
      </c>
      <c r="B12" s="10" t="str">
        <f>IF(OR(Freezers!Y10="",Freezers!X10&lt;0),"",Freezers!C10)</f>
        <v/>
      </c>
      <c r="C12" s="10" t="str">
        <f>IF(B12="", "", 'Project Summary'!$C$10)</f>
        <v/>
      </c>
      <c r="D12" s="10" t="str">
        <f>IF(B12="", "", CONCATENATE('Project Summary'!$C$7, " - ", 'Project Summary'!$C$10))</f>
        <v/>
      </c>
      <c r="E12" s="10" t="str">
        <f t="shared" si="0"/>
        <v/>
      </c>
      <c r="F12" s="10" t="str">
        <f>IF(B12="", "", 'Project Summary'!$C$11)</f>
        <v/>
      </c>
      <c r="G12" s="10" t="str">
        <f>IF(B12="","",VLOOKUP(B12,'Project Summary'!$L$128:$M$147, 2, FALSE))</f>
        <v/>
      </c>
      <c r="H12" s="10" t="str">
        <f>IF(B12="", "",'Project Summary'!Q47)</f>
        <v/>
      </c>
      <c r="I12" s="99" t="str">
        <f>IF(B12="", "", Instructions!$M$2)</f>
        <v/>
      </c>
      <c r="J12" s="10" t="str">
        <f>IF(B12="", "", Freezers!D10)</f>
        <v/>
      </c>
      <c r="K12" s="10" t="str">
        <f>IF(B12="", "", Freezers!J10)</f>
        <v/>
      </c>
      <c r="L12" s="99" t="str">
        <f>IF(B12="", "", Freezers!Y10)</f>
        <v/>
      </c>
      <c r="M12" s="199" t="str">
        <f>IF(B12="", "", Freezers!W10)</f>
        <v/>
      </c>
      <c r="N12" s="199" t="str">
        <f t="shared" si="1"/>
        <v/>
      </c>
      <c r="O12" s="199" t="str">
        <f>IF(C12="", "", Freezers!X10)</f>
        <v/>
      </c>
      <c r="P12" s="99" t="str">
        <f t="shared" si="3"/>
        <v/>
      </c>
      <c r="Q12" s="10" t="str">
        <f>IF(B12="", "", Freezers!$C$31)</f>
        <v/>
      </c>
      <c r="R12" s="10" t="str">
        <f>IF(B12="", "", Freezers!E10)</f>
        <v/>
      </c>
      <c r="S12" s="10" t="str">
        <f>IF(B12="", "", Freezers!F10)</f>
        <v/>
      </c>
      <c r="U12" s="10" t="str">
        <f>IF(B12="", "", Freezers!H10)</f>
        <v/>
      </c>
      <c r="Y12" s="10" t="str">
        <f>IF(B12="", "", Freezers!I10)</f>
        <v/>
      </c>
      <c r="Z12" s="10" t="str">
        <f>IF(B12="", "", Freezers!G10)</f>
        <v/>
      </c>
      <c r="AB12" s="99"/>
      <c r="AC12" s="99"/>
      <c r="AD12" s="99"/>
      <c r="AI12" s="99"/>
      <c r="AJ12" s="99"/>
    </row>
    <row r="13" spans="1:53">
      <c r="A13" s="10" t="str">
        <f>IF(B13="", "", 'Project Summary'!S45)</f>
        <v/>
      </c>
      <c r="B13" s="10" t="str">
        <f>IF(OR(Freezers!Y11="",Freezers!X11&lt;0),"",Freezers!C11)</f>
        <v/>
      </c>
      <c r="C13" s="10" t="str">
        <f>IF(B13="", "", 'Project Summary'!$C$10)</f>
        <v/>
      </c>
      <c r="D13" s="10" t="str">
        <f>IF(B13="", "", CONCATENATE('Project Summary'!$C$7, " - ", 'Project Summary'!$C$10))</f>
        <v/>
      </c>
      <c r="E13" s="10" t="str">
        <f t="shared" si="0"/>
        <v/>
      </c>
      <c r="F13" s="10" t="str">
        <f>IF(B13="", "", 'Project Summary'!$C$11)</f>
        <v/>
      </c>
      <c r="G13" s="10" t="str">
        <f>IF(B13="","",VLOOKUP(B13,'Project Summary'!$L$128:$M$147, 2, FALSE))</f>
        <v/>
      </c>
      <c r="H13" s="10" t="str">
        <f>IF(B13="", "",'Project Summary'!Q48)</f>
        <v/>
      </c>
      <c r="I13" s="99" t="str">
        <f>IF(B13="", "", Instructions!$M$2)</f>
        <v/>
      </c>
      <c r="J13" s="10" t="str">
        <f>IF(B13="", "", Freezers!D11)</f>
        <v/>
      </c>
      <c r="K13" s="10" t="str">
        <f>IF(B13="", "", Freezers!J11)</f>
        <v/>
      </c>
      <c r="L13" s="99" t="str">
        <f>IF(B13="", "", Freezers!Y11)</f>
        <v/>
      </c>
      <c r="M13" s="199" t="str">
        <f>IF(B13="", "", Freezers!W11)</f>
        <v/>
      </c>
      <c r="N13" s="199" t="str">
        <f t="shared" si="1"/>
        <v/>
      </c>
      <c r="O13" s="199" t="str">
        <f>IF(C13="", "", Freezers!X11)</f>
        <v/>
      </c>
      <c r="P13" s="99" t="str">
        <f t="shared" si="3"/>
        <v/>
      </c>
      <c r="Q13" s="10" t="str">
        <f>IF(B13="", "", Freezers!$C$31)</f>
        <v/>
      </c>
      <c r="R13" s="10" t="str">
        <f>IF(B13="", "", Freezers!E11)</f>
        <v/>
      </c>
      <c r="S13" s="10" t="str">
        <f>IF(B13="", "", Freezers!F11)</f>
        <v/>
      </c>
      <c r="U13" s="10" t="str">
        <f>IF(B13="", "", Freezers!H11)</f>
        <v/>
      </c>
      <c r="Y13" s="10" t="str">
        <f>IF(B13="", "", Freezers!I11)</f>
        <v/>
      </c>
      <c r="Z13" s="10" t="str">
        <f>IF(B13="", "", Freezers!G11)</f>
        <v/>
      </c>
      <c r="AB13" s="99"/>
      <c r="AC13" s="99"/>
      <c r="AD13" s="99"/>
      <c r="AI13" s="99"/>
      <c r="AJ13" s="99"/>
    </row>
    <row r="14" spans="1:53">
      <c r="A14" s="10" t="str">
        <f>IF(B14="", "", 'Project Summary'!S46)</f>
        <v/>
      </c>
      <c r="B14" s="10" t="str">
        <f>IF(OR(Freezers!Y12="",Freezers!X12&lt;0),"",Freezers!C12)</f>
        <v/>
      </c>
      <c r="C14" s="10" t="str">
        <f>IF(B14="", "", 'Project Summary'!$C$10)</f>
        <v/>
      </c>
      <c r="D14" s="10" t="str">
        <f>IF(B14="", "", CONCATENATE('Project Summary'!$C$7, " - ", 'Project Summary'!$C$10))</f>
        <v/>
      </c>
      <c r="E14" s="10" t="str">
        <f t="shared" si="0"/>
        <v/>
      </c>
      <c r="F14" s="10" t="str">
        <f>IF(B14="", "", 'Project Summary'!$C$11)</f>
        <v/>
      </c>
      <c r="G14" s="10" t="str">
        <f>IF(B14="","",VLOOKUP(B14,'Project Summary'!$L$128:$M$147, 2, FALSE))</f>
        <v/>
      </c>
      <c r="H14" s="10" t="str">
        <f>IF(B14="", "",'Project Summary'!Q49)</f>
        <v/>
      </c>
      <c r="I14" s="99" t="str">
        <f>IF(B14="", "", Instructions!$M$2)</f>
        <v/>
      </c>
      <c r="J14" s="10" t="str">
        <f>IF(B14="", "", Freezers!D12)</f>
        <v/>
      </c>
      <c r="K14" s="10" t="str">
        <f>IF(B14="", "", Freezers!J12)</f>
        <v/>
      </c>
      <c r="L14" s="99" t="str">
        <f>IF(B14="", "", Freezers!Y12)</f>
        <v/>
      </c>
      <c r="M14" s="199" t="str">
        <f>IF(B14="", "", Freezers!W12)</f>
        <v/>
      </c>
      <c r="N14" s="199" t="str">
        <f t="shared" si="1"/>
        <v/>
      </c>
      <c r="O14" s="199" t="str">
        <f>IF(C14="", "", Freezers!X12)</f>
        <v/>
      </c>
      <c r="P14" s="99" t="str">
        <f t="shared" si="3"/>
        <v/>
      </c>
      <c r="Q14" s="10" t="str">
        <f>IF(B14="", "", Freezers!$C$31)</f>
        <v/>
      </c>
      <c r="R14" s="10" t="str">
        <f>IF(B14="", "", Freezers!E12)</f>
        <v/>
      </c>
      <c r="S14" s="10" t="str">
        <f>IF(B14="", "", Freezers!F12)</f>
        <v/>
      </c>
      <c r="U14" s="10" t="str">
        <f>IF(B14="", "", Freezers!H12)</f>
        <v/>
      </c>
      <c r="Y14" s="10" t="str">
        <f>IF(B14="", "", Freezers!I12)</f>
        <v/>
      </c>
      <c r="Z14" s="10" t="str">
        <f>IF(B14="", "", Freezers!G12)</f>
        <v/>
      </c>
      <c r="AB14" s="99"/>
      <c r="AC14" s="99"/>
      <c r="AD14" s="99"/>
      <c r="AI14" s="99"/>
      <c r="AJ14" s="99"/>
    </row>
    <row r="15" spans="1:53">
      <c r="A15" s="10" t="str">
        <f>IF(B15="", "", 'Project Summary'!S47)</f>
        <v/>
      </c>
      <c r="B15" s="10" t="str">
        <f>IF(OR(Freezers!Y13="",Freezers!X13&lt;0),"",Freezers!C13)</f>
        <v/>
      </c>
      <c r="C15" s="10" t="str">
        <f>IF(B15="", "", 'Project Summary'!$C$10)</f>
        <v/>
      </c>
      <c r="D15" s="10" t="str">
        <f>IF(B15="", "", CONCATENATE('Project Summary'!$C$7, " - ", 'Project Summary'!$C$10))</f>
        <v/>
      </c>
      <c r="E15" s="10" t="str">
        <f t="shared" si="0"/>
        <v/>
      </c>
      <c r="F15" s="10" t="str">
        <f>IF(B15="", "", 'Project Summary'!$C$11)</f>
        <v/>
      </c>
      <c r="G15" s="10" t="str">
        <f>IF(B15="","",VLOOKUP(B15,'Project Summary'!$L$128:$M$147, 2, FALSE))</f>
        <v/>
      </c>
      <c r="H15" s="10" t="str">
        <f>IF(B15="", "",'Project Summary'!Q50)</f>
        <v/>
      </c>
      <c r="I15" s="99" t="str">
        <f>IF(B15="", "", Instructions!$M$2)</f>
        <v/>
      </c>
      <c r="J15" s="10" t="str">
        <f>IF(B15="", "", Freezers!D13)</f>
        <v/>
      </c>
      <c r="K15" s="10" t="str">
        <f>IF(B15="", "", Freezers!J13)</f>
        <v/>
      </c>
      <c r="L15" s="99" t="str">
        <f>IF(B15="", "", Freezers!Y13)</f>
        <v/>
      </c>
      <c r="M15" s="199" t="str">
        <f>IF(B15="", "", Freezers!W13)</f>
        <v/>
      </c>
      <c r="N15" s="199" t="str">
        <f t="shared" si="1"/>
        <v/>
      </c>
      <c r="O15" s="199" t="str">
        <f>IF(C15="", "", Freezers!X13)</f>
        <v/>
      </c>
      <c r="P15" s="99" t="str">
        <f t="shared" si="3"/>
        <v/>
      </c>
      <c r="Q15" s="10" t="str">
        <f>IF(B15="", "", Freezers!$C$31)</f>
        <v/>
      </c>
      <c r="R15" s="10" t="str">
        <f>IF(B15="", "", Freezers!E13)</f>
        <v/>
      </c>
      <c r="S15" s="10" t="str">
        <f>IF(B15="", "", Freezers!F13)</f>
        <v/>
      </c>
      <c r="U15" s="10" t="str">
        <f>IF(B15="", "", Freezers!H13)</f>
        <v/>
      </c>
      <c r="Y15" s="10" t="str">
        <f>IF(B15="", "", Freezers!I13)</f>
        <v/>
      </c>
      <c r="Z15" s="10" t="str">
        <f>IF(B15="", "", Freezers!G13)</f>
        <v/>
      </c>
      <c r="AB15" s="99"/>
      <c r="AC15" s="99"/>
      <c r="AD15" s="99"/>
      <c r="AI15" s="99"/>
      <c r="AJ15" s="99"/>
    </row>
    <row r="16" spans="1:53">
      <c r="A16" s="10" t="str">
        <f>IF(B16="", "", 'Project Summary'!S48)</f>
        <v/>
      </c>
      <c r="B16" s="10" t="str">
        <f>IF(OR(Freezers!Y14="",Freezers!X14&lt;0),"",Freezers!C14)</f>
        <v/>
      </c>
      <c r="C16" s="10" t="str">
        <f>IF(B16="", "", 'Project Summary'!$C$10)</f>
        <v/>
      </c>
      <c r="D16" s="10" t="str">
        <f>IF(B16="", "", CONCATENATE('Project Summary'!$C$7, " - ", 'Project Summary'!$C$10))</f>
        <v/>
      </c>
      <c r="E16" s="10" t="str">
        <f t="shared" si="0"/>
        <v/>
      </c>
      <c r="F16" s="10" t="str">
        <f>IF(B16="", "", 'Project Summary'!$C$11)</f>
        <v/>
      </c>
      <c r="G16" s="10" t="str">
        <f>IF(B16="","",VLOOKUP(B16,'Project Summary'!$L$128:$M$147, 2, FALSE))</f>
        <v/>
      </c>
      <c r="H16" s="10" t="str">
        <f>IF(B16="", "",'Project Summary'!Q51)</f>
        <v/>
      </c>
      <c r="I16" s="99" t="str">
        <f>IF(B16="", "", Instructions!$M$2)</f>
        <v/>
      </c>
      <c r="J16" s="10" t="str">
        <f>IF(B16="", "", Freezers!D14)</f>
        <v/>
      </c>
      <c r="K16" s="10" t="str">
        <f>IF(B16="", "", Freezers!J14)</f>
        <v/>
      </c>
      <c r="L16" s="99" t="str">
        <f>IF(B16="", "", Freezers!Y14)</f>
        <v/>
      </c>
      <c r="M16" s="199" t="str">
        <f>IF(B16="", "", Freezers!W14)</f>
        <v/>
      </c>
      <c r="N16" s="199" t="str">
        <f t="shared" si="1"/>
        <v/>
      </c>
      <c r="O16" s="199" t="str">
        <f>IF(C16="", "", Freezers!X14)</f>
        <v/>
      </c>
      <c r="P16" s="99" t="str">
        <f t="shared" si="3"/>
        <v/>
      </c>
      <c r="Q16" s="10" t="str">
        <f>IF(B16="", "", Freezers!$C$31)</f>
        <v/>
      </c>
      <c r="R16" s="10" t="str">
        <f>IF(B16="", "", Freezers!E14)</f>
        <v/>
      </c>
      <c r="S16" s="10" t="str">
        <f>IF(B16="", "", Freezers!F14)</f>
        <v/>
      </c>
      <c r="U16" s="10" t="str">
        <f>IF(B16="", "", Freezers!H14)</f>
        <v/>
      </c>
      <c r="Y16" s="10" t="str">
        <f>IF(B16="", "", Freezers!I14)</f>
        <v/>
      </c>
      <c r="Z16" s="10" t="str">
        <f>IF(B16="", "", Freezers!G14)</f>
        <v/>
      </c>
      <c r="AB16" s="99"/>
      <c r="AC16" s="99"/>
      <c r="AD16" s="99"/>
      <c r="AI16" s="99"/>
      <c r="AJ16" s="99"/>
    </row>
    <row r="17" spans="1:36">
      <c r="A17" s="10" t="str">
        <f>IF(B17="", "", 'Project Summary'!S49)</f>
        <v/>
      </c>
      <c r="B17" s="10" t="str">
        <f>IF(OR(Freezers!Y15="",Freezers!X15&lt;0),"",Freezers!C15)</f>
        <v/>
      </c>
      <c r="C17" s="10" t="str">
        <f>IF(B17="", "", 'Project Summary'!$C$10)</f>
        <v/>
      </c>
      <c r="D17" s="10" t="str">
        <f>IF(B17="", "", CONCATENATE('Project Summary'!$C$7, " - ", 'Project Summary'!$C$10))</f>
        <v/>
      </c>
      <c r="E17" s="10" t="str">
        <f t="shared" si="0"/>
        <v/>
      </c>
      <c r="F17" s="10" t="str">
        <f>IF(B17="", "", 'Project Summary'!$C$11)</f>
        <v/>
      </c>
      <c r="G17" s="10" t="str">
        <f>IF(B17="","",VLOOKUP(B17,'Project Summary'!$L$128:$M$147, 2, FALSE))</f>
        <v/>
      </c>
      <c r="H17" s="10" t="str">
        <f>IF(B17="", "",'Project Summary'!Q52)</f>
        <v/>
      </c>
      <c r="I17" s="99" t="str">
        <f>IF(B17="", "", Instructions!$M$2)</f>
        <v/>
      </c>
      <c r="J17" s="10" t="str">
        <f>IF(B17="", "", Freezers!D15)</f>
        <v/>
      </c>
      <c r="K17" s="10" t="str">
        <f>IF(B17="", "", Freezers!J15)</f>
        <v/>
      </c>
      <c r="L17" s="99" t="str">
        <f>IF(B17="", "", Freezers!Y15)</f>
        <v/>
      </c>
      <c r="M17" s="199" t="str">
        <f>IF(B17="", "", Freezers!W15)</f>
        <v/>
      </c>
      <c r="N17" s="199" t="str">
        <f t="shared" si="1"/>
        <v/>
      </c>
      <c r="O17" s="199" t="str">
        <f>IF(C17="", "", Freezers!X15)</f>
        <v/>
      </c>
      <c r="P17" s="99" t="str">
        <f t="shared" si="3"/>
        <v/>
      </c>
      <c r="Q17" s="10" t="str">
        <f>IF(B17="", "", Freezers!$C$31)</f>
        <v/>
      </c>
      <c r="R17" s="10" t="str">
        <f>IF(B17="", "", Freezers!E15)</f>
        <v/>
      </c>
      <c r="S17" s="10" t="str">
        <f>IF(B17="", "", Freezers!F15)</f>
        <v/>
      </c>
      <c r="U17" s="10" t="str">
        <f>IF(B17="", "", Freezers!H15)</f>
        <v/>
      </c>
      <c r="Y17" s="10" t="str">
        <f>IF(B17="", "", Freezers!I15)</f>
        <v/>
      </c>
      <c r="Z17" s="10" t="str">
        <f>IF(B17="", "", Freezers!G15)</f>
        <v/>
      </c>
      <c r="AB17" s="99"/>
      <c r="AC17" s="99"/>
      <c r="AD17" s="99"/>
      <c r="AI17" s="99"/>
      <c r="AJ17" s="99"/>
    </row>
    <row r="18" spans="1:36">
      <c r="A18" s="10" t="str">
        <f>IF(B18="", "", 'Project Summary'!S50)</f>
        <v/>
      </c>
      <c r="B18" s="10" t="str">
        <f>IF(OR('Commercial Clothes Washers'!AB8="", 'Commercial Clothes Washers'!AA8&lt;0),"", 'Commercial Clothes Washers'!M8)</f>
        <v/>
      </c>
      <c r="C18" s="10" t="str">
        <f>IF(B18="", "", 'Project Summary'!$C$10)</f>
        <v/>
      </c>
      <c r="D18" s="10" t="str">
        <f>IF(B18="", "", CONCATENATE('Project Summary'!$C$7, " - ", 'Project Summary'!$C$10))</f>
        <v/>
      </c>
      <c r="E18" s="10" t="str">
        <f t="shared" si="0"/>
        <v/>
      </c>
      <c r="F18" s="10" t="str">
        <f>IF(B18="", "", 'Project Summary'!$C$11)</f>
        <v/>
      </c>
      <c r="G18" s="10" t="str">
        <f>IF(B18="","",VLOOKUP(B18,'Project Summary'!$L$128:$M$147, 2, FALSE))</f>
        <v/>
      </c>
      <c r="H18" s="10" t="str">
        <f>IF(B18="", "",'Project Summary'!Q55)</f>
        <v/>
      </c>
      <c r="I18" s="99" t="str">
        <f>IF(B18="", "", Instructions!$M$2)</f>
        <v/>
      </c>
      <c r="J18" s="10" t="str">
        <f>IF(B18="", "", 'Commercial Clothes Washers'!D8)</f>
        <v/>
      </c>
      <c r="K18" s="10" t="str">
        <f>IF(B18="", "", 'Commercial Clothes Washers'!K8)</f>
        <v/>
      </c>
      <c r="L18" s="99" t="str">
        <f>IF(B18="", "", 'Commercial Clothes Washers'!AB8)</f>
        <v/>
      </c>
      <c r="M18" s="199" t="str">
        <f>IF(B18="", "", 'Commercial Clothes Washers'!Z8)</f>
        <v/>
      </c>
      <c r="N18" s="199" t="str">
        <f t="shared" si="1"/>
        <v/>
      </c>
      <c r="O18" s="199" t="str">
        <f>IF(C18="", "", 'Commercial Clothes Washers'!AA8)</f>
        <v/>
      </c>
      <c r="P18" s="99" t="str">
        <f>IF(B18="", "", 1)</f>
        <v/>
      </c>
      <c r="Q18" s="10" t="str">
        <f>IF(B18="", "", 'Commercial Clothes Washers'!X8)</f>
        <v/>
      </c>
      <c r="R18" s="10" t="str">
        <f>IF(B18="", "", 'Commercial Clothes Washers'!E8)</f>
        <v/>
      </c>
      <c r="S18" s="10" t="str">
        <f>IF(B18="", "", 'Commercial Clothes Washers'!F8)</f>
        <v/>
      </c>
      <c r="T18" s="10" t="str">
        <f>IF(B18="", "", 'Commercial Clothes Washers'!I8)</f>
        <v/>
      </c>
      <c r="AA18" s="10" t="str">
        <f>IF(B18="", "", 'Commercial Clothes Washers'!G8)</f>
        <v/>
      </c>
      <c r="AB18" s="99" t="str">
        <f>IF(B18="", "", 'Commercial Clothes Washers'!J8)</f>
        <v/>
      </c>
      <c r="AC18" s="99" t="str">
        <f>IF(B18="", "", 'Commercial Clothes Washers'!P8)</f>
        <v/>
      </c>
      <c r="AD18" s="99" t="str">
        <f>IF(B18="", "", 'Commercial Clothes Washers'!Q8)</f>
        <v/>
      </c>
      <c r="AI18" s="99"/>
      <c r="AJ18" s="99"/>
    </row>
    <row r="19" spans="1:36">
      <c r="A19" s="10" t="str">
        <f>IF(B19="", "", 'Project Summary'!S51)</f>
        <v/>
      </c>
      <c r="B19" s="10" t="str">
        <f>IF(OR('Commercial Clothes Washers'!AB9="", 'Commercial Clothes Washers'!AA9&lt;0),"", 'Commercial Clothes Washers'!M9)</f>
        <v/>
      </c>
      <c r="C19" s="10" t="str">
        <f>IF(B19="", "", 'Project Summary'!$C$10)</f>
        <v/>
      </c>
      <c r="D19" s="10" t="str">
        <f>IF(B19="", "", CONCATENATE('Project Summary'!$C$7, " - ", 'Project Summary'!$C$10))</f>
        <v/>
      </c>
      <c r="E19" s="10" t="str">
        <f t="shared" si="0"/>
        <v/>
      </c>
      <c r="F19" s="10" t="str">
        <f>IF(B19="", "", 'Project Summary'!$C$11)</f>
        <v/>
      </c>
      <c r="G19" s="10" t="str">
        <f>IF(B19="","",VLOOKUP(B19,'Project Summary'!$L$128:$M$147, 2, FALSE))</f>
        <v/>
      </c>
      <c r="H19" s="10" t="str">
        <f>IF(B19="", "",'Project Summary'!Q56)</f>
        <v/>
      </c>
      <c r="I19" s="99" t="str">
        <f>IF(B19="", "", Instructions!$M$2)</f>
        <v/>
      </c>
      <c r="J19" s="10" t="str">
        <f>IF(B19="", "", 'Commercial Clothes Washers'!D9)</f>
        <v/>
      </c>
      <c r="K19" s="10" t="str">
        <f>IF(B19="", "", 'Commercial Clothes Washers'!K9)</f>
        <v/>
      </c>
      <c r="L19" s="99" t="str">
        <f>IF(B19="", "", 'Commercial Clothes Washers'!AB9)</f>
        <v/>
      </c>
      <c r="M19" s="199" t="str">
        <f>IF(B19="", "", 'Commercial Clothes Washers'!Z9)</f>
        <v/>
      </c>
      <c r="N19" s="199" t="str">
        <f t="shared" si="1"/>
        <v/>
      </c>
      <c r="O19" s="199" t="str">
        <f>IF(C19="", "", 'Commercial Clothes Washers'!AA9)</f>
        <v/>
      </c>
      <c r="P19" s="99" t="str">
        <f t="shared" ref="P19:P41" si="4">IF(B19="", "", 1)</f>
        <v/>
      </c>
      <c r="Q19" s="10" t="str">
        <f>IF(B19="", "", 'Commercial Clothes Washers'!X9)</f>
        <v/>
      </c>
      <c r="R19" s="10" t="str">
        <f>IF(B19="", "", 'Commercial Clothes Washers'!E9)</f>
        <v/>
      </c>
      <c r="S19" s="10" t="str">
        <f>IF(B19="", "", 'Commercial Clothes Washers'!F9)</f>
        <v/>
      </c>
      <c r="T19" s="10" t="str">
        <f>IF(B19="", "", 'Commercial Clothes Washers'!I9)</f>
        <v/>
      </c>
      <c r="AA19" s="10" t="str">
        <f>IF(B19="", "", 'Commercial Clothes Washers'!G9)</f>
        <v/>
      </c>
      <c r="AB19" s="99" t="str">
        <f>IF(B19="", "", 'Commercial Clothes Washers'!J9)</f>
        <v/>
      </c>
      <c r="AC19" s="99" t="str">
        <f>IF(B19="", "", 'Commercial Clothes Washers'!P9)</f>
        <v/>
      </c>
      <c r="AD19" s="99" t="str">
        <f>IF(B19="", "", 'Commercial Clothes Washers'!Q9)</f>
        <v/>
      </c>
      <c r="AI19" s="99"/>
      <c r="AJ19" s="99"/>
    </row>
    <row r="20" spans="1:36">
      <c r="A20" s="10" t="str">
        <f>IF(B20="", "", 'Project Summary'!S52)</f>
        <v/>
      </c>
      <c r="B20" s="10" t="str">
        <f>IF(OR('Commercial Clothes Washers'!AB10="", 'Commercial Clothes Washers'!AA10&lt;0),"", 'Commercial Clothes Washers'!M10)</f>
        <v/>
      </c>
      <c r="C20" s="10" t="str">
        <f>IF(B20="", "", 'Project Summary'!$C$10)</f>
        <v/>
      </c>
      <c r="D20" s="10" t="str">
        <f>IF(B20="", "", CONCATENATE('Project Summary'!$C$7, " - ", 'Project Summary'!$C$10))</f>
        <v/>
      </c>
      <c r="E20" s="10" t="str">
        <f t="shared" si="0"/>
        <v/>
      </c>
      <c r="F20" s="10" t="str">
        <f>IF(B20="", "", 'Project Summary'!$C$11)</f>
        <v/>
      </c>
      <c r="G20" s="10" t="str">
        <f>IF(B20="","",VLOOKUP(B20,'Project Summary'!$L$128:$M$147, 2, FALSE))</f>
        <v/>
      </c>
      <c r="H20" s="10" t="str">
        <f>IF(B20="", "",'Project Summary'!Q57)</f>
        <v/>
      </c>
      <c r="I20" s="99" t="str">
        <f>IF(B20="", "", Instructions!$M$2)</f>
        <v/>
      </c>
      <c r="J20" s="10" t="str">
        <f>IF(B20="", "", 'Commercial Clothes Washers'!D10)</f>
        <v/>
      </c>
      <c r="K20" s="10" t="str">
        <f>IF(B20="", "", 'Commercial Clothes Washers'!K10)</f>
        <v/>
      </c>
      <c r="L20" s="99" t="str">
        <f>IF(B20="", "", 'Commercial Clothes Washers'!AB10)</f>
        <v/>
      </c>
      <c r="M20" s="199" t="str">
        <f>IF(B20="", "", 'Commercial Clothes Washers'!Z10)</f>
        <v/>
      </c>
      <c r="N20" s="199" t="str">
        <f t="shared" si="1"/>
        <v/>
      </c>
      <c r="O20" s="199" t="str">
        <f>IF(C20="", "", 'Commercial Clothes Washers'!AA10)</f>
        <v/>
      </c>
      <c r="P20" s="99" t="str">
        <f t="shared" si="4"/>
        <v/>
      </c>
      <c r="Q20" s="10" t="str">
        <f>IF(B20="", "", 'Commercial Clothes Washers'!X10)</f>
        <v/>
      </c>
      <c r="R20" s="10" t="str">
        <f>IF(B20="", "", 'Commercial Clothes Washers'!E10)</f>
        <v/>
      </c>
      <c r="S20" s="10" t="str">
        <f>IF(B20="", "", 'Commercial Clothes Washers'!F10)</f>
        <v/>
      </c>
      <c r="T20" s="10" t="str">
        <f>IF(B20="", "", 'Commercial Clothes Washers'!I10)</f>
        <v/>
      </c>
      <c r="AA20" s="10" t="str">
        <f>IF(B20="", "", 'Commercial Clothes Washers'!G10)</f>
        <v/>
      </c>
      <c r="AB20" s="99" t="str">
        <f>IF(B20="", "", 'Commercial Clothes Washers'!J10)</f>
        <v/>
      </c>
      <c r="AC20" s="99" t="str">
        <f>IF(B20="", "", 'Commercial Clothes Washers'!P10)</f>
        <v/>
      </c>
      <c r="AD20" s="99" t="str">
        <f>IF(B20="", "", 'Commercial Clothes Washers'!Q10)</f>
        <v/>
      </c>
      <c r="AI20" s="99"/>
      <c r="AJ20" s="99"/>
    </row>
    <row r="21" spans="1:36">
      <c r="A21" s="10" t="str">
        <f>IF(B21="", "", 'Project Summary'!S53)</f>
        <v/>
      </c>
      <c r="B21" s="10" t="str">
        <f>IF(OR('Commercial Clothes Washers'!AB11="", 'Commercial Clothes Washers'!AA11&lt;0),"", 'Commercial Clothes Washers'!M11)</f>
        <v/>
      </c>
      <c r="C21" s="10" t="str">
        <f>IF(B21="", "", 'Project Summary'!$C$10)</f>
        <v/>
      </c>
      <c r="D21" s="10" t="str">
        <f>IF(B21="", "", CONCATENATE('Project Summary'!$C$7, " - ", 'Project Summary'!$C$10))</f>
        <v/>
      </c>
      <c r="E21" s="10" t="str">
        <f t="shared" si="0"/>
        <v/>
      </c>
      <c r="F21" s="10" t="str">
        <f>IF(B21="", "", 'Project Summary'!$C$11)</f>
        <v/>
      </c>
      <c r="G21" s="10" t="str">
        <f>IF(B21="","",VLOOKUP(B21,'Project Summary'!$L$128:$M$147, 2, FALSE))</f>
        <v/>
      </c>
      <c r="H21" s="10" t="str">
        <f>IF(B21="", "",'Project Summary'!Q58)</f>
        <v/>
      </c>
      <c r="I21" s="99" t="str">
        <f>IF(B21="", "", Instructions!$M$2)</f>
        <v/>
      </c>
      <c r="J21" s="10" t="str">
        <f>IF(B21="", "", 'Commercial Clothes Washers'!D11)</f>
        <v/>
      </c>
      <c r="K21" s="10" t="str">
        <f>IF(B21="", "", 'Commercial Clothes Washers'!K11)</f>
        <v/>
      </c>
      <c r="L21" s="99" t="str">
        <f>IF(B21="", "", 'Commercial Clothes Washers'!AB11)</f>
        <v/>
      </c>
      <c r="M21" s="199" t="str">
        <f>IF(B21="", "", 'Commercial Clothes Washers'!Z11)</f>
        <v/>
      </c>
      <c r="N21" s="199" t="str">
        <f t="shared" si="1"/>
        <v/>
      </c>
      <c r="O21" s="199" t="str">
        <f>IF(C21="", "", 'Commercial Clothes Washers'!AA11)</f>
        <v/>
      </c>
      <c r="P21" s="99" t="str">
        <f t="shared" si="4"/>
        <v/>
      </c>
      <c r="Q21" s="10" t="str">
        <f>IF(B21="", "", 'Commercial Clothes Washers'!X11)</f>
        <v/>
      </c>
      <c r="R21" s="10" t="str">
        <f>IF(B21="", "", 'Commercial Clothes Washers'!E11)</f>
        <v/>
      </c>
      <c r="S21" s="10" t="str">
        <f>IF(B21="", "", 'Commercial Clothes Washers'!F11)</f>
        <v/>
      </c>
      <c r="T21" s="10" t="str">
        <f>IF(B21="", "", 'Commercial Clothes Washers'!I11)</f>
        <v/>
      </c>
      <c r="AA21" s="10" t="str">
        <f>IF(B21="", "", 'Commercial Clothes Washers'!G11)</f>
        <v/>
      </c>
      <c r="AB21" s="99" t="str">
        <f>IF(B21="", "", 'Commercial Clothes Washers'!J11)</f>
        <v/>
      </c>
      <c r="AC21" s="99" t="str">
        <f>IF(B21="", "", 'Commercial Clothes Washers'!P11)</f>
        <v/>
      </c>
      <c r="AD21" s="99" t="str">
        <f>IF(B21="", "", 'Commercial Clothes Washers'!Q11)</f>
        <v/>
      </c>
      <c r="AI21" s="99"/>
      <c r="AJ21" s="99"/>
    </row>
    <row r="22" spans="1:36">
      <c r="A22" s="10" t="str">
        <f>IF(B22="", "", 'Project Summary'!S54)</f>
        <v/>
      </c>
      <c r="B22" s="10" t="str">
        <f>IF(OR('Commercial Clothes Washers'!AB12="", 'Commercial Clothes Washers'!AA12&lt;0),"", 'Commercial Clothes Washers'!M12)</f>
        <v/>
      </c>
      <c r="C22" s="10" t="str">
        <f>IF(B22="", "", 'Project Summary'!$C$10)</f>
        <v/>
      </c>
      <c r="D22" s="10" t="str">
        <f>IF(B22="", "", CONCATENATE('Project Summary'!$C$7, " - ", 'Project Summary'!$C$10))</f>
        <v/>
      </c>
      <c r="E22" s="10" t="str">
        <f t="shared" si="0"/>
        <v/>
      </c>
      <c r="F22" s="10" t="str">
        <f>IF(B22="", "", 'Project Summary'!$C$11)</f>
        <v/>
      </c>
      <c r="G22" s="10" t="str">
        <f>IF(B22="","",VLOOKUP(B22,'Project Summary'!$L$128:$M$147, 2, FALSE))</f>
        <v/>
      </c>
      <c r="H22" s="10" t="str">
        <f>IF(B22="", "",'Project Summary'!Q59)</f>
        <v/>
      </c>
      <c r="I22" s="99" t="str">
        <f>IF(B22="", "", Instructions!$M$2)</f>
        <v/>
      </c>
      <c r="J22" s="10" t="str">
        <f>IF(B22="", "", 'Commercial Clothes Washers'!D12)</f>
        <v/>
      </c>
      <c r="K22" s="10" t="str">
        <f>IF(B22="", "", 'Commercial Clothes Washers'!K12)</f>
        <v/>
      </c>
      <c r="L22" s="99" t="str">
        <f>IF(B22="", "", 'Commercial Clothes Washers'!AB12)</f>
        <v/>
      </c>
      <c r="M22" s="199" t="str">
        <f>IF(B22="", "", 'Commercial Clothes Washers'!Z12)</f>
        <v/>
      </c>
      <c r="N22" s="199" t="str">
        <f t="shared" si="1"/>
        <v/>
      </c>
      <c r="O22" s="199" t="str">
        <f>IF(C22="", "", 'Commercial Clothes Washers'!AA12)</f>
        <v/>
      </c>
      <c r="P22" s="99" t="str">
        <f t="shared" si="4"/>
        <v/>
      </c>
      <c r="Q22" s="10" t="str">
        <f>IF(B22="", "", 'Commercial Clothes Washers'!X12)</f>
        <v/>
      </c>
      <c r="R22" s="10" t="str">
        <f>IF(B22="", "", 'Commercial Clothes Washers'!E12)</f>
        <v/>
      </c>
      <c r="S22" s="10" t="str">
        <f>IF(B22="", "", 'Commercial Clothes Washers'!F12)</f>
        <v/>
      </c>
      <c r="T22" s="10" t="str">
        <f>IF(B22="", "", 'Commercial Clothes Washers'!I12)</f>
        <v/>
      </c>
      <c r="AA22" s="10" t="str">
        <f>IF(B22="", "", 'Commercial Clothes Washers'!G12)</f>
        <v/>
      </c>
      <c r="AB22" s="99" t="str">
        <f>IF(B22="", "", 'Commercial Clothes Washers'!J12)</f>
        <v/>
      </c>
      <c r="AC22" s="99" t="str">
        <f>IF(B22="", "", 'Commercial Clothes Washers'!P12)</f>
        <v/>
      </c>
      <c r="AD22" s="99" t="str">
        <f>IF(B22="", "", 'Commercial Clothes Washers'!Q12)</f>
        <v/>
      </c>
      <c r="AI22" s="99"/>
      <c r="AJ22" s="99"/>
    </row>
    <row r="23" spans="1:36">
      <c r="A23" s="10" t="str">
        <f>IF(B23="", "", 'Project Summary'!S55)</f>
        <v/>
      </c>
      <c r="B23" s="10" t="str">
        <f>IF(OR('Commercial Clothes Washers'!AB13="", 'Commercial Clothes Washers'!AA13&lt;0),"", 'Commercial Clothes Washers'!M13)</f>
        <v/>
      </c>
      <c r="C23" s="10" t="str">
        <f>IF(B23="", "", 'Project Summary'!$C$10)</f>
        <v/>
      </c>
      <c r="D23" s="10" t="str">
        <f>IF(B23="", "", CONCATENATE('Project Summary'!$C$7, " - ", 'Project Summary'!$C$10))</f>
        <v/>
      </c>
      <c r="E23" s="10" t="str">
        <f t="shared" si="0"/>
        <v/>
      </c>
      <c r="F23" s="10" t="str">
        <f>IF(B23="", "", 'Project Summary'!$C$11)</f>
        <v/>
      </c>
      <c r="G23" s="10" t="str">
        <f>IF(B23="","",VLOOKUP(B23,'Project Summary'!$L$128:$M$147, 2, FALSE))</f>
        <v/>
      </c>
      <c r="H23" s="10" t="str">
        <f>IF(B23="", "",'Project Summary'!Q60)</f>
        <v/>
      </c>
      <c r="I23" s="99" t="str">
        <f>IF(B23="", "", Instructions!$M$2)</f>
        <v/>
      </c>
      <c r="J23" s="10" t="str">
        <f>IF(B23="", "", 'Commercial Clothes Washers'!D13)</f>
        <v/>
      </c>
      <c r="K23" s="10" t="str">
        <f>IF(B23="", "", 'Commercial Clothes Washers'!K13)</f>
        <v/>
      </c>
      <c r="L23" s="99" t="str">
        <f>IF(B23="", "", 'Commercial Clothes Washers'!AB13)</f>
        <v/>
      </c>
      <c r="M23" s="199" t="str">
        <f>IF(B23="", "", 'Commercial Clothes Washers'!Z13)</f>
        <v/>
      </c>
      <c r="N23" s="199" t="str">
        <f t="shared" si="1"/>
        <v/>
      </c>
      <c r="O23" s="199" t="str">
        <f>IF(C23="", "", 'Commercial Clothes Washers'!AA13)</f>
        <v/>
      </c>
      <c r="P23" s="99" t="str">
        <f t="shared" si="4"/>
        <v/>
      </c>
      <c r="Q23" s="10" t="str">
        <f>IF(B23="", "", 'Commercial Clothes Washers'!X13)</f>
        <v/>
      </c>
      <c r="R23" s="10" t="str">
        <f>IF(B23="", "", 'Commercial Clothes Washers'!E13)</f>
        <v/>
      </c>
      <c r="S23" s="10" t="str">
        <f>IF(B23="", "", 'Commercial Clothes Washers'!F13)</f>
        <v/>
      </c>
      <c r="T23" s="10" t="str">
        <f>IF(B23="", "", 'Commercial Clothes Washers'!I13)</f>
        <v/>
      </c>
      <c r="AA23" s="10" t="str">
        <f>IF(B23="", "", 'Commercial Clothes Washers'!G13)</f>
        <v/>
      </c>
      <c r="AB23" s="99" t="str">
        <f>IF(B23="", "", 'Commercial Clothes Washers'!J13)</f>
        <v/>
      </c>
      <c r="AC23" s="99" t="str">
        <f>IF(B23="", "", 'Commercial Clothes Washers'!P13)</f>
        <v/>
      </c>
      <c r="AD23" s="99" t="str">
        <f>IF(B23="", "", 'Commercial Clothes Washers'!Q13)</f>
        <v/>
      </c>
      <c r="AI23" s="99"/>
      <c r="AJ23" s="99"/>
    </row>
    <row r="24" spans="1:36">
      <c r="A24" s="10" t="str">
        <f>IF(B24="", "", 'Project Summary'!S56)</f>
        <v/>
      </c>
      <c r="B24" s="10" t="str">
        <f>IF(OR('Commercial Clothes Washers'!AB14="", 'Commercial Clothes Washers'!AA14&lt;0),"", 'Commercial Clothes Washers'!M14)</f>
        <v/>
      </c>
      <c r="C24" s="10" t="str">
        <f>IF(B24="", "", 'Project Summary'!$C$10)</f>
        <v/>
      </c>
      <c r="D24" s="10" t="str">
        <f>IF(B24="", "", CONCATENATE('Project Summary'!$C$7, " - ", 'Project Summary'!$C$10))</f>
        <v/>
      </c>
      <c r="E24" s="10" t="str">
        <f t="shared" si="0"/>
        <v/>
      </c>
      <c r="F24" s="10" t="str">
        <f>IF(B24="", "", 'Project Summary'!$C$11)</f>
        <v/>
      </c>
      <c r="G24" s="10" t="str">
        <f>IF(B24="","",VLOOKUP(B24,'Project Summary'!$L$128:$M$147, 2, FALSE))</f>
        <v/>
      </c>
      <c r="H24" s="10" t="str">
        <f>IF(B24="", "",'Project Summary'!Q61)</f>
        <v/>
      </c>
      <c r="I24" s="99" t="str">
        <f>IF(B24="", "", Instructions!$M$2)</f>
        <v/>
      </c>
      <c r="J24" s="10" t="str">
        <f>IF(B24="", "", 'Commercial Clothes Washers'!D14)</f>
        <v/>
      </c>
      <c r="K24" s="10" t="str">
        <f>IF(B24="", "", 'Commercial Clothes Washers'!K14)</f>
        <v/>
      </c>
      <c r="L24" s="99" t="str">
        <f>IF(B24="", "", 'Commercial Clothes Washers'!AB14)</f>
        <v/>
      </c>
      <c r="M24" s="199" t="str">
        <f>IF(B24="", "", 'Commercial Clothes Washers'!Z14)</f>
        <v/>
      </c>
      <c r="N24" s="199" t="str">
        <f t="shared" si="1"/>
        <v/>
      </c>
      <c r="O24" s="199" t="str">
        <f>IF(C24="", "", 'Commercial Clothes Washers'!AA14)</f>
        <v/>
      </c>
      <c r="P24" s="99" t="str">
        <f t="shared" si="4"/>
        <v/>
      </c>
      <c r="Q24" s="10" t="str">
        <f>IF(B24="", "", 'Commercial Clothes Washers'!X14)</f>
        <v/>
      </c>
      <c r="R24" s="10" t="str">
        <f>IF(B24="", "", 'Commercial Clothes Washers'!E14)</f>
        <v/>
      </c>
      <c r="S24" s="10" t="str">
        <f>IF(B24="", "", 'Commercial Clothes Washers'!F14)</f>
        <v/>
      </c>
      <c r="T24" s="10" t="str">
        <f>IF(B24="", "", 'Commercial Clothes Washers'!I14)</f>
        <v/>
      </c>
      <c r="AA24" s="10" t="str">
        <f>IF(B24="", "", 'Commercial Clothes Washers'!G14)</f>
        <v/>
      </c>
      <c r="AB24" s="99" t="str">
        <f>IF(B24="", "", 'Commercial Clothes Washers'!J14)</f>
        <v/>
      </c>
      <c r="AC24" s="99" t="str">
        <f>IF(B24="", "", 'Commercial Clothes Washers'!P14)</f>
        <v/>
      </c>
      <c r="AD24" s="99" t="str">
        <f>IF(B24="", "", 'Commercial Clothes Washers'!Q14)</f>
        <v/>
      </c>
      <c r="AI24" s="99"/>
      <c r="AJ24" s="99"/>
    </row>
    <row r="25" spans="1:36">
      <c r="A25" s="10" t="str">
        <f>IF(B25="", "", 'Project Summary'!S57)</f>
        <v/>
      </c>
      <c r="B25" s="10" t="str">
        <f>IF(OR('Commercial Clothes Washers'!AB15="", 'Commercial Clothes Washers'!AA15&lt;0),"", 'Commercial Clothes Washers'!M15)</f>
        <v/>
      </c>
      <c r="C25" s="10" t="str">
        <f>IF(B25="", "", 'Project Summary'!$C$10)</f>
        <v/>
      </c>
      <c r="D25" s="10" t="str">
        <f>IF(B25="", "", CONCATENATE('Project Summary'!$C$7, " - ", 'Project Summary'!$C$10))</f>
        <v/>
      </c>
      <c r="E25" s="10" t="str">
        <f t="shared" si="0"/>
        <v/>
      </c>
      <c r="F25" s="10" t="str">
        <f>IF(B25="", "", 'Project Summary'!$C$11)</f>
        <v/>
      </c>
      <c r="G25" s="10" t="str">
        <f>IF(B25="","",VLOOKUP(B25,'Project Summary'!$L$128:$M$147, 2, FALSE))</f>
        <v/>
      </c>
      <c r="H25" s="10" t="str">
        <f>IF(B25="", "",'Project Summary'!Q62)</f>
        <v/>
      </c>
      <c r="I25" s="99" t="str">
        <f>IF(B25="", "", Instructions!$M$2)</f>
        <v/>
      </c>
      <c r="J25" s="10" t="str">
        <f>IF(B25="", "", 'Commercial Clothes Washers'!D15)</f>
        <v/>
      </c>
      <c r="K25" s="10" t="str">
        <f>IF(B25="", "", 'Commercial Clothes Washers'!K15)</f>
        <v/>
      </c>
      <c r="L25" s="99" t="str">
        <f>IF(B25="", "", 'Commercial Clothes Washers'!AB15)</f>
        <v/>
      </c>
      <c r="M25" s="199" t="str">
        <f>IF(B25="", "", 'Commercial Clothes Washers'!Z15)</f>
        <v/>
      </c>
      <c r="N25" s="199" t="str">
        <f t="shared" si="1"/>
        <v/>
      </c>
      <c r="O25" s="199" t="str">
        <f>IF(C25="", "", 'Commercial Clothes Washers'!AA15)</f>
        <v/>
      </c>
      <c r="P25" s="99" t="str">
        <f t="shared" si="4"/>
        <v/>
      </c>
      <c r="Q25" s="10" t="str">
        <f>IF(B25="", "", 'Commercial Clothes Washers'!X15)</f>
        <v/>
      </c>
      <c r="R25" s="10" t="str">
        <f>IF(B25="", "", 'Commercial Clothes Washers'!E15)</f>
        <v/>
      </c>
      <c r="S25" s="10" t="str">
        <f>IF(B25="", "", 'Commercial Clothes Washers'!F15)</f>
        <v/>
      </c>
      <c r="T25" s="10" t="str">
        <f>IF(B25="", "", 'Commercial Clothes Washers'!I15)</f>
        <v/>
      </c>
      <c r="AA25" s="10" t="str">
        <f>IF(B25="", "", 'Commercial Clothes Washers'!G15)</f>
        <v/>
      </c>
      <c r="AB25" s="99" t="str">
        <f>IF(B25="", "", 'Commercial Clothes Washers'!J15)</f>
        <v/>
      </c>
      <c r="AC25" s="99" t="str">
        <f>IF(B25="", "", 'Commercial Clothes Washers'!P15)</f>
        <v/>
      </c>
      <c r="AD25" s="99" t="str">
        <f>IF(B25="", "", 'Commercial Clothes Washers'!Q15)</f>
        <v/>
      </c>
      <c r="AI25" s="99"/>
      <c r="AJ25" s="99"/>
    </row>
    <row r="26" spans="1:36">
      <c r="A26" s="10" t="str">
        <f>IF(B26="", "", 'Project Summary'!S58)</f>
        <v/>
      </c>
      <c r="B26" s="10" t="str">
        <f>IF(OR('Clothes Dryers'!U8="", 'Clothes Dryers'!T8&lt;0),"", 'Clothes Dryers'!K8)</f>
        <v/>
      </c>
      <c r="C26" s="10" t="str">
        <f>IF(B26="", "", 'Project Summary'!$C$10)</f>
        <v/>
      </c>
      <c r="D26" s="10" t="str">
        <f>IF(B26="", "", CONCATENATE('Project Summary'!$C$7, " - ", 'Project Summary'!$C$10))</f>
        <v/>
      </c>
      <c r="E26" s="10" t="str">
        <f t="shared" si="0"/>
        <v/>
      </c>
      <c r="F26" s="10" t="str">
        <f>IF(B26="", "", 'Project Summary'!$C$11)</f>
        <v/>
      </c>
      <c r="G26" s="10" t="str">
        <f>IF(B26="","",VLOOKUP(B26,'Project Summary'!$L$128:$M$147, 2, FALSE))</f>
        <v/>
      </c>
      <c r="H26" s="10" t="str">
        <f>IF(B26="", "",'Project Summary'!Q65)</f>
        <v/>
      </c>
      <c r="I26" s="99" t="str">
        <f>IF(B26="", "", Instructions!$M$2)</f>
        <v/>
      </c>
      <c r="J26" s="10" t="str">
        <f>IF(B26="", "", 'Clothes Dryers'!D8)</f>
        <v/>
      </c>
      <c r="K26" s="10" t="str">
        <f>IF(B26="", "", 'Clothes Dryers'!H8)</f>
        <v/>
      </c>
      <c r="L26" s="99" t="str">
        <f>IF(B26="", "", 'Clothes Dryers'!U8)</f>
        <v/>
      </c>
      <c r="M26" s="199" t="str">
        <f>IF(B26="", "", 'Clothes Dryers'!S8)</f>
        <v/>
      </c>
      <c r="N26" s="199" t="str">
        <f t="shared" si="1"/>
        <v/>
      </c>
      <c r="O26" s="199" t="str">
        <f>IF(C26="", "", 'Clothes Dryers'!T8)</f>
        <v/>
      </c>
      <c r="P26" s="99" t="str">
        <f t="shared" si="4"/>
        <v/>
      </c>
      <c r="Q26" s="10" t="str">
        <f>IF(B26="", "", 'Clothes Dryers'!Q8)</f>
        <v/>
      </c>
      <c r="R26" s="10" t="str">
        <f>IF(B26="", "", 'Clothes Dryers'!E8)</f>
        <v/>
      </c>
      <c r="S26" s="10" t="str">
        <f>IF(B26="", "", 'Clothes Dryers'!F8)</f>
        <v/>
      </c>
      <c r="T26" s="10" t="str">
        <f>IF(B26="", "", 'Clothes Dryers'!G8)</f>
        <v/>
      </c>
      <c r="AB26" s="99"/>
      <c r="AC26" s="99" t="str">
        <f>IF(B26="", "", 'Clothes Dryers'!N8)</f>
        <v/>
      </c>
      <c r="AD26" s="99" t="str">
        <f>IF(B26="", "", 'Clothes Dryers'!O8)</f>
        <v/>
      </c>
      <c r="AI26" s="99"/>
      <c r="AJ26" s="99"/>
    </row>
    <row r="27" spans="1:36">
      <c r="A27" s="10" t="str">
        <f>IF(B27="", "", 'Project Summary'!S59)</f>
        <v/>
      </c>
      <c r="B27" s="10" t="str">
        <f>IF(OR('Clothes Dryers'!U9="", 'Clothes Dryers'!T9&lt;0),"", 'Clothes Dryers'!K9)</f>
        <v/>
      </c>
      <c r="C27" s="10" t="str">
        <f>IF(B27="", "", 'Project Summary'!$C$10)</f>
        <v/>
      </c>
      <c r="D27" s="10" t="str">
        <f>IF(B27="", "", CONCATENATE('Project Summary'!$C$7, " - ", 'Project Summary'!$C$10))</f>
        <v/>
      </c>
      <c r="E27" s="10" t="str">
        <f t="shared" si="0"/>
        <v/>
      </c>
      <c r="F27" s="10" t="str">
        <f>IF(B27="", "", 'Project Summary'!$C$11)</f>
        <v/>
      </c>
      <c r="G27" s="10" t="str">
        <f>IF(B27="","",VLOOKUP(B27,'Project Summary'!$L$128:$M$147, 2, FALSE))</f>
        <v/>
      </c>
      <c r="H27" s="10" t="str">
        <f>IF(B27="", "",'Project Summary'!Q66)</f>
        <v/>
      </c>
      <c r="I27" s="99" t="str">
        <f>IF(B27="", "", Instructions!$M$2)</f>
        <v/>
      </c>
      <c r="J27" s="10" t="str">
        <f>IF(B27="", "", 'Clothes Dryers'!D9)</f>
        <v/>
      </c>
      <c r="K27" s="10" t="str">
        <f>IF(B27="", "", 'Clothes Dryers'!H9)</f>
        <v/>
      </c>
      <c r="L27" s="99" t="str">
        <f>IF(B27="", "", 'Clothes Dryers'!U9)</f>
        <v/>
      </c>
      <c r="M27" s="199" t="str">
        <f>IF(B27="", "", 'Clothes Dryers'!S9)</f>
        <v/>
      </c>
      <c r="N27" s="199" t="str">
        <f t="shared" si="1"/>
        <v/>
      </c>
      <c r="O27" s="199" t="str">
        <f>IF(C27="", "", 'Clothes Dryers'!T9)</f>
        <v/>
      </c>
      <c r="P27" s="99" t="str">
        <f t="shared" si="4"/>
        <v/>
      </c>
      <c r="Q27" s="10" t="str">
        <f>IF(B27="", "", 'Clothes Dryers'!Q9)</f>
        <v/>
      </c>
      <c r="R27" s="10" t="str">
        <f>IF(B27="", "", 'Clothes Dryers'!E9)</f>
        <v/>
      </c>
      <c r="S27" s="10" t="str">
        <f>IF(B27="", "", 'Clothes Dryers'!F9)</f>
        <v/>
      </c>
      <c r="T27" s="10" t="str">
        <f>IF(B27="", "", 'Clothes Dryers'!G9)</f>
        <v/>
      </c>
      <c r="AB27" s="99"/>
      <c r="AC27" s="99" t="str">
        <f>IF(B27="", "", 'Clothes Dryers'!N9)</f>
        <v/>
      </c>
      <c r="AD27" s="99" t="str">
        <f>IF(B27="", "", 'Clothes Dryers'!O9)</f>
        <v/>
      </c>
      <c r="AI27" s="99"/>
      <c r="AJ27" s="99"/>
    </row>
    <row r="28" spans="1:36">
      <c r="A28" s="10" t="str">
        <f>IF(B28="", "", 'Project Summary'!S60)</f>
        <v/>
      </c>
      <c r="B28" s="10" t="str">
        <f>IF(OR('Clothes Dryers'!U10="", 'Clothes Dryers'!T10&lt;0),"", 'Clothes Dryers'!K10)</f>
        <v/>
      </c>
      <c r="C28" s="10" t="str">
        <f>IF(B28="", "", 'Project Summary'!$C$10)</f>
        <v/>
      </c>
      <c r="D28" s="10" t="str">
        <f>IF(B28="", "", CONCATENATE('Project Summary'!$C$7, " - ", 'Project Summary'!$C$10))</f>
        <v/>
      </c>
      <c r="E28" s="10" t="str">
        <f t="shared" si="0"/>
        <v/>
      </c>
      <c r="F28" s="10" t="str">
        <f>IF(B28="", "", 'Project Summary'!$C$11)</f>
        <v/>
      </c>
      <c r="G28" s="10" t="str">
        <f>IF(B28="","",VLOOKUP(B28,'Project Summary'!$L$128:$M$147, 2, FALSE))</f>
        <v/>
      </c>
      <c r="H28" s="10" t="str">
        <f>IF(B28="", "",'Project Summary'!Q67)</f>
        <v/>
      </c>
      <c r="I28" s="99" t="str">
        <f>IF(B28="", "", Instructions!$M$2)</f>
        <v/>
      </c>
      <c r="J28" s="10" t="str">
        <f>IF(B28="", "", 'Clothes Dryers'!D10)</f>
        <v/>
      </c>
      <c r="K28" s="10" t="str">
        <f>IF(B28="", "", 'Clothes Dryers'!H10)</f>
        <v/>
      </c>
      <c r="L28" s="99" t="str">
        <f>IF(B28="", "", 'Clothes Dryers'!U10)</f>
        <v/>
      </c>
      <c r="M28" s="199" t="str">
        <f>IF(B28="", "", 'Clothes Dryers'!S10)</f>
        <v/>
      </c>
      <c r="N28" s="199" t="str">
        <f t="shared" si="1"/>
        <v/>
      </c>
      <c r="O28" s="199" t="str">
        <f>IF(C28="", "", 'Clothes Dryers'!T10)</f>
        <v/>
      </c>
      <c r="P28" s="99" t="str">
        <f t="shared" si="4"/>
        <v/>
      </c>
      <c r="Q28" s="10" t="str">
        <f>IF(B28="", "", 'Clothes Dryers'!Q10)</f>
        <v/>
      </c>
      <c r="R28" s="10" t="str">
        <f>IF(B28="", "", 'Clothes Dryers'!E10)</f>
        <v/>
      </c>
      <c r="S28" s="10" t="str">
        <f>IF(B28="", "", 'Clothes Dryers'!F10)</f>
        <v/>
      </c>
      <c r="T28" s="10" t="str">
        <f>IF(B28="", "", 'Clothes Dryers'!G10)</f>
        <v/>
      </c>
      <c r="AB28" s="99"/>
      <c r="AC28" s="99" t="str">
        <f>IF(B28="", "", 'Clothes Dryers'!N10)</f>
        <v/>
      </c>
      <c r="AD28" s="99" t="str">
        <f>IF(B28="", "", 'Clothes Dryers'!O10)</f>
        <v/>
      </c>
      <c r="AI28" s="99"/>
      <c r="AJ28" s="99"/>
    </row>
    <row r="29" spans="1:36">
      <c r="A29" s="10" t="str">
        <f>IF(B29="", "", 'Project Summary'!S61)</f>
        <v/>
      </c>
      <c r="B29" s="10" t="str">
        <f>IF(OR('Clothes Dryers'!U11="", 'Clothes Dryers'!T11&lt;0),"", 'Clothes Dryers'!K11)</f>
        <v/>
      </c>
      <c r="C29" s="10" t="str">
        <f>IF(B29="", "", 'Project Summary'!$C$10)</f>
        <v/>
      </c>
      <c r="D29" s="10" t="str">
        <f>IF(B29="", "", CONCATENATE('Project Summary'!$C$7, " - ", 'Project Summary'!$C$10))</f>
        <v/>
      </c>
      <c r="E29" s="10" t="str">
        <f t="shared" si="0"/>
        <v/>
      </c>
      <c r="F29" s="10" t="str">
        <f>IF(B29="", "", 'Project Summary'!$C$11)</f>
        <v/>
      </c>
      <c r="G29" s="10" t="str">
        <f>IF(B29="","",VLOOKUP(B29,'Project Summary'!$L$128:$M$147, 2, FALSE))</f>
        <v/>
      </c>
      <c r="H29" s="10" t="str">
        <f>IF(B29="", "",'Project Summary'!Q68)</f>
        <v/>
      </c>
      <c r="I29" s="99" t="str">
        <f>IF(B29="", "", Instructions!$M$2)</f>
        <v/>
      </c>
      <c r="J29" s="10" t="str">
        <f>IF(B29="", "", 'Clothes Dryers'!D11)</f>
        <v/>
      </c>
      <c r="K29" s="10" t="str">
        <f>IF(B29="", "", 'Clothes Dryers'!H11)</f>
        <v/>
      </c>
      <c r="L29" s="99" t="str">
        <f>IF(B29="", "", 'Clothes Dryers'!U11)</f>
        <v/>
      </c>
      <c r="M29" s="199" t="str">
        <f>IF(B29="", "", 'Clothes Dryers'!S11)</f>
        <v/>
      </c>
      <c r="N29" s="199" t="str">
        <f t="shared" si="1"/>
        <v/>
      </c>
      <c r="O29" s="199" t="str">
        <f>IF(C29="", "", 'Clothes Dryers'!T11)</f>
        <v/>
      </c>
      <c r="P29" s="99" t="str">
        <f t="shared" si="4"/>
        <v/>
      </c>
      <c r="Q29" s="10" t="str">
        <f>IF(B29="", "", 'Clothes Dryers'!Q11)</f>
        <v/>
      </c>
      <c r="R29" s="10" t="str">
        <f>IF(B29="", "", 'Clothes Dryers'!E11)</f>
        <v/>
      </c>
      <c r="S29" s="10" t="str">
        <f>IF(B29="", "", 'Clothes Dryers'!F11)</f>
        <v/>
      </c>
      <c r="T29" s="10" t="str">
        <f>IF(B29="", "", 'Clothes Dryers'!G11)</f>
        <v/>
      </c>
      <c r="AB29" s="99"/>
      <c r="AC29" s="99" t="str">
        <f>IF(B29="", "", 'Clothes Dryers'!N11)</f>
        <v/>
      </c>
      <c r="AD29" s="99" t="str">
        <f>IF(B29="", "", 'Clothes Dryers'!O11)</f>
        <v/>
      </c>
      <c r="AI29" s="99"/>
      <c r="AJ29" s="99"/>
    </row>
    <row r="30" spans="1:36">
      <c r="A30" s="10" t="str">
        <f>IF(B30="", "", 'Project Summary'!S62)</f>
        <v/>
      </c>
      <c r="B30" s="10" t="str">
        <f>IF(OR('Clothes Dryers'!U12="", 'Clothes Dryers'!T12&lt;0),"", 'Clothes Dryers'!K12)</f>
        <v/>
      </c>
      <c r="C30" s="10" t="str">
        <f>IF(B30="", "", 'Project Summary'!$C$10)</f>
        <v/>
      </c>
      <c r="D30" s="10" t="str">
        <f>IF(B30="", "", CONCATENATE('Project Summary'!$C$7, " - ", 'Project Summary'!$C$10))</f>
        <v/>
      </c>
      <c r="E30" s="10" t="str">
        <f t="shared" si="0"/>
        <v/>
      </c>
      <c r="F30" s="10" t="str">
        <f>IF(B30="", "", 'Project Summary'!$C$11)</f>
        <v/>
      </c>
      <c r="G30" s="10" t="str">
        <f>IF(B30="","",VLOOKUP(B30,'Project Summary'!$L$128:$M$147, 2, FALSE))</f>
        <v/>
      </c>
      <c r="H30" s="10" t="str">
        <f>IF(B30="", "",'Project Summary'!Q69)</f>
        <v/>
      </c>
      <c r="I30" s="99" t="str">
        <f>IF(B30="", "", Instructions!$M$2)</f>
        <v/>
      </c>
      <c r="J30" s="10" t="str">
        <f>IF(B30="", "", 'Clothes Dryers'!D12)</f>
        <v/>
      </c>
      <c r="K30" s="10" t="str">
        <f>IF(B30="", "", 'Clothes Dryers'!H12)</f>
        <v/>
      </c>
      <c r="L30" s="99" t="str">
        <f>IF(B30="", "", 'Clothes Dryers'!U12)</f>
        <v/>
      </c>
      <c r="M30" s="199" t="str">
        <f>IF(B30="", "", 'Clothes Dryers'!S12)</f>
        <v/>
      </c>
      <c r="N30" s="199" t="str">
        <f t="shared" si="1"/>
        <v/>
      </c>
      <c r="O30" s="199" t="str">
        <f>IF(C30="", "", 'Clothes Dryers'!T12)</f>
        <v/>
      </c>
      <c r="P30" s="99" t="str">
        <f t="shared" si="4"/>
        <v/>
      </c>
      <c r="Q30" s="10" t="str">
        <f>IF(B30="", "", 'Clothes Dryers'!Q12)</f>
        <v/>
      </c>
      <c r="R30" s="10" t="str">
        <f>IF(B30="", "", 'Clothes Dryers'!E12)</f>
        <v/>
      </c>
      <c r="S30" s="10" t="str">
        <f>IF(B30="", "", 'Clothes Dryers'!F12)</f>
        <v/>
      </c>
      <c r="T30" s="10" t="str">
        <f>IF(B30="", "", 'Clothes Dryers'!G12)</f>
        <v/>
      </c>
      <c r="AB30" s="99"/>
      <c r="AC30" s="99" t="str">
        <f>IF(B30="", "", 'Clothes Dryers'!N12)</f>
        <v/>
      </c>
      <c r="AD30" s="99" t="str">
        <f>IF(B30="", "", 'Clothes Dryers'!O12)</f>
        <v/>
      </c>
      <c r="AI30" s="99"/>
      <c r="AJ30" s="99"/>
    </row>
    <row r="31" spans="1:36">
      <c r="A31" s="10" t="str">
        <f>IF(B31="", "", 'Project Summary'!S63)</f>
        <v/>
      </c>
      <c r="B31" s="10" t="str">
        <f>IF(OR('Clothes Dryers'!U13="", 'Clothes Dryers'!T13&lt;0),"", 'Clothes Dryers'!K13)</f>
        <v/>
      </c>
      <c r="C31" s="10" t="str">
        <f>IF(B31="", "", 'Project Summary'!$C$10)</f>
        <v/>
      </c>
      <c r="D31" s="10" t="str">
        <f>IF(B31="", "", CONCATENATE('Project Summary'!$C$7, " - ", 'Project Summary'!$C$10))</f>
        <v/>
      </c>
      <c r="E31" s="10" t="str">
        <f t="shared" si="0"/>
        <v/>
      </c>
      <c r="F31" s="10" t="str">
        <f>IF(B31="", "", 'Project Summary'!$C$11)</f>
        <v/>
      </c>
      <c r="G31" s="10" t="str">
        <f>IF(B31="","",VLOOKUP(B31,'Project Summary'!$L$128:$M$147, 2, FALSE))</f>
        <v/>
      </c>
      <c r="H31" s="10" t="str">
        <f>IF(B31="", "",'Project Summary'!Q70)</f>
        <v/>
      </c>
      <c r="I31" s="99" t="str">
        <f>IF(B31="", "", Instructions!$M$2)</f>
        <v/>
      </c>
      <c r="J31" s="10" t="str">
        <f>IF(B31="", "", 'Clothes Dryers'!D13)</f>
        <v/>
      </c>
      <c r="K31" s="10" t="str">
        <f>IF(B31="", "", 'Clothes Dryers'!H13)</f>
        <v/>
      </c>
      <c r="L31" s="99" t="str">
        <f>IF(B31="", "", 'Clothes Dryers'!U13)</f>
        <v/>
      </c>
      <c r="M31" s="199" t="str">
        <f>IF(B31="", "", 'Clothes Dryers'!S13)</f>
        <v/>
      </c>
      <c r="N31" s="199" t="str">
        <f t="shared" si="1"/>
        <v/>
      </c>
      <c r="O31" s="199" t="str">
        <f>IF(C31="", "", 'Clothes Dryers'!T13)</f>
        <v/>
      </c>
      <c r="P31" s="99" t="str">
        <f t="shared" si="4"/>
        <v/>
      </c>
      <c r="Q31" s="10" t="str">
        <f>IF(B31="", "", 'Clothes Dryers'!Q13)</f>
        <v/>
      </c>
      <c r="R31" s="10" t="str">
        <f>IF(B31="", "", 'Clothes Dryers'!E13)</f>
        <v/>
      </c>
      <c r="S31" s="10" t="str">
        <f>IF(B31="", "", 'Clothes Dryers'!F13)</f>
        <v/>
      </c>
      <c r="T31" s="10" t="str">
        <f>IF(B31="", "", 'Clothes Dryers'!G13)</f>
        <v/>
      </c>
      <c r="AB31" s="99"/>
      <c r="AC31" s="99" t="str">
        <f>IF(B31="", "", 'Clothes Dryers'!N13)</f>
        <v/>
      </c>
      <c r="AD31" s="99" t="str">
        <f>IF(B31="", "", 'Clothes Dryers'!O13)</f>
        <v/>
      </c>
      <c r="AI31" s="99"/>
      <c r="AJ31" s="99"/>
    </row>
    <row r="32" spans="1:36">
      <c r="A32" s="10" t="str">
        <f>IF(B32="", "", 'Project Summary'!S64)</f>
        <v/>
      </c>
      <c r="B32" s="10" t="str">
        <f>IF(OR('Clothes Dryers'!U14="", 'Clothes Dryers'!T14&lt;0),"", 'Clothes Dryers'!K14)</f>
        <v/>
      </c>
      <c r="C32" s="10" t="str">
        <f>IF(B32="", "", 'Project Summary'!$C$10)</f>
        <v/>
      </c>
      <c r="D32" s="10" t="str">
        <f>IF(B32="", "", CONCATENATE('Project Summary'!$C$7, " - ", 'Project Summary'!$C$10))</f>
        <v/>
      </c>
      <c r="E32" s="10" t="str">
        <f t="shared" si="0"/>
        <v/>
      </c>
      <c r="F32" s="10" t="str">
        <f>IF(B32="", "", 'Project Summary'!$C$11)</f>
        <v/>
      </c>
      <c r="G32" s="10" t="str">
        <f>IF(B32="","",VLOOKUP(B32,'Project Summary'!$L$128:$M$147, 2, FALSE))</f>
        <v/>
      </c>
      <c r="H32" s="10" t="str">
        <f>IF(B32="", "",'Project Summary'!Q71)</f>
        <v/>
      </c>
      <c r="I32" s="99" t="str">
        <f>IF(B32="", "", Instructions!$M$2)</f>
        <v/>
      </c>
      <c r="J32" s="10" t="str">
        <f>IF(B32="", "", 'Clothes Dryers'!D14)</f>
        <v/>
      </c>
      <c r="K32" s="10" t="str">
        <f>IF(B32="", "", 'Clothes Dryers'!H14)</f>
        <v/>
      </c>
      <c r="L32" s="99" t="str">
        <f>IF(B32="", "", 'Clothes Dryers'!U14)</f>
        <v/>
      </c>
      <c r="M32" s="199" t="str">
        <f>IF(B32="", "", 'Clothes Dryers'!S14)</f>
        <v/>
      </c>
      <c r="N32" s="199" t="str">
        <f t="shared" si="1"/>
        <v/>
      </c>
      <c r="O32" s="199" t="str">
        <f>IF(C32="", "", 'Clothes Dryers'!T14)</f>
        <v/>
      </c>
      <c r="P32" s="99" t="str">
        <f t="shared" si="4"/>
        <v/>
      </c>
      <c r="Q32" s="10" t="str">
        <f>IF(B32="", "", 'Clothes Dryers'!Q14)</f>
        <v/>
      </c>
      <c r="R32" s="10" t="str">
        <f>IF(B32="", "", 'Clothes Dryers'!E14)</f>
        <v/>
      </c>
      <c r="S32" s="10" t="str">
        <f>IF(B32="", "", 'Clothes Dryers'!F14)</f>
        <v/>
      </c>
      <c r="T32" s="10" t="str">
        <f>IF(B32="", "", 'Clothes Dryers'!G14)</f>
        <v/>
      </c>
      <c r="AB32" s="99"/>
      <c r="AC32" s="99" t="str">
        <f>IF(B32="", "", 'Clothes Dryers'!N14)</f>
        <v/>
      </c>
      <c r="AD32" s="99" t="str">
        <f>IF(B32="", "", 'Clothes Dryers'!O14)</f>
        <v/>
      </c>
      <c r="AI32" s="99"/>
      <c r="AJ32" s="99"/>
    </row>
    <row r="33" spans="1:37">
      <c r="A33" s="10" t="str">
        <f>IF(B33="", "", 'Project Summary'!S65)</f>
        <v/>
      </c>
      <c r="B33" s="10" t="str">
        <f>IF(OR('Clothes Dryers'!U15="", 'Clothes Dryers'!T15&lt;0),"", 'Clothes Dryers'!K15)</f>
        <v/>
      </c>
      <c r="C33" s="10" t="str">
        <f>IF(B33="", "", 'Project Summary'!$C$10)</f>
        <v/>
      </c>
      <c r="D33" s="10" t="str">
        <f>IF(B33="", "", CONCATENATE('Project Summary'!$C$7, " - ", 'Project Summary'!$C$10))</f>
        <v/>
      </c>
      <c r="E33" s="10" t="str">
        <f t="shared" si="0"/>
        <v/>
      </c>
      <c r="F33" s="10" t="str">
        <f>IF(B33="", "", 'Project Summary'!$C$11)</f>
        <v/>
      </c>
      <c r="G33" s="10" t="str">
        <f>IF(B33="","",VLOOKUP(B33,'Project Summary'!$L$128:$M$147, 2, FALSE))</f>
        <v/>
      </c>
      <c r="H33" s="10" t="str">
        <f>IF(B33="", "",'Project Summary'!Q72)</f>
        <v/>
      </c>
      <c r="I33" s="99" t="str">
        <f>IF(B33="", "", Instructions!$M$2)</f>
        <v/>
      </c>
      <c r="J33" s="10" t="str">
        <f>IF(B33="", "", 'Clothes Dryers'!D15)</f>
        <v/>
      </c>
      <c r="K33" s="10" t="str">
        <f>IF(B33="", "", 'Clothes Dryers'!H15)</f>
        <v/>
      </c>
      <c r="L33" s="99" t="str">
        <f>IF(B33="", "", 'Clothes Dryers'!U15)</f>
        <v/>
      </c>
      <c r="M33" s="199" t="str">
        <f>IF(B33="", "", 'Clothes Dryers'!S15)</f>
        <v/>
      </c>
      <c r="N33" s="199" t="str">
        <f t="shared" si="1"/>
        <v/>
      </c>
      <c r="O33" s="199" t="str">
        <f>IF(C33="", "", 'Clothes Dryers'!T15)</f>
        <v/>
      </c>
      <c r="P33" s="99" t="str">
        <f t="shared" si="4"/>
        <v/>
      </c>
      <c r="Q33" s="10" t="str">
        <f>IF(B33="", "", 'Clothes Dryers'!Q15)</f>
        <v/>
      </c>
      <c r="R33" s="10" t="str">
        <f>IF(B33="", "", 'Clothes Dryers'!E15)</f>
        <v/>
      </c>
      <c r="S33" s="10" t="str">
        <f>IF(B33="", "", 'Clothes Dryers'!F15)</f>
        <v/>
      </c>
      <c r="T33" s="10" t="str">
        <f>IF(B33="", "", 'Clothes Dryers'!G15)</f>
        <v/>
      </c>
      <c r="AB33" s="99"/>
      <c r="AC33" s="99" t="str">
        <f>IF(B33="", "", 'Clothes Dryers'!N15)</f>
        <v/>
      </c>
      <c r="AD33" s="99" t="str">
        <f>IF(B33="", "", 'Clothes Dryers'!O15)</f>
        <v/>
      </c>
      <c r="AI33" s="99"/>
      <c r="AJ33" s="99"/>
    </row>
    <row r="34" spans="1:37">
      <c r="A34" s="10" t="str">
        <f>IF(B34="", "", 'Project Summary'!S66)</f>
        <v/>
      </c>
      <c r="B34" s="10" t="str">
        <f>IF(OR('Water Heaters'!AD8="",'Water Heaters'!AC8&lt;0), "", 'Water Heaters'!O8)</f>
        <v/>
      </c>
      <c r="C34" s="10" t="str">
        <f>IF(B34="", "", 'Project Summary'!$C$10)</f>
        <v/>
      </c>
      <c r="D34" s="10" t="str">
        <f>IF(B34="", "", CONCATENATE('Project Summary'!$C$7, " - ", 'Project Summary'!$C$10))</f>
        <v/>
      </c>
      <c r="E34" s="10" t="str">
        <f t="shared" si="0"/>
        <v/>
      </c>
      <c r="F34" s="10" t="str">
        <f>IF(B34="", "", 'Project Summary'!$C$11)</f>
        <v/>
      </c>
      <c r="G34" s="10" t="str">
        <f>IF(B34="","",VLOOKUP(B34,'Project Summary'!$L$128:$M$147, 2, FALSE))</f>
        <v/>
      </c>
      <c r="H34" s="10" t="str">
        <f>IF(B34="", "",'Project Summary'!Q75)</f>
        <v/>
      </c>
      <c r="I34" s="99" t="str">
        <f>IF(B34="", "", Instructions!$M$2)</f>
        <v/>
      </c>
      <c r="J34" s="10" t="str">
        <f>IF(B34="", "", 'Water Heaters'!D8)</f>
        <v/>
      </c>
      <c r="K34" s="10" t="str">
        <f>IF(B34="", "", 'Water Heaters'!M8)</f>
        <v/>
      </c>
      <c r="L34" s="99" t="str">
        <f>IF(B34="", "", 'Water Heaters'!AD8)</f>
        <v/>
      </c>
      <c r="M34" s="199" t="str">
        <f>IF(B34="", "", 'Water Heaters'!AB8)</f>
        <v/>
      </c>
      <c r="N34" s="199" t="str">
        <f t="shared" si="1"/>
        <v/>
      </c>
      <c r="O34" s="199" t="str">
        <f>IF(C34="", "", 'Water Heaters'!AC8)</f>
        <v/>
      </c>
      <c r="P34" s="99" t="str">
        <f t="shared" si="4"/>
        <v/>
      </c>
      <c r="Q34" s="10" t="str">
        <f>IF(B34="", "", 'Water Heaters'!X8)</f>
        <v/>
      </c>
      <c r="R34" s="10" t="str">
        <f>IF(B34="", "", 'Water Heaters'!E8)</f>
        <v/>
      </c>
      <c r="S34" s="10" t="str">
        <f>IF(B34="", "", 'Water Heaters'!F8)</f>
        <v/>
      </c>
      <c r="AA34" s="10" t="str">
        <f>IF(B34="", "", 'Water Heaters'!G8)</f>
        <v/>
      </c>
      <c r="AB34" s="99"/>
      <c r="AC34" s="99" t="str">
        <f>IF(B34="", "", IF(B34="Water Heater - Heat Pump", 'Water Heaters'!S8, 'Water Heaters'!R8))</f>
        <v/>
      </c>
      <c r="AD34" s="99" t="str">
        <f>IF(B34="", "", 'Water Heaters'!L8)</f>
        <v/>
      </c>
      <c r="AE34" s="10" t="str">
        <f>IF(B34="", "", 'Water Heaters'!I8)</f>
        <v/>
      </c>
      <c r="AF34" s="10" t="str">
        <f>IF(B34="", "", 'Water Heaters'!K8)</f>
        <v/>
      </c>
      <c r="AI34" s="99"/>
      <c r="AJ34" s="99"/>
    </row>
    <row r="35" spans="1:37">
      <c r="A35" s="10" t="str">
        <f>IF(B35="", "", 'Project Summary'!S67)</f>
        <v/>
      </c>
      <c r="B35" s="10" t="str">
        <f>IF(OR('Water Heaters'!AD9="",'Water Heaters'!AC9&lt;0), "", 'Water Heaters'!O9)</f>
        <v/>
      </c>
      <c r="C35" s="10" t="str">
        <f>IF(B35="", "", 'Project Summary'!$C$10)</f>
        <v/>
      </c>
      <c r="D35" s="10" t="str">
        <f>IF(B35="", "", CONCATENATE('Project Summary'!$C$7, " - ", 'Project Summary'!$C$10))</f>
        <v/>
      </c>
      <c r="E35" s="10" t="str">
        <f t="shared" si="0"/>
        <v/>
      </c>
      <c r="F35" s="10" t="str">
        <f>IF(B35="", "", 'Project Summary'!$C$11)</f>
        <v/>
      </c>
      <c r="G35" s="10" t="str">
        <f>IF(B35="","",VLOOKUP(B35,'Project Summary'!$L$128:$M$147, 2, FALSE))</f>
        <v/>
      </c>
      <c r="H35" s="10" t="str">
        <f>IF(B35="", "",'Project Summary'!Q76)</f>
        <v/>
      </c>
      <c r="I35" s="99" t="str">
        <f>IF(B35="", "", Instructions!$M$2)</f>
        <v/>
      </c>
      <c r="J35" s="10" t="str">
        <f>IF(B35="", "", 'Water Heaters'!D9)</f>
        <v/>
      </c>
      <c r="K35" s="10" t="str">
        <f>IF(B35="", "", 'Water Heaters'!M9)</f>
        <v/>
      </c>
      <c r="L35" s="99" t="str">
        <f>IF(B35="", "", 'Water Heaters'!AD9)</f>
        <v/>
      </c>
      <c r="M35" s="199" t="str">
        <f>IF(B35="", "", 'Water Heaters'!AB9)</f>
        <v/>
      </c>
      <c r="N35" s="199" t="str">
        <f t="shared" si="1"/>
        <v/>
      </c>
      <c r="O35" s="199" t="str">
        <f>IF(C35="", "", 'Water Heaters'!AC9)</f>
        <v/>
      </c>
      <c r="P35" s="99" t="str">
        <f t="shared" si="4"/>
        <v/>
      </c>
      <c r="Q35" s="10" t="str">
        <f>IF(B35="", "", 'Water Heaters'!X9)</f>
        <v/>
      </c>
      <c r="R35" s="10" t="str">
        <f>IF(B35="", "", 'Water Heaters'!E9)</f>
        <v/>
      </c>
      <c r="S35" s="10" t="str">
        <f>IF(B35="", "", 'Water Heaters'!F9)</f>
        <v/>
      </c>
      <c r="AA35" s="10" t="str">
        <f>IF(B35="", "", 'Water Heaters'!G9)</f>
        <v/>
      </c>
      <c r="AB35" s="99"/>
      <c r="AC35" s="99" t="str">
        <f>IF(B35="", "", IF(B35="Water Heater - Heat Pump", 'Water Heaters'!S9, 'Water Heaters'!R9))</f>
        <v/>
      </c>
      <c r="AD35" s="99" t="str">
        <f>IF(B35="", "", 'Water Heaters'!L9)</f>
        <v/>
      </c>
      <c r="AE35" s="10" t="str">
        <f>IF(B35="", "", 'Water Heaters'!I9)</f>
        <v/>
      </c>
      <c r="AF35" s="10" t="str">
        <f>IF(B35="", "", 'Water Heaters'!K9)</f>
        <v/>
      </c>
      <c r="AI35" s="99"/>
      <c r="AJ35" s="99"/>
    </row>
    <row r="36" spans="1:37">
      <c r="A36" s="10" t="str">
        <f>IF(B36="", "", 'Project Summary'!S68)</f>
        <v/>
      </c>
      <c r="B36" s="10" t="str">
        <f>IF(OR('Water Heaters'!AD10="",'Water Heaters'!AC10&lt;0), "", 'Water Heaters'!O10)</f>
        <v/>
      </c>
      <c r="C36" s="10" t="str">
        <f>IF(B36="", "", 'Project Summary'!$C$10)</f>
        <v/>
      </c>
      <c r="D36" s="10" t="str">
        <f>IF(B36="", "", CONCATENATE('Project Summary'!$C$7, " - ", 'Project Summary'!$C$10))</f>
        <v/>
      </c>
      <c r="E36" s="10" t="str">
        <f t="shared" si="0"/>
        <v/>
      </c>
      <c r="F36" s="10" t="str">
        <f>IF(B36="", "", 'Project Summary'!$C$11)</f>
        <v/>
      </c>
      <c r="G36" s="10" t="str">
        <f>IF(B36="","",VLOOKUP(B36,'Project Summary'!$L$128:$M$147, 2, FALSE))</f>
        <v/>
      </c>
      <c r="H36" s="10" t="str">
        <f>IF(B36="", "",'Project Summary'!Q77)</f>
        <v/>
      </c>
      <c r="I36" s="99" t="str">
        <f>IF(B36="", "", Instructions!$M$2)</f>
        <v/>
      </c>
      <c r="J36" s="10" t="str">
        <f>IF(B36="", "", 'Water Heaters'!D10)</f>
        <v/>
      </c>
      <c r="K36" s="10" t="str">
        <f>IF(B36="", "", 'Water Heaters'!M10)</f>
        <v/>
      </c>
      <c r="L36" s="99" t="str">
        <f>IF(B36="", "", 'Water Heaters'!AD10)</f>
        <v/>
      </c>
      <c r="M36" s="199" t="str">
        <f>IF(B36="", "", 'Water Heaters'!AB10)</f>
        <v/>
      </c>
      <c r="N36" s="199" t="str">
        <f t="shared" si="1"/>
        <v/>
      </c>
      <c r="O36" s="199" t="str">
        <f>IF(C36="", "", 'Water Heaters'!AC10)</f>
        <v/>
      </c>
      <c r="P36" s="99" t="str">
        <f t="shared" si="4"/>
        <v/>
      </c>
      <c r="Q36" s="10" t="str">
        <f>IF(B36="", "", 'Water Heaters'!X10)</f>
        <v/>
      </c>
      <c r="R36" s="10" t="str">
        <f>IF(B36="", "", 'Water Heaters'!E10)</f>
        <v/>
      </c>
      <c r="S36" s="10" t="str">
        <f>IF(B36="", "", 'Water Heaters'!F10)</f>
        <v/>
      </c>
      <c r="AA36" s="10" t="str">
        <f>IF(B36="", "", 'Water Heaters'!G10)</f>
        <v/>
      </c>
      <c r="AB36" s="99"/>
      <c r="AC36" s="99" t="str">
        <f>IF(B36="", "", IF(B36="Water Heater - Heat Pump", 'Water Heaters'!S10, 'Water Heaters'!R10))</f>
        <v/>
      </c>
      <c r="AD36" s="99" t="str">
        <f>IF(B36="", "", 'Water Heaters'!L10)</f>
        <v/>
      </c>
      <c r="AE36" s="10" t="str">
        <f>IF(B36="", "", 'Water Heaters'!I10)</f>
        <v/>
      </c>
      <c r="AF36" s="10" t="str">
        <f>IF(B36="", "", 'Water Heaters'!K10)</f>
        <v/>
      </c>
      <c r="AI36" s="99"/>
      <c r="AJ36" s="99"/>
    </row>
    <row r="37" spans="1:37">
      <c r="A37" s="10" t="str">
        <f>IF(B37="", "", 'Project Summary'!S69)</f>
        <v/>
      </c>
      <c r="B37" s="10" t="str">
        <f>IF(OR('Water Heaters'!AD11="",'Water Heaters'!AC11&lt;0), "", 'Water Heaters'!O11)</f>
        <v/>
      </c>
      <c r="C37" s="10" t="str">
        <f>IF(B37="", "", 'Project Summary'!$C$10)</f>
        <v/>
      </c>
      <c r="D37" s="10" t="str">
        <f>IF(B37="", "", CONCATENATE('Project Summary'!$C$7, " - ", 'Project Summary'!$C$10))</f>
        <v/>
      </c>
      <c r="E37" s="10" t="str">
        <f t="shared" si="0"/>
        <v/>
      </c>
      <c r="F37" s="10" t="str">
        <f>IF(B37="", "", 'Project Summary'!$C$11)</f>
        <v/>
      </c>
      <c r="G37" s="10" t="str">
        <f>IF(B37="","",VLOOKUP(B37,'Project Summary'!$L$128:$M$147, 2, FALSE))</f>
        <v/>
      </c>
      <c r="H37" s="10" t="str">
        <f>IF(B37="", "",'Project Summary'!Q78)</f>
        <v/>
      </c>
      <c r="I37" s="99" t="str">
        <f>IF(B37="", "", Instructions!$M$2)</f>
        <v/>
      </c>
      <c r="J37" s="10" t="str">
        <f>IF(B37="", "", 'Water Heaters'!D11)</f>
        <v/>
      </c>
      <c r="K37" s="10" t="str">
        <f>IF(B37="", "", 'Water Heaters'!M11)</f>
        <v/>
      </c>
      <c r="L37" s="99" t="str">
        <f>IF(B37="", "", 'Water Heaters'!AD11)</f>
        <v/>
      </c>
      <c r="M37" s="199" t="str">
        <f>IF(B37="", "", 'Water Heaters'!AB11)</f>
        <v/>
      </c>
      <c r="N37" s="199" t="str">
        <f t="shared" si="1"/>
        <v/>
      </c>
      <c r="O37" s="199" t="str">
        <f>IF(C37="", "", 'Water Heaters'!AC11)</f>
        <v/>
      </c>
      <c r="P37" s="99" t="str">
        <f t="shared" si="4"/>
        <v/>
      </c>
      <c r="Q37" s="10" t="str">
        <f>IF(B37="", "", 'Water Heaters'!X11)</f>
        <v/>
      </c>
      <c r="R37" s="10" t="str">
        <f>IF(B37="", "", 'Water Heaters'!E11)</f>
        <v/>
      </c>
      <c r="S37" s="10" t="str">
        <f>IF(B37="", "", 'Water Heaters'!F11)</f>
        <v/>
      </c>
      <c r="AA37" s="10" t="str">
        <f>IF(B37="", "", 'Water Heaters'!G11)</f>
        <v/>
      </c>
      <c r="AB37" s="99"/>
      <c r="AC37" s="99" t="str">
        <f>IF(B37="", "", IF(B37="Water Heater - Heat Pump", 'Water Heaters'!S11, 'Water Heaters'!R11))</f>
        <v/>
      </c>
      <c r="AD37" s="99" t="str">
        <f>IF(B37="", "", 'Water Heaters'!L11)</f>
        <v/>
      </c>
      <c r="AE37" s="10" t="str">
        <f>IF(B37="", "", 'Water Heaters'!I11)</f>
        <v/>
      </c>
      <c r="AF37" s="10" t="str">
        <f>IF(B37="", "", 'Water Heaters'!K11)</f>
        <v/>
      </c>
      <c r="AI37" s="99"/>
      <c r="AJ37" s="99"/>
    </row>
    <row r="38" spans="1:37">
      <c r="A38" s="10" t="str">
        <f>IF(B38="", "", 'Project Summary'!S70)</f>
        <v/>
      </c>
      <c r="B38" s="10" t="str">
        <f>IF(OR('Water Heaters'!AD12="",'Water Heaters'!AC12&lt;0), "", 'Water Heaters'!O12)</f>
        <v/>
      </c>
      <c r="C38" s="10" t="str">
        <f>IF(B38="", "", 'Project Summary'!$C$10)</f>
        <v/>
      </c>
      <c r="D38" s="10" t="str">
        <f>IF(B38="", "", CONCATENATE('Project Summary'!$C$7, " - ", 'Project Summary'!$C$10))</f>
        <v/>
      </c>
      <c r="E38" s="10" t="str">
        <f t="shared" si="0"/>
        <v/>
      </c>
      <c r="F38" s="10" t="str">
        <f>IF(B38="", "", 'Project Summary'!$C$11)</f>
        <v/>
      </c>
      <c r="G38" s="10" t="str">
        <f>IF(B38="","",VLOOKUP(B38,'Project Summary'!$L$128:$M$147, 2, FALSE))</f>
        <v/>
      </c>
      <c r="H38" s="10" t="str">
        <f>IF(B38="", "",'Project Summary'!Q79)</f>
        <v/>
      </c>
      <c r="I38" s="99" t="str">
        <f>IF(B38="", "", Instructions!$M$2)</f>
        <v/>
      </c>
      <c r="J38" s="10" t="str">
        <f>IF(B38="", "", 'Water Heaters'!D12)</f>
        <v/>
      </c>
      <c r="K38" s="10" t="str">
        <f>IF(B38="", "", 'Water Heaters'!M12)</f>
        <v/>
      </c>
      <c r="L38" s="99" t="str">
        <f>IF(B38="", "", 'Water Heaters'!AD12)</f>
        <v/>
      </c>
      <c r="M38" s="199" t="str">
        <f>IF(B38="", "", 'Water Heaters'!AB12)</f>
        <v/>
      </c>
      <c r="N38" s="199" t="str">
        <f t="shared" si="1"/>
        <v/>
      </c>
      <c r="O38" s="199" t="str">
        <f>IF(C38="", "", 'Water Heaters'!AC12)</f>
        <v/>
      </c>
      <c r="P38" s="99" t="str">
        <f t="shared" si="4"/>
        <v/>
      </c>
      <c r="Q38" s="10" t="str">
        <f>IF(B38="", "", 'Water Heaters'!X12)</f>
        <v/>
      </c>
      <c r="R38" s="10" t="str">
        <f>IF(B38="", "", 'Water Heaters'!E12)</f>
        <v/>
      </c>
      <c r="S38" s="10" t="str">
        <f>IF(B38="", "", 'Water Heaters'!F12)</f>
        <v/>
      </c>
      <c r="AA38" s="10" t="str">
        <f>IF(B38="", "", 'Water Heaters'!G12)</f>
        <v/>
      </c>
      <c r="AB38" s="99"/>
      <c r="AC38" s="99" t="str">
        <f>IF(B38="", "", IF(B38="Water Heater - Heat Pump", 'Water Heaters'!S12, 'Water Heaters'!R12))</f>
        <v/>
      </c>
      <c r="AD38" s="99" t="str">
        <f>IF(B38="", "", 'Water Heaters'!L12)</f>
        <v/>
      </c>
      <c r="AE38" s="10" t="str">
        <f>IF(B38="", "", 'Water Heaters'!I12)</f>
        <v/>
      </c>
      <c r="AF38" s="10" t="str">
        <f>IF(B38="", "", 'Water Heaters'!K12)</f>
        <v/>
      </c>
      <c r="AI38" s="99"/>
      <c r="AJ38" s="99"/>
    </row>
    <row r="39" spans="1:37">
      <c r="A39" s="10" t="str">
        <f>IF(B39="", "", 'Project Summary'!S71)</f>
        <v/>
      </c>
      <c r="B39" s="10" t="str">
        <f>IF(OR('Water Heaters'!AD13="",'Water Heaters'!AC13&lt;0), "", 'Water Heaters'!O13)</f>
        <v/>
      </c>
      <c r="C39" s="10" t="str">
        <f>IF(B39="", "", 'Project Summary'!$C$10)</f>
        <v/>
      </c>
      <c r="D39" s="10" t="str">
        <f>IF(B39="", "", CONCATENATE('Project Summary'!$C$7, " - ", 'Project Summary'!$C$10))</f>
        <v/>
      </c>
      <c r="E39" s="10" t="str">
        <f t="shared" si="0"/>
        <v/>
      </c>
      <c r="F39" s="10" t="str">
        <f>IF(B39="", "", 'Project Summary'!$C$11)</f>
        <v/>
      </c>
      <c r="G39" s="10" t="str">
        <f>IF(B39="","",VLOOKUP(B39,'Project Summary'!$L$128:$M$147, 2, FALSE))</f>
        <v/>
      </c>
      <c r="H39" s="10" t="str">
        <f>IF(B39="", "",'Project Summary'!Q80)</f>
        <v/>
      </c>
      <c r="I39" s="99" t="str">
        <f>IF(B39="", "", Instructions!$M$2)</f>
        <v/>
      </c>
      <c r="J39" s="10" t="str">
        <f>IF(B39="", "", 'Water Heaters'!D13)</f>
        <v/>
      </c>
      <c r="K39" s="10" t="str">
        <f>IF(B39="", "", 'Water Heaters'!M13)</f>
        <v/>
      </c>
      <c r="L39" s="99" t="str">
        <f>IF(B39="", "", 'Water Heaters'!AD13)</f>
        <v/>
      </c>
      <c r="M39" s="199" t="str">
        <f>IF(B39="", "", 'Water Heaters'!AB13)</f>
        <v/>
      </c>
      <c r="N39" s="199" t="str">
        <f t="shared" si="1"/>
        <v/>
      </c>
      <c r="O39" s="199" t="str">
        <f>IF(C39="", "", 'Water Heaters'!AC13)</f>
        <v/>
      </c>
      <c r="P39" s="99" t="str">
        <f t="shared" si="4"/>
        <v/>
      </c>
      <c r="Q39" s="10" t="str">
        <f>IF(B39="", "", 'Water Heaters'!X13)</f>
        <v/>
      </c>
      <c r="R39" s="10" t="str">
        <f>IF(B39="", "", 'Water Heaters'!E13)</f>
        <v/>
      </c>
      <c r="S39" s="10" t="str">
        <f>IF(B39="", "", 'Water Heaters'!F13)</f>
        <v/>
      </c>
      <c r="AA39" s="10" t="str">
        <f>IF(B39="", "", 'Water Heaters'!G13)</f>
        <v/>
      </c>
      <c r="AB39" s="99"/>
      <c r="AC39" s="99" t="str">
        <f>IF(B39="", "", IF(B39="Water Heater - Heat Pump", 'Water Heaters'!S13, 'Water Heaters'!R13))</f>
        <v/>
      </c>
      <c r="AD39" s="99" t="str">
        <f>IF(B39="", "", 'Water Heaters'!L13)</f>
        <v/>
      </c>
      <c r="AE39" s="10" t="str">
        <f>IF(B39="", "", 'Water Heaters'!I13)</f>
        <v/>
      </c>
      <c r="AF39" s="10" t="str">
        <f>IF(B39="", "", 'Water Heaters'!K13)</f>
        <v/>
      </c>
      <c r="AI39" s="99"/>
      <c r="AJ39" s="99"/>
    </row>
    <row r="40" spans="1:37">
      <c r="A40" s="10" t="str">
        <f>IF(B40="", "", 'Project Summary'!S72)</f>
        <v/>
      </c>
      <c r="B40" s="10" t="str">
        <f>IF(OR('Water Heaters'!AD14="",'Water Heaters'!AC14&lt;0), "", 'Water Heaters'!O14)</f>
        <v/>
      </c>
      <c r="C40" s="10" t="str">
        <f>IF(B40="", "", 'Project Summary'!$C$10)</f>
        <v/>
      </c>
      <c r="D40" s="10" t="str">
        <f>IF(B40="", "", CONCATENATE('Project Summary'!$C$7, " - ", 'Project Summary'!$C$10))</f>
        <v/>
      </c>
      <c r="E40" s="10" t="str">
        <f t="shared" si="0"/>
        <v/>
      </c>
      <c r="F40" s="10" t="str">
        <f>IF(B40="", "", 'Project Summary'!$C$11)</f>
        <v/>
      </c>
      <c r="G40" s="10" t="str">
        <f>IF(B40="","",VLOOKUP(B40,'Project Summary'!$L$128:$M$147, 2, FALSE))</f>
        <v/>
      </c>
      <c r="H40" s="10" t="str">
        <f>IF(B40="", "",'Project Summary'!Q81)</f>
        <v/>
      </c>
      <c r="I40" s="99" t="str">
        <f>IF(B40="", "", Instructions!$M$2)</f>
        <v/>
      </c>
      <c r="J40" s="10" t="str">
        <f>IF(B40="", "", 'Water Heaters'!D14)</f>
        <v/>
      </c>
      <c r="K40" s="10" t="str">
        <f>IF(B40="", "", 'Water Heaters'!M14)</f>
        <v/>
      </c>
      <c r="L40" s="99" t="str">
        <f>IF(B40="", "", 'Water Heaters'!AD14)</f>
        <v/>
      </c>
      <c r="M40" s="199" t="str">
        <f>IF(B40="", "", 'Water Heaters'!AB14)</f>
        <v/>
      </c>
      <c r="N40" s="199" t="str">
        <f t="shared" si="1"/>
        <v/>
      </c>
      <c r="O40" s="199" t="str">
        <f>IF(C40="", "", 'Water Heaters'!AC14)</f>
        <v/>
      </c>
      <c r="P40" s="99" t="str">
        <f t="shared" si="4"/>
        <v/>
      </c>
      <c r="Q40" s="10" t="str">
        <f>IF(B40="", "", 'Water Heaters'!X14)</f>
        <v/>
      </c>
      <c r="R40" s="10" t="str">
        <f>IF(B40="", "", 'Water Heaters'!E14)</f>
        <v/>
      </c>
      <c r="S40" s="10" t="str">
        <f>IF(B40="", "", 'Water Heaters'!F14)</f>
        <v/>
      </c>
      <c r="AA40" s="10" t="str">
        <f>IF(B40="", "", 'Water Heaters'!G14)</f>
        <v/>
      </c>
      <c r="AB40" s="99"/>
      <c r="AC40" s="99" t="str">
        <f>IF(B40="", "", IF(B40="Water Heater - Heat Pump", 'Water Heaters'!S14, 'Water Heaters'!R14))</f>
        <v/>
      </c>
      <c r="AD40" s="99" t="str">
        <f>IF(B40="", "", 'Water Heaters'!L14)</f>
        <v/>
      </c>
      <c r="AE40" s="10" t="str">
        <f>IF(B40="", "", 'Water Heaters'!I14)</f>
        <v/>
      </c>
      <c r="AF40" s="10" t="str">
        <f>IF(B40="", "", 'Water Heaters'!K14)</f>
        <v/>
      </c>
      <c r="AI40" s="99"/>
      <c r="AJ40" s="99"/>
    </row>
    <row r="41" spans="1:37">
      <c r="A41" s="10" t="str">
        <f>IF(B41="", "", 'Project Summary'!S73)</f>
        <v/>
      </c>
      <c r="B41" s="10" t="str">
        <f>IF(OR('Water Heaters'!AD15="",'Water Heaters'!AC15&lt;0), "", 'Water Heaters'!O15)</f>
        <v/>
      </c>
      <c r="C41" s="10" t="str">
        <f>IF(B41="", "", 'Project Summary'!$C$10)</f>
        <v/>
      </c>
      <c r="D41" s="10" t="str">
        <f>IF(B41="", "", CONCATENATE('Project Summary'!$C$7, " - ", 'Project Summary'!$C$10))</f>
        <v/>
      </c>
      <c r="E41" s="10" t="str">
        <f t="shared" si="0"/>
        <v/>
      </c>
      <c r="F41" s="10" t="str">
        <f>IF(B41="", "", 'Project Summary'!$C$11)</f>
        <v/>
      </c>
      <c r="G41" s="10" t="str">
        <f>IF(B41="","",VLOOKUP(B41,'Project Summary'!$L$128:$M$147, 2, FALSE))</f>
        <v/>
      </c>
      <c r="H41" s="10" t="str">
        <f>IF(B41="", "",'Project Summary'!Q82)</f>
        <v/>
      </c>
      <c r="I41" s="99" t="str">
        <f>IF(B41="", "", Instructions!$M$2)</f>
        <v/>
      </c>
      <c r="J41" s="10" t="str">
        <f>IF(B41="", "", 'Water Heaters'!D15)</f>
        <v/>
      </c>
      <c r="K41" s="10" t="str">
        <f>IF(B41="", "", 'Water Heaters'!M15)</f>
        <v/>
      </c>
      <c r="L41" s="99" t="str">
        <f>IF(B41="", "", 'Water Heaters'!AD15)</f>
        <v/>
      </c>
      <c r="M41" s="199" t="str">
        <f>IF(B41="", "", 'Water Heaters'!AB15)</f>
        <v/>
      </c>
      <c r="N41" s="199" t="str">
        <f t="shared" si="1"/>
        <v/>
      </c>
      <c r="O41" s="199" t="str">
        <f>IF(C41="", "", 'Water Heaters'!AC15)</f>
        <v/>
      </c>
      <c r="P41" s="99" t="str">
        <f t="shared" si="4"/>
        <v/>
      </c>
      <c r="Q41" s="10" t="str">
        <f>IF(B41="", "", 'Water Heaters'!X15)</f>
        <v/>
      </c>
      <c r="R41" s="10" t="str">
        <f>IF(B41="", "", 'Water Heaters'!E15)</f>
        <v/>
      </c>
      <c r="S41" s="10" t="str">
        <f>IF(B41="", "", 'Water Heaters'!F15)</f>
        <v/>
      </c>
      <c r="AA41" s="10" t="str">
        <f>IF(B41="", "", 'Water Heaters'!G15)</f>
        <v/>
      </c>
      <c r="AB41" s="99"/>
      <c r="AC41" s="99" t="str">
        <f>IF(B41="", "", IF(B41="Water Heater - Heat Pump", 'Water Heaters'!S15, 'Water Heaters'!R15))</f>
        <v/>
      </c>
      <c r="AD41" s="99" t="str">
        <f>IF(B41="", "", 'Water Heaters'!L15)</f>
        <v/>
      </c>
      <c r="AE41" s="10" t="str">
        <f>IF(B41="", "", 'Water Heaters'!I15)</f>
        <v/>
      </c>
      <c r="AF41" s="10" t="str">
        <f>IF(B41="", "", 'Water Heaters'!K15)</f>
        <v/>
      </c>
      <c r="AI41" s="99"/>
      <c r="AJ41" s="99"/>
    </row>
    <row r="42" spans="1:37">
      <c r="A42" s="10" t="str">
        <f>IF(B42="", "", 'Project Summary'!S74)</f>
        <v/>
      </c>
      <c r="B42" s="10" t="str">
        <f>IF(OR('Window Air Conditioners'!AB7="", 'Window Air Conditioners'!AA7&lt;0), "", 'Project Summary'!$L$139)</f>
        <v/>
      </c>
      <c r="C42" s="10" t="str">
        <f>IF(B42="", "", 'Project Summary'!$C$10)</f>
        <v/>
      </c>
      <c r="D42" s="10" t="str">
        <f>IF(B42="", "", CONCATENATE('Project Summary'!$C$7, " - ", 'Project Summary'!$C$10))</f>
        <v/>
      </c>
      <c r="E42" s="10" t="str">
        <f t="shared" si="0"/>
        <v/>
      </c>
      <c r="F42" s="10" t="str">
        <f>IF(B42="", "", 'Project Summary'!$C$11)</f>
        <v/>
      </c>
      <c r="G42" s="10" t="str">
        <f>IF(B42="","",VLOOKUP(B42,'Project Summary'!$L$128:$M$147, 2, FALSE))</f>
        <v/>
      </c>
      <c r="H42" s="10" t="str">
        <f>IF(B42="", "",'Project Summary'!Q85)</f>
        <v/>
      </c>
      <c r="I42" s="99" t="str">
        <f>IF(B42="", "", Instructions!$M$2)</f>
        <v/>
      </c>
      <c r="J42" s="10" t="str">
        <f>IF(B42="", "", 'Window Air Conditioners'!D7)</f>
        <v/>
      </c>
      <c r="K42" s="10" t="str">
        <f>IF(B42="", "", 'Window Air Conditioners'!L7)</f>
        <v/>
      </c>
      <c r="L42" s="99" t="str">
        <f>IF(B42="", "", 'Window Air Conditioners'!AB7)</f>
        <v/>
      </c>
      <c r="M42" s="199" t="str">
        <f>IF(B42="", "", 'Window Air Conditioners'!Z7)</f>
        <v/>
      </c>
      <c r="N42" s="199" t="str">
        <f t="shared" si="1"/>
        <v/>
      </c>
      <c r="O42" s="199" t="str">
        <f>IF(C42="", "", 'Window Air Conditioners'!AA7)</f>
        <v/>
      </c>
      <c r="P42" s="99" t="str">
        <f>IF(B42="", "", 'Window Air Conditioners'!U7)</f>
        <v/>
      </c>
      <c r="Q42" s="10" t="str">
        <f>IF(B42="", "", 'Window Air Conditioners'!Y7)</f>
        <v/>
      </c>
      <c r="R42" s="10" t="str">
        <f>IF(B42="", "", 'Window Air Conditioners'!E7)</f>
        <v/>
      </c>
      <c r="S42" s="10" t="str">
        <f>IF(B42="", "", 'Window Air Conditioners'!F7)</f>
        <v/>
      </c>
      <c r="T42" s="10" t="str">
        <f>IF(B42="", "", 'Window Air Conditioners'!J7)</f>
        <v/>
      </c>
      <c r="AA42" s="10" t="str">
        <f>IF(B42="", "", 'Window Air Conditioners'!G7)</f>
        <v/>
      </c>
      <c r="AB42" s="99"/>
      <c r="AC42" s="99"/>
      <c r="AD42" s="99"/>
      <c r="AE42" s="10" t="str">
        <f>IF(B42="", "", 'Window Air Conditioners'!X7)</f>
        <v/>
      </c>
      <c r="AG42" s="10" t="str">
        <f>IF(B42="", "", 'Window Air Conditioners'!I7)</f>
        <v/>
      </c>
      <c r="AH42" s="10" t="str">
        <f>IF(B42="", "", 'Window Air Conditioners'!K7)</f>
        <v/>
      </c>
      <c r="AI42" s="99" t="str">
        <f>IF(B42="", "", 'Window Air Conditioners'!R7)</f>
        <v/>
      </c>
      <c r="AJ42" s="99" t="str">
        <f>IF(B42="", "", 'Window Air Conditioners'!S7)</f>
        <v/>
      </c>
      <c r="AK42" s="10" t="str">
        <f>IF(B42="", "", 'Window Air Conditioners'!T7)</f>
        <v/>
      </c>
    </row>
    <row r="43" spans="1:37">
      <c r="A43" s="10" t="str">
        <f>IF(B43="", "", 'Project Summary'!S75)</f>
        <v/>
      </c>
      <c r="B43" s="10" t="str">
        <f>IF(OR('Window Air Conditioners'!AB8="", 'Window Air Conditioners'!AA8&lt;0), "", 'Project Summary'!$L$139)</f>
        <v/>
      </c>
      <c r="C43" s="10" t="str">
        <f>IF(B43="", "", 'Project Summary'!$C$10)</f>
        <v/>
      </c>
      <c r="D43" s="10" t="str">
        <f>IF(B43="", "", CONCATENATE('Project Summary'!$C$7, " - ", 'Project Summary'!$C$10))</f>
        <v/>
      </c>
      <c r="E43" s="10" t="str">
        <f t="shared" si="0"/>
        <v/>
      </c>
      <c r="F43" s="10" t="str">
        <f>IF(B43="", "", 'Project Summary'!$C$11)</f>
        <v/>
      </c>
      <c r="G43" s="10" t="str">
        <f>IF(B43="","",VLOOKUP(B43,'Project Summary'!$L$128:$M$147, 2, FALSE))</f>
        <v/>
      </c>
      <c r="H43" s="10" t="str">
        <f>IF(B43="", "",'Project Summary'!Q86)</f>
        <v/>
      </c>
      <c r="I43" s="99" t="str">
        <f>IF(B43="", "", Instructions!$M$2)</f>
        <v/>
      </c>
      <c r="J43" s="10" t="str">
        <f>IF(B43="", "", 'Window Air Conditioners'!D8)</f>
        <v/>
      </c>
      <c r="K43" s="10" t="str">
        <f>IF(B43="", "", 'Window Air Conditioners'!L8)</f>
        <v/>
      </c>
      <c r="L43" s="99" t="str">
        <f>IF(B43="", "", 'Window Air Conditioners'!AB8)</f>
        <v/>
      </c>
      <c r="M43" s="199" t="str">
        <f>IF(B43="", "", 'Window Air Conditioners'!Z8)</f>
        <v/>
      </c>
      <c r="N43" s="199" t="str">
        <f t="shared" si="1"/>
        <v/>
      </c>
      <c r="O43" s="199" t="str">
        <f>IF(C43="", "", 'Window Air Conditioners'!AA8)</f>
        <v/>
      </c>
      <c r="P43" s="99" t="str">
        <f>IF(B43="", "", 'Window Air Conditioners'!U8)</f>
        <v/>
      </c>
      <c r="Q43" s="10" t="str">
        <f>IF(B43="", "", 'Window Air Conditioners'!Y8)</f>
        <v/>
      </c>
      <c r="R43" s="10" t="str">
        <f>IF(B43="", "", 'Window Air Conditioners'!E8)</f>
        <v/>
      </c>
      <c r="S43" s="10" t="str">
        <f>IF(B43="", "", 'Window Air Conditioners'!F8)</f>
        <v/>
      </c>
      <c r="T43" s="10" t="str">
        <f>IF(B43="", "", 'Window Air Conditioners'!J8)</f>
        <v/>
      </c>
      <c r="AA43" s="10" t="str">
        <f>IF(B43="", "", 'Window Air Conditioners'!G8)</f>
        <v/>
      </c>
      <c r="AB43" s="99"/>
      <c r="AC43" s="99"/>
      <c r="AD43" s="99"/>
      <c r="AE43" s="10" t="str">
        <f>IF(B43="", "", 'Window Air Conditioners'!X8)</f>
        <v/>
      </c>
      <c r="AG43" s="10" t="str">
        <f>IF(B43="", "", 'Window Air Conditioners'!I8)</f>
        <v/>
      </c>
      <c r="AH43" s="10" t="str">
        <f>IF(B43="", "", 'Window Air Conditioners'!K8)</f>
        <v/>
      </c>
      <c r="AI43" s="99" t="str">
        <f>IF(B43="", "", 'Window Air Conditioners'!R8)</f>
        <v/>
      </c>
      <c r="AJ43" s="99" t="str">
        <f>IF(B43="", "", 'Window Air Conditioners'!S8)</f>
        <v/>
      </c>
      <c r="AK43" s="10" t="str">
        <f>IF(B43="", "", 'Window Air Conditioners'!T8)</f>
        <v/>
      </c>
    </row>
    <row r="44" spans="1:37">
      <c r="A44" s="10" t="str">
        <f>IF(B44="", "", 'Project Summary'!S76)</f>
        <v/>
      </c>
      <c r="B44" s="10" t="str">
        <f>IF(OR('Window Air Conditioners'!AB9="", 'Window Air Conditioners'!AA9&lt;0), "", 'Project Summary'!$L$139)</f>
        <v/>
      </c>
      <c r="C44" s="10" t="str">
        <f>IF(B44="", "", 'Project Summary'!$C$10)</f>
        <v/>
      </c>
      <c r="D44" s="10" t="str">
        <f>IF(B44="", "", CONCATENATE('Project Summary'!$C$7, " - ", 'Project Summary'!$C$10))</f>
        <v/>
      </c>
      <c r="E44" s="10" t="str">
        <f t="shared" si="0"/>
        <v/>
      </c>
      <c r="F44" s="10" t="str">
        <f>IF(B44="", "", 'Project Summary'!$C$11)</f>
        <v/>
      </c>
      <c r="G44" s="10" t="str">
        <f>IF(B44="","",VLOOKUP(B44,'Project Summary'!$L$128:$M$147, 2, FALSE))</f>
        <v/>
      </c>
      <c r="H44" s="10" t="str">
        <f>IF(B44="", "",'Project Summary'!Q87)</f>
        <v/>
      </c>
      <c r="I44" s="99" t="str">
        <f>IF(B44="", "", Instructions!$M$2)</f>
        <v/>
      </c>
      <c r="J44" s="10" t="str">
        <f>IF(B44="", "", 'Window Air Conditioners'!D9)</f>
        <v/>
      </c>
      <c r="K44" s="10" t="str">
        <f>IF(B44="", "", 'Window Air Conditioners'!L9)</f>
        <v/>
      </c>
      <c r="L44" s="99" t="str">
        <f>IF(B44="", "", 'Window Air Conditioners'!AB9)</f>
        <v/>
      </c>
      <c r="M44" s="199" t="str">
        <f>IF(B44="", "", 'Window Air Conditioners'!Z9)</f>
        <v/>
      </c>
      <c r="N44" s="199" t="str">
        <f t="shared" si="1"/>
        <v/>
      </c>
      <c r="O44" s="199" t="str">
        <f>IF(C44="", "", 'Window Air Conditioners'!AA9)</f>
        <v/>
      </c>
      <c r="P44" s="99" t="str">
        <f>IF(B44="", "", 'Window Air Conditioners'!U9)</f>
        <v/>
      </c>
      <c r="Q44" s="10" t="str">
        <f>IF(B44="", "", 'Window Air Conditioners'!Y9)</f>
        <v/>
      </c>
      <c r="R44" s="10" t="str">
        <f>IF(B44="", "", 'Window Air Conditioners'!E9)</f>
        <v/>
      </c>
      <c r="S44" s="10" t="str">
        <f>IF(B44="", "", 'Window Air Conditioners'!F9)</f>
        <v/>
      </c>
      <c r="T44" s="10" t="str">
        <f>IF(B44="", "", 'Window Air Conditioners'!J9)</f>
        <v/>
      </c>
      <c r="AA44" s="10" t="str">
        <f>IF(B44="", "", 'Window Air Conditioners'!G9)</f>
        <v/>
      </c>
      <c r="AB44" s="99"/>
      <c r="AC44" s="99"/>
      <c r="AD44" s="99"/>
      <c r="AE44" s="10" t="str">
        <f>IF(B44="", "", 'Window Air Conditioners'!X9)</f>
        <v/>
      </c>
      <c r="AG44" s="10" t="str">
        <f>IF(B44="", "", 'Window Air Conditioners'!I9)</f>
        <v/>
      </c>
      <c r="AH44" s="10" t="str">
        <f>IF(B44="", "", 'Window Air Conditioners'!K9)</f>
        <v/>
      </c>
      <c r="AI44" s="99" t="str">
        <f>IF(B44="", "", 'Window Air Conditioners'!R9)</f>
        <v/>
      </c>
      <c r="AJ44" s="99" t="str">
        <f>IF(B44="", "", 'Window Air Conditioners'!S9)</f>
        <v/>
      </c>
      <c r="AK44" s="10" t="str">
        <f>IF(B44="", "", 'Window Air Conditioners'!T9)</f>
        <v/>
      </c>
    </row>
    <row r="45" spans="1:37">
      <c r="A45" s="10" t="str">
        <f>IF(B45="", "", 'Project Summary'!S77)</f>
        <v/>
      </c>
      <c r="B45" s="10" t="str">
        <f>IF(OR('Window Air Conditioners'!AB10="", 'Window Air Conditioners'!AA10&lt;0), "", 'Project Summary'!$L$139)</f>
        <v/>
      </c>
      <c r="C45" s="10" t="str">
        <f>IF(B45="", "", 'Project Summary'!$C$10)</f>
        <v/>
      </c>
      <c r="D45" s="10" t="str">
        <f>IF(B45="", "", CONCATENATE('Project Summary'!$C$7, " - ", 'Project Summary'!$C$10))</f>
        <v/>
      </c>
      <c r="E45" s="10" t="str">
        <f t="shared" si="0"/>
        <v/>
      </c>
      <c r="F45" s="10" t="str">
        <f>IF(B45="", "", 'Project Summary'!$C$11)</f>
        <v/>
      </c>
      <c r="G45" s="10" t="str">
        <f>IF(B45="","",VLOOKUP(B45,'Project Summary'!$L$128:$M$147, 2, FALSE))</f>
        <v/>
      </c>
      <c r="H45" s="10" t="str">
        <f>IF(B45="", "",'Project Summary'!Q88)</f>
        <v/>
      </c>
      <c r="I45" s="99" t="str">
        <f>IF(B45="", "", Instructions!$M$2)</f>
        <v/>
      </c>
      <c r="J45" s="10" t="str">
        <f>IF(B45="", "", 'Window Air Conditioners'!D10)</f>
        <v/>
      </c>
      <c r="K45" s="10" t="str">
        <f>IF(B45="", "", 'Window Air Conditioners'!L10)</f>
        <v/>
      </c>
      <c r="L45" s="99" t="str">
        <f>IF(B45="", "", 'Window Air Conditioners'!AB10)</f>
        <v/>
      </c>
      <c r="M45" s="199" t="str">
        <f>IF(B45="", "", 'Window Air Conditioners'!Z10)</f>
        <v/>
      </c>
      <c r="N45" s="199" t="str">
        <f t="shared" si="1"/>
        <v/>
      </c>
      <c r="O45" s="199" t="str">
        <f>IF(C45="", "", 'Window Air Conditioners'!AA10)</f>
        <v/>
      </c>
      <c r="P45" s="99" t="str">
        <f>IF(B45="", "", 'Window Air Conditioners'!U10)</f>
        <v/>
      </c>
      <c r="Q45" s="10" t="str">
        <f>IF(B45="", "", 'Window Air Conditioners'!Y10)</f>
        <v/>
      </c>
      <c r="R45" s="10" t="str">
        <f>IF(B45="", "", 'Window Air Conditioners'!E10)</f>
        <v/>
      </c>
      <c r="S45" s="10" t="str">
        <f>IF(B45="", "", 'Window Air Conditioners'!F10)</f>
        <v/>
      </c>
      <c r="T45" s="10" t="str">
        <f>IF(B45="", "", 'Window Air Conditioners'!J10)</f>
        <v/>
      </c>
      <c r="AA45" s="10" t="str">
        <f>IF(B45="", "", 'Window Air Conditioners'!G10)</f>
        <v/>
      </c>
      <c r="AB45" s="99"/>
      <c r="AC45" s="99"/>
      <c r="AD45" s="99"/>
      <c r="AE45" s="10" t="str">
        <f>IF(B45="", "", 'Window Air Conditioners'!X10)</f>
        <v/>
      </c>
      <c r="AG45" s="10" t="str">
        <f>IF(B45="", "", 'Window Air Conditioners'!I10)</f>
        <v/>
      </c>
      <c r="AH45" s="10" t="str">
        <f>IF(B45="", "", 'Window Air Conditioners'!K10)</f>
        <v/>
      </c>
      <c r="AI45" s="99" t="str">
        <f>IF(B45="", "", 'Window Air Conditioners'!R10)</f>
        <v/>
      </c>
      <c r="AJ45" s="99" t="str">
        <f>IF(B45="", "", 'Window Air Conditioners'!S10)</f>
        <v/>
      </c>
      <c r="AK45" s="10" t="str">
        <f>IF(B45="", "", 'Window Air Conditioners'!T10)</f>
        <v/>
      </c>
    </row>
    <row r="46" spans="1:37">
      <c r="A46" s="10" t="str">
        <f>IF(B46="", "", 'Project Summary'!S78)</f>
        <v/>
      </c>
      <c r="B46" s="10" t="str">
        <f>IF(OR('Window Air Conditioners'!AB11="", 'Window Air Conditioners'!AA11&lt;0), "", 'Project Summary'!$L$139)</f>
        <v/>
      </c>
      <c r="C46" s="10" t="str">
        <f>IF(B46="", "", 'Project Summary'!$C$10)</f>
        <v/>
      </c>
      <c r="D46" s="10" t="str">
        <f>IF(B46="", "", CONCATENATE('Project Summary'!$C$7, " - ", 'Project Summary'!$C$10))</f>
        <v/>
      </c>
      <c r="E46" s="10" t="str">
        <f t="shared" si="0"/>
        <v/>
      </c>
      <c r="F46" s="10" t="str">
        <f>IF(B46="", "", 'Project Summary'!$C$11)</f>
        <v/>
      </c>
      <c r="G46" s="10" t="str">
        <f>IF(B46="","",VLOOKUP(B46,'Project Summary'!$L$128:$M$147, 2, FALSE))</f>
        <v/>
      </c>
      <c r="H46" s="10" t="str">
        <f>IF(B46="", "",'Project Summary'!Q89)</f>
        <v/>
      </c>
      <c r="I46" s="99" t="str">
        <f>IF(B46="", "", Instructions!$M$2)</f>
        <v/>
      </c>
      <c r="J46" s="10" t="str">
        <f>IF(B46="", "", 'Window Air Conditioners'!D11)</f>
        <v/>
      </c>
      <c r="K46" s="10" t="str">
        <f>IF(B46="", "", 'Window Air Conditioners'!L11)</f>
        <v/>
      </c>
      <c r="L46" s="99" t="str">
        <f>IF(B46="", "", 'Window Air Conditioners'!AB11)</f>
        <v/>
      </c>
      <c r="M46" s="199" t="str">
        <f>IF(B46="", "", 'Window Air Conditioners'!Z11)</f>
        <v/>
      </c>
      <c r="N46" s="199" t="str">
        <f t="shared" si="1"/>
        <v/>
      </c>
      <c r="O46" s="199" t="str">
        <f>IF(C46="", "", 'Window Air Conditioners'!AA11)</f>
        <v/>
      </c>
      <c r="P46" s="99" t="str">
        <f>IF(B46="", "", 'Window Air Conditioners'!U11)</f>
        <v/>
      </c>
      <c r="Q46" s="10" t="str">
        <f>IF(B46="", "", 'Window Air Conditioners'!Y11)</f>
        <v/>
      </c>
      <c r="R46" s="10" t="str">
        <f>IF(B46="", "", 'Window Air Conditioners'!E11)</f>
        <v/>
      </c>
      <c r="S46" s="10" t="str">
        <f>IF(B46="", "", 'Window Air Conditioners'!F11)</f>
        <v/>
      </c>
      <c r="T46" s="10" t="str">
        <f>IF(B46="", "", 'Window Air Conditioners'!J11)</f>
        <v/>
      </c>
      <c r="AA46" s="10" t="str">
        <f>IF(B46="", "", 'Window Air Conditioners'!G11)</f>
        <v/>
      </c>
      <c r="AB46" s="99"/>
      <c r="AC46" s="99"/>
      <c r="AD46" s="99"/>
      <c r="AE46" s="10" t="str">
        <f>IF(B46="", "", 'Window Air Conditioners'!X11)</f>
        <v/>
      </c>
      <c r="AG46" s="10" t="str">
        <f>IF(B46="", "", 'Window Air Conditioners'!I11)</f>
        <v/>
      </c>
      <c r="AH46" s="10" t="str">
        <f>IF(B46="", "", 'Window Air Conditioners'!K11)</f>
        <v/>
      </c>
      <c r="AI46" s="99" t="str">
        <f>IF(B46="", "", 'Window Air Conditioners'!R11)</f>
        <v/>
      </c>
      <c r="AJ46" s="99" t="str">
        <f>IF(B46="", "", 'Window Air Conditioners'!S11)</f>
        <v/>
      </c>
      <c r="AK46" s="10" t="str">
        <f>IF(B46="", "", 'Window Air Conditioners'!T11)</f>
        <v/>
      </c>
    </row>
    <row r="47" spans="1:37">
      <c r="A47" s="10" t="str">
        <f>IF(B47="", "", 'Project Summary'!S79)</f>
        <v/>
      </c>
      <c r="B47" s="10" t="str">
        <f>IF(OR('Window Air Conditioners'!AB12="", 'Window Air Conditioners'!AA12&lt;0), "", 'Project Summary'!$L$139)</f>
        <v/>
      </c>
      <c r="C47" s="10" t="str">
        <f>IF(B47="", "", 'Project Summary'!$C$10)</f>
        <v/>
      </c>
      <c r="D47" s="10" t="str">
        <f>IF(B47="", "", CONCATENATE('Project Summary'!$C$7, " - ", 'Project Summary'!$C$10))</f>
        <v/>
      </c>
      <c r="E47" s="10" t="str">
        <f t="shared" si="0"/>
        <v/>
      </c>
      <c r="F47" s="10" t="str">
        <f>IF(B47="", "", 'Project Summary'!$C$11)</f>
        <v/>
      </c>
      <c r="G47" s="10" t="str">
        <f>IF(B47="","",VLOOKUP(B47,'Project Summary'!$L$128:$M$147, 2, FALSE))</f>
        <v/>
      </c>
      <c r="H47" s="10" t="str">
        <f>IF(B47="", "",'Project Summary'!Q90)</f>
        <v/>
      </c>
      <c r="I47" s="99" t="str">
        <f>IF(B47="", "", Instructions!$M$2)</f>
        <v/>
      </c>
      <c r="J47" s="10" t="str">
        <f>IF(B47="", "", 'Window Air Conditioners'!D12)</f>
        <v/>
      </c>
      <c r="K47" s="10" t="str">
        <f>IF(B47="", "", 'Window Air Conditioners'!L12)</f>
        <v/>
      </c>
      <c r="L47" s="99" t="str">
        <f>IF(B47="", "", 'Window Air Conditioners'!AB12)</f>
        <v/>
      </c>
      <c r="M47" s="199" t="str">
        <f>IF(B47="", "", 'Window Air Conditioners'!Z12)</f>
        <v/>
      </c>
      <c r="N47" s="199" t="str">
        <f t="shared" si="1"/>
        <v/>
      </c>
      <c r="O47" s="199" t="str">
        <f>IF(C47="", "", 'Window Air Conditioners'!AA12)</f>
        <v/>
      </c>
      <c r="P47" s="99" t="str">
        <f>IF(B47="", "", 'Window Air Conditioners'!U12)</f>
        <v/>
      </c>
      <c r="Q47" s="10" t="str">
        <f>IF(B47="", "", 'Window Air Conditioners'!Y12)</f>
        <v/>
      </c>
      <c r="R47" s="10" t="str">
        <f>IF(B47="", "", 'Window Air Conditioners'!E12)</f>
        <v/>
      </c>
      <c r="S47" s="10" t="str">
        <f>IF(B47="", "", 'Window Air Conditioners'!F12)</f>
        <v/>
      </c>
      <c r="T47" s="10" t="str">
        <f>IF(B47="", "", 'Window Air Conditioners'!J12)</f>
        <v/>
      </c>
      <c r="AA47" s="10" t="str">
        <f>IF(B47="", "", 'Window Air Conditioners'!G12)</f>
        <v/>
      </c>
      <c r="AB47" s="99"/>
      <c r="AC47" s="99"/>
      <c r="AD47" s="99"/>
      <c r="AE47" s="10" t="str">
        <f>IF(B47="", "", 'Window Air Conditioners'!X12)</f>
        <v/>
      </c>
      <c r="AG47" s="10" t="str">
        <f>IF(B47="", "", 'Window Air Conditioners'!I12)</f>
        <v/>
      </c>
      <c r="AH47" s="10" t="str">
        <f>IF(B47="", "", 'Window Air Conditioners'!K12)</f>
        <v/>
      </c>
      <c r="AI47" s="99" t="str">
        <f>IF(B47="", "", 'Window Air Conditioners'!R12)</f>
        <v/>
      </c>
      <c r="AJ47" s="99" t="str">
        <f>IF(B47="", "", 'Window Air Conditioners'!S12)</f>
        <v/>
      </c>
      <c r="AK47" s="10" t="str">
        <f>IF(B47="", "", 'Window Air Conditioners'!T12)</f>
        <v/>
      </c>
    </row>
    <row r="48" spans="1:37">
      <c r="A48" s="10" t="str">
        <f>IF(B48="", "", 'Project Summary'!S80)</f>
        <v/>
      </c>
      <c r="B48" s="10" t="str">
        <f>IF(OR('Window Air Conditioners'!AB13="", 'Window Air Conditioners'!AA13&lt;0), "", 'Project Summary'!$L$139)</f>
        <v/>
      </c>
      <c r="C48" s="10" t="str">
        <f>IF(B48="", "", 'Project Summary'!$C$10)</f>
        <v/>
      </c>
      <c r="D48" s="10" t="str">
        <f>IF(B48="", "", CONCATENATE('Project Summary'!$C$7, " - ", 'Project Summary'!$C$10))</f>
        <v/>
      </c>
      <c r="E48" s="10" t="str">
        <f t="shared" si="0"/>
        <v/>
      </c>
      <c r="F48" s="10" t="str">
        <f>IF(B48="", "", 'Project Summary'!$C$11)</f>
        <v/>
      </c>
      <c r="G48" s="10" t="str">
        <f>IF(B48="","",VLOOKUP(B48,'Project Summary'!$L$128:$M$147, 2, FALSE))</f>
        <v/>
      </c>
      <c r="H48" s="10" t="str">
        <f>IF(B48="", "",'Project Summary'!Q91)</f>
        <v/>
      </c>
      <c r="I48" s="99" t="str">
        <f>IF(B48="", "", Instructions!$M$2)</f>
        <v/>
      </c>
      <c r="J48" s="10" t="str">
        <f>IF(B48="", "", 'Window Air Conditioners'!D13)</f>
        <v/>
      </c>
      <c r="K48" s="10" t="str">
        <f>IF(B48="", "", 'Window Air Conditioners'!L13)</f>
        <v/>
      </c>
      <c r="L48" s="99" t="str">
        <f>IF(B48="", "", 'Window Air Conditioners'!AB13)</f>
        <v/>
      </c>
      <c r="M48" s="199" t="str">
        <f>IF(B48="", "", 'Window Air Conditioners'!Z13)</f>
        <v/>
      </c>
      <c r="N48" s="199" t="str">
        <f t="shared" si="1"/>
        <v/>
      </c>
      <c r="O48" s="199" t="str">
        <f>IF(C48="", "", 'Window Air Conditioners'!AA13)</f>
        <v/>
      </c>
      <c r="P48" s="99" t="str">
        <f>IF(B48="", "", 'Window Air Conditioners'!U13)</f>
        <v/>
      </c>
      <c r="Q48" s="10" t="str">
        <f>IF(B48="", "", 'Window Air Conditioners'!Y13)</f>
        <v/>
      </c>
      <c r="R48" s="10" t="str">
        <f>IF(B48="", "", 'Window Air Conditioners'!E13)</f>
        <v/>
      </c>
      <c r="S48" s="10" t="str">
        <f>IF(B48="", "", 'Window Air Conditioners'!F13)</f>
        <v/>
      </c>
      <c r="T48" s="10" t="str">
        <f>IF(B48="", "", 'Window Air Conditioners'!J13)</f>
        <v/>
      </c>
      <c r="AA48" s="10" t="str">
        <f>IF(B48="", "", 'Window Air Conditioners'!G13)</f>
        <v/>
      </c>
      <c r="AB48" s="99"/>
      <c r="AC48" s="99"/>
      <c r="AD48" s="99"/>
      <c r="AE48" s="10" t="str">
        <f>IF(B48="", "", 'Window Air Conditioners'!X13)</f>
        <v/>
      </c>
      <c r="AG48" s="10" t="str">
        <f>IF(B48="", "", 'Window Air Conditioners'!I13)</f>
        <v/>
      </c>
      <c r="AH48" s="10" t="str">
        <f>IF(B48="", "", 'Window Air Conditioners'!K13)</f>
        <v/>
      </c>
      <c r="AI48" s="99" t="str">
        <f>IF(B48="", "", 'Window Air Conditioners'!R13)</f>
        <v/>
      </c>
      <c r="AJ48" s="99" t="str">
        <f>IF(B48="", "", 'Window Air Conditioners'!S13)</f>
        <v/>
      </c>
      <c r="AK48" s="10" t="str">
        <f>IF(B48="", "", 'Window Air Conditioners'!T13)</f>
        <v/>
      </c>
    </row>
    <row r="49" spans="1:53">
      <c r="A49" s="10" t="str">
        <f>IF(B49="", "", 'Project Summary'!S81)</f>
        <v/>
      </c>
      <c r="B49" s="10" t="str">
        <f>IF(OR('Window Air Conditioners'!AB14="", 'Window Air Conditioners'!AA14&lt;0), "", 'Project Summary'!$L$139)</f>
        <v/>
      </c>
      <c r="C49" s="10" t="str">
        <f>IF(B49="", "", 'Project Summary'!$C$10)</f>
        <v/>
      </c>
      <c r="D49" s="10" t="str">
        <f>IF(B49="", "", CONCATENATE('Project Summary'!$C$7, " - ", 'Project Summary'!$C$10))</f>
        <v/>
      </c>
      <c r="E49" s="10" t="str">
        <f t="shared" si="0"/>
        <v/>
      </c>
      <c r="F49" s="10" t="str">
        <f>IF(B49="", "", 'Project Summary'!$C$11)</f>
        <v/>
      </c>
      <c r="G49" s="10" t="str">
        <f>IF(B49="","",VLOOKUP(B49,'Project Summary'!$L$128:$M$147, 2, FALSE))</f>
        <v/>
      </c>
      <c r="H49" s="10" t="str">
        <f>IF(B49="", "",'Project Summary'!Q92)</f>
        <v/>
      </c>
      <c r="I49" s="99" t="str">
        <f>IF(B49="", "", Instructions!$M$2)</f>
        <v/>
      </c>
      <c r="J49" s="10" t="str">
        <f>IF(B49="", "", 'Window Air Conditioners'!D14)</f>
        <v/>
      </c>
      <c r="K49" s="10" t="str">
        <f>IF(B49="", "", 'Window Air Conditioners'!L14)</f>
        <v/>
      </c>
      <c r="L49" s="99" t="str">
        <f>IF(B49="", "", 'Window Air Conditioners'!AB14)</f>
        <v/>
      </c>
      <c r="M49" s="199" t="str">
        <f>IF(B49="", "", 'Window Air Conditioners'!Z14)</f>
        <v/>
      </c>
      <c r="N49" s="199" t="str">
        <f t="shared" si="1"/>
        <v/>
      </c>
      <c r="O49" s="199" t="str">
        <f>IF(C49="", "", 'Window Air Conditioners'!AA14)</f>
        <v/>
      </c>
      <c r="P49" s="99" t="str">
        <f>IF(B49="", "", 'Window Air Conditioners'!U14)</f>
        <v/>
      </c>
      <c r="Q49" s="10" t="str">
        <f>IF(B49="", "", 'Window Air Conditioners'!Y14)</f>
        <v/>
      </c>
      <c r="R49" s="10" t="str">
        <f>IF(B49="", "", 'Window Air Conditioners'!E14)</f>
        <v/>
      </c>
      <c r="S49" s="10" t="str">
        <f>IF(B49="", "", 'Window Air Conditioners'!F14)</f>
        <v/>
      </c>
      <c r="T49" s="10" t="str">
        <f>IF(B49="", "", 'Window Air Conditioners'!J14)</f>
        <v/>
      </c>
      <c r="AA49" s="10" t="str">
        <f>IF(B49="", "", 'Window Air Conditioners'!G14)</f>
        <v/>
      </c>
      <c r="AB49" s="99"/>
      <c r="AC49" s="99"/>
      <c r="AD49" s="99"/>
      <c r="AE49" s="10" t="str">
        <f>IF(B49="", "", 'Window Air Conditioners'!X14)</f>
        <v/>
      </c>
      <c r="AG49" s="10" t="str">
        <f>IF(B49="", "", 'Window Air Conditioners'!I14)</f>
        <v/>
      </c>
      <c r="AH49" s="10" t="str">
        <f>IF(B49="", "", 'Window Air Conditioners'!K14)</f>
        <v/>
      </c>
      <c r="AI49" s="99" t="str">
        <f>IF(B49="", "", 'Window Air Conditioners'!R14)</f>
        <v/>
      </c>
      <c r="AJ49" s="99" t="str">
        <f>IF(B49="", "", 'Window Air Conditioners'!S14)</f>
        <v/>
      </c>
      <c r="AK49" s="10" t="str">
        <f>IF(B49="", "", 'Window Air Conditioners'!T14)</f>
        <v/>
      </c>
    </row>
    <row r="50" spans="1:53">
      <c r="A50" s="10">
        <f>IF(B50="", "", 'Project Summary'!S82)</f>
        <v>49</v>
      </c>
      <c r="B50" s="10" t="str">
        <f>IF(OR('Pre Rinse Sprayers'!R7="", 'Pre Rinse Sprayers'!Q7&lt;0),"", 'Project Summary'!$L$140)</f>
        <v>Pre Rinse Spray Nozzles</v>
      </c>
      <c r="C50" s="10">
        <f>IF(B50="", "", 'Project Summary'!$C$10)</f>
        <v>0</v>
      </c>
      <c r="D50" s="10" t="str">
        <f>IF(B50="", "", CONCATENATE('Project Summary'!$C$7, " - ", 'Project Summary'!$C$10))</f>
        <v xml:space="preserve"> - </v>
      </c>
      <c r="E50" s="10" t="str">
        <f t="shared" si="0"/>
        <v>FPAEPR</v>
      </c>
      <c r="F50" s="10">
        <f>IF(B50="", "", 'Project Summary'!$C$11)</f>
        <v>0</v>
      </c>
      <c r="G50" s="10" t="str">
        <f>IF(B50="","",VLOOKUP(B50,'Project Summary'!$L$128:$M$147, 2, FALSE))</f>
        <v>FEPA-21</v>
      </c>
      <c r="H50" s="10" t="str">
        <f>IF(B50="", "",'Project Summary'!Q95)</f>
        <v>49</v>
      </c>
      <c r="I50" s="99">
        <f>IF(B50="", "", Instructions!$M$2)</f>
        <v>5</v>
      </c>
      <c r="J50" s="10" t="str">
        <f>IF(B50="", "", 'Pre Rinse Sprayers'!D7)</f>
        <v>New Installation</v>
      </c>
      <c r="K50" s="10">
        <f>IF(B50="", "", 'Pre Rinse Sprayers'!H7)</f>
        <v>1</v>
      </c>
      <c r="L50" s="99">
        <f>IF(B50="", "", 'Pre Rinse Sprayers'!R7)</f>
        <v>35</v>
      </c>
      <c r="M50" s="199">
        <f>IF(B50="", "", 'Pre Rinse Sprayers'!P7)</f>
        <v>3.7039692223524712E-2</v>
      </c>
      <c r="N50" s="199">
        <f t="shared" si="1"/>
        <v>3.7039692223524712E-2</v>
      </c>
      <c r="O50" s="199">
        <f>IF(C50="", "", 'Pre Rinse Sprayers'!Q7)</f>
        <v>143.01039468542359</v>
      </c>
      <c r="P50" s="99">
        <f>IF(B50="", "", 1)</f>
        <v>1</v>
      </c>
      <c r="Q50" s="10">
        <f>IF(B50="", "", 'Pre Rinse Sprayers'!I7)</f>
        <v>8</v>
      </c>
      <c r="R50" s="10">
        <f>IF(B50="", "", 'Pre Rinse Sprayers'!E7)</f>
        <v>0</v>
      </c>
      <c r="S50" s="10">
        <f>IF(B50="", "", 'Pre Rinse Sprayers'!F7)</f>
        <v>0</v>
      </c>
      <c r="AB50" s="99"/>
      <c r="AC50" s="99"/>
      <c r="AD50" s="99"/>
      <c r="AI50" s="99"/>
      <c r="AJ50" s="99"/>
      <c r="AL50" s="10" t="str">
        <f>IF(B50="", "", 'Pre Rinse Sprayers'!G7)</f>
        <v>Grocery</v>
      </c>
    </row>
    <row r="51" spans="1:53">
      <c r="A51" s="10" t="str">
        <f>IF(B51="", "", 'Project Summary'!S83)</f>
        <v/>
      </c>
      <c r="B51" s="10" t="str">
        <f>IF(OR('Pre Rinse Sprayers'!R8="", 'Pre Rinse Sprayers'!Q8&lt;0),"", 'Project Summary'!$L$140)</f>
        <v/>
      </c>
      <c r="C51" s="10" t="str">
        <f>IF(B51="", "", 'Project Summary'!$C$10)</f>
        <v/>
      </c>
      <c r="D51" s="10" t="str">
        <f>IF(B51="", "", CONCATENATE('Project Summary'!$C$7, " - ", 'Project Summary'!$C$10))</f>
        <v/>
      </c>
      <c r="E51" s="10" t="str">
        <f t="shared" si="0"/>
        <v/>
      </c>
      <c r="F51" s="10" t="str">
        <f>IF(B51="", "", 'Project Summary'!$C$11)</f>
        <v/>
      </c>
      <c r="G51" s="10" t="str">
        <f>IF(B51="","",VLOOKUP(B51,'Project Summary'!$L$128:$M$147, 2, FALSE))</f>
        <v/>
      </c>
      <c r="H51" s="10" t="str">
        <f>IF(B51="", "",'Project Summary'!Q96)</f>
        <v/>
      </c>
      <c r="I51" s="99" t="str">
        <f>IF(B51="", "", Instructions!$M$2)</f>
        <v/>
      </c>
      <c r="J51" s="10" t="str">
        <f>IF(B51="", "", 'Pre Rinse Sprayers'!D8)</f>
        <v/>
      </c>
      <c r="K51" s="10" t="str">
        <f>IF(B51="", "", 'Pre Rinse Sprayers'!H8)</f>
        <v/>
      </c>
      <c r="L51" s="99" t="str">
        <f>IF(B51="", "", 'Pre Rinse Sprayers'!R8)</f>
        <v/>
      </c>
      <c r="M51" s="199" t="str">
        <f>IF(B51="", "", 'Pre Rinse Sprayers'!P8)</f>
        <v/>
      </c>
      <c r="N51" s="199" t="str">
        <f t="shared" si="1"/>
        <v/>
      </c>
      <c r="O51" s="199" t="str">
        <f>IF(C51="", "", 'Pre Rinse Sprayers'!Q8)</f>
        <v/>
      </c>
      <c r="P51" s="99" t="str">
        <f t="shared" ref="P51:P57" si="5">IF(B51="", "", 1)</f>
        <v/>
      </c>
      <c r="Q51" s="10" t="str">
        <f>IF(B51="", "", 'Pre Rinse Sprayers'!I8)</f>
        <v/>
      </c>
      <c r="R51" s="10" t="str">
        <f>IF(B51="", "", 'Pre Rinse Sprayers'!E8)</f>
        <v/>
      </c>
      <c r="S51" s="10" t="str">
        <f>IF(B51="", "", 'Pre Rinse Sprayers'!F8)</f>
        <v/>
      </c>
      <c r="AB51" s="99"/>
      <c r="AC51" s="99"/>
      <c r="AD51" s="99"/>
      <c r="AI51" s="99"/>
      <c r="AJ51" s="99"/>
      <c r="AL51" s="10" t="str">
        <f>IF(B51="", "", 'Pre Rinse Sprayers'!G8)</f>
        <v/>
      </c>
    </row>
    <row r="52" spans="1:53">
      <c r="A52" s="10" t="str">
        <f>IF(B52="", "", 'Project Summary'!S84)</f>
        <v/>
      </c>
      <c r="B52" s="10" t="str">
        <f>IF(OR('Pre Rinse Sprayers'!R9="", 'Pre Rinse Sprayers'!Q9&lt;0),"", 'Project Summary'!$L$140)</f>
        <v/>
      </c>
      <c r="C52" s="10" t="str">
        <f>IF(B52="", "", 'Project Summary'!$C$10)</f>
        <v/>
      </c>
      <c r="D52" s="10" t="str">
        <f>IF(B52="", "", CONCATENATE('Project Summary'!$C$7, " - ", 'Project Summary'!$C$10))</f>
        <v/>
      </c>
      <c r="E52" s="10" t="str">
        <f t="shared" si="0"/>
        <v/>
      </c>
      <c r="F52" s="10" t="str">
        <f>IF(B52="", "", 'Project Summary'!$C$11)</f>
        <v/>
      </c>
      <c r="G52" s="10" t="str">
        <f>IF(B52="","",VLOOKUP(B52,'Project Summary'!$L$128:$M$147, 2, FALSE))</f>
        <v/>
      </c>
      <c r="H52" s="10" t="str">
        <f>IF(B52="", "",'Project Summary'!Q97)</f>
        <v/>
      </c>
      <c r="I52" s="99" t="str">
        <f>IF(B52="", "", Instructions!$M$2)</f>
        <v/>
      </c>
      <c r="J52" s="10" t="str">
        <f>IF(B52="", "", 'Pre Rinse Sprayers'!D9)</f>
        <v/>
      </c>
      <c r="K52" s="10" t="str">
        <f>IF(B52="", "", 'Pre Rinse Sprayers'!H9)</f>
        <v/>
      </c>
      <c r="L52" s="99" t="str">
        <f>IF(B52="", "", 'Pre Rinse Sprayers'!R9)</f>
        <v/>
      </c>
      <c r="M52" s="199" t="str">
        <f>IF(B52="", "", 'Pre Rinse Sprayers'!P9)</f>
        <v/>
      </c>
      <c r="N52" s="199" t="str">
        <f t="shared" si="1"/>
        <v/>
      </c>
      <c r="O52" s="199" t="str">
        <f>IF(C52="", "", 'Pre Rinse Sprayers'!Q9)</f>
        <v/>
      </c>
      <c r="P52" s="99" t="str">
        <f t="shared" si="5"/>
        <v/>
      </c>
      <c r="Q52" s="10" t="str">
        <f>IF(B52="", "", 'Pre Rinse Sprayers'!I9)</f>
        <v/>
      </c>
      <c r="R52" s="10" t="str">
        <f>IF(B52="", "", 'Pre Rinse Sprayers'!E9)</f>
        <v/>
      </c>
      <c r="S52" s="10" t="str">
        <f>IF(B52="", "", 'Pre Rinse Sprayers'!F9)</f>
        <v/>
      </c>
      <c r="AB52" s="99"/>
      <c r="AC52" s="99"/>
      <c r="AD52" s="99"/>
      <c r="AI52" s="99"/>
      <c r="AJ52" s="99"/>
      <c r="AL52" s="10" t="str">
        <f>IF(B52="", "", 'Pre Rinse Sprayers'!G9)</f>
        <v/>
      </c>
    </row>
    <row r="53" spans="1:53">
      <c r="A53" s="10" t="str">
        <f>IF(B53="", "", 'Project Summary'!S85)</f>
        <v/>
      </c>
      <c r="B53" s="10" t="str">
        <f>IF(OR('Pre Rinse Sprayers'!R10="", 'Pre Rinse Sprayers'!Q10&lt;0),"", 'Project Summary'!$L$140)</f>
        <v/>
      </c>
      <c r="C53" s="10" t="str">
        <f>IF(B53="", "", 'Project Summary'!$C$10)</f>
        <v/>
      </c>
      <c r="D53" s="10" t="str">
        <f>IF(B53="", "", CONCATENATE('Project Summary'!$C$7, " - ", 'Project Summary'!$C$10))</f>
        <v/>
      </c>
      <c r="E53" s="10" t="str">
        <f t="shared" si="0"/>
        <v/>
      </c>
      <c r="F53" s="10" t="str">
        <f>IF(B53="", "", 'Project Summary'!$C$11)</f>
        <v/>
      </c>
      <c r="G53" s="10" t="str">
        <f>IF(B53="","",VLOOKUP(B53,'Project Summary'!$L$128:$M$147, 2, FALSE))</f>
        <v/>
      </c>
      <c r="H53" s="10" t="str">
        <f>IF(B53="", "",'Project Summary'!Q98)</f>
        <v/>
      </c>
      <c r="I53" s="99" t="str">
        <f>IF(B53="", "", Instructions!$M$2)</f>
        <v/>
      </c>
      <c r="J53" s="10" t="str">
        <f>IF(B53="", "", 'Pre Rinse Sprayers'!D10)</f>
        <v/>
      </c>
      <c r="K53" s="10" t="str">
        <f>IF(B53="", "", 'Pre Rinse Sprayers'!H10)</f>
        <v/>
      </c>
      <c r="L53" s="99" t="str">
        <f>IF(B53="", "", 'Pre Rinse Sprayers'!R10)</f>
        <v/>
      </c>
      <c r="M53" s="199" t="str">
        <f>IF(B53="", "", 'Pre Rinse Sprayers'!P10)</f>
        <v/>
      </c>
      <c r="N53" s="199" t="str">
        <f t="shared" si="1"/>
        <v/>
      </c>
      <c r="O53" s="199" t="str">
        <f>IF(C53="", "", 'Pre Rinse Sprayers'!Q10)</f>
        <v/>
      </c>
      <c r="P53" s="99" t="str">
        <f t="shared" si="5"/>
        <v/>
      </c>
      <c r="Q53" s="10" t="str">
        <f>IF(B53="", "", 'Pre Rinse Sprayers'!I10)</f>
        <v/>
      </c>
      <c r="R53" s="10" t="str">
        <f>IF(B53="", "", 'Pre Rinse Sprayers'!E10)</f>
        <v/>
      </c>
      <c r="S53" s="10" t="str">
        <f>IF(B53="", "", 'Pre Rinse Sprayers'!F10)</f>
        <v/>
      </c>
      <c r="AB53" s="99"/>
      <c r="AC53" s="99"/>
      <c r="AD53" s="99"/>
      <c r="AI53" s="99"/>
      <c r="AJ53" s="99"/>
      <c r="AL53" s="10" t="str">
        <f>IF(B53="", "", 'Pre Rinse Sprayers'!G10)</f>
        <v/>
      </c>
    </row>
    <row r="54" spans="1:53">
      <c r="A54" s="10" t="str">
        <f>IF(B54="", "", 'Project Summary'!S86)</f>
        <v/>
      </c>
      <c r="B54" s="10" t="str">
        <f>IF(OR('Pre Rinse Sprayers'!R11="", 'Pre Rinse Sprayers'!Q11&lt;0),"", 'Project Summary'!$L$140)</f>
        <v/>
      </c>
      <c r="C54" s="10" t="str">
        <f>IF(B54="", "", 'Project Summary'!$C$10)</f>
        <v/>
      </c>
      <c r="D54" s="10" t="str">
        <f>IF(B54="", "", CONCATENATE('Project Summary'!$C$7, " - ", 'Project Summary'!$C$10))</f>
        <v/>
      </c>
      <c r="E54" s="10" t="str">
        <f t="shared" si="0"/>
        <v/>
      </c>
      <c r="F54" s="10" t="str">
        <f>IF(B54="", "", 'Project Summary'!$C$11)</f>
        <v/>
      </c>
      <c r="G54" s="10" t="str">
        <f>IF(B54="","",VLOOKUP(B54,'Project Summary'!$L$128:$M$147, 2, FALSE))</f>
        <v/>
      </c>
      <c r="H54" s="10" t="str">
        <f>IF(B54="", "",'Project Summary'!Q99)</f>
        <v/>
      </c>
      <c r="I54" s="99" t="str">
        <f>IF(B54="", "", Instructions!$M$2)</f>
        <v/>
      </c>
      <c r="J54" s="10" t="str">
        <f>IF(B54="", "", 'Pre Rinse Sprayers'!D11)</f>
        <v/>
      </c>
      <c r="K54" s="10" t="str">
        <f>IF(B54="", "", 'Pre Rinse Sprayers'!H11)</f>
        <v/>
      </c>
      <c r="L54" s="99" t="str">
        <f>IF(B54="", "", 'Pre Rinse Sprayers'!R11)</f>
        <v/>
      </c>
      <c r="M54" s="199" t="str">
        <f>IF(B54="", "", 'Pre Rinse Sprayers'!P11)</f>
        <v/>
      </c>
      <c r="N54" s="199" t="str">
        <f t="shared" si="1"/>
        <v/>
      </c>
      <c r="O54" s="199" t="str">
        <f>IF(C54="", "", 'Pre Rinse Sprayers'!Q11)</f>
        <v/>
      </c>
      <c r="P54" s="99" t="str">
        <f t="shared" si="5"/>
        <v/>
      </c>
      <c r="Q54" s="10" t="str">
        <f>IF(B54="", "", 'Pre Rinse Sprayers'!I11)</f>
        <v/>
      </c>
      <c r="R54" s="10" t="str">
        <f>IF(B54="", "", 'Pre Rinse Sprayers'!E11)</f>
        <v/>
      </c>
      <c r="S54" s="10" t="str">
        <f>IF(B54="", "", 'Pre Rinse Sprayers'!F11)</f>
        <v/>
      </c>
      <c r="AB54" s="99"/>
      <c r="AC54" s="99"/>
      <c r="AD54" s="99"/>
      <c r="AI54" s="99"/>
      <c r="AJ54" s="99"/>
      <c r="AL54" s="10" t="str">
        <f>IF(B54="", "", 'Pre Rinse Sprayers'!G11)</f>
        <v/>
      </c>
    </row>
    <row r="55" spans="1:53">
      <c r="A55" s="10" t="str">
        <f>IF(B55="", "", 'Project Summary'!S87)</f>
        <v/>
      </c>
      <c r="B55" s="10" t="str">
        <f>IF(OR('Pre Rinse Sprayers'!R12="", 'Pre Rinse Sprayers'!Q12&lt;0),"", 'Project Summary'!$L$140)</f>
        <v/>
      </c>
      <c r="C55" s="10" t="str">
        <f>IF(B55="", "", 'Project Summary'!$C$10)</f>
        <v/>
      </c>
      <c r="D55" s="10" t="str">
        <f>IF(B55="", "", CONCATENATE('Project Summary'!$C$7, " - ", 'Project Summary'!$C$10))</f>
        <v/>
      </c>
      <c r="E55" s="10" t="str">
        <f t="shared" si="0"/>
        <v/>
      </c>
      <c r="F55" s="10" t="str">
        <f>IF(B55="", "", 'Project Summary'!$C$11)</f>
        <v/>
      </c>
      <c r="G55" s="10" t="str">
        <f>IF(B55="","",VLOOKUP(B55,'Project Summary'!$L$128:$M$147, 2, FALSE))</f>
        <v/>
      </c>
      <c r="H55" s="10" t="str">
        <f>IF(B55="", "",'Project Summary'!Q100)</f>
        <v/>
      </c>
      <c r="I55" s="99" t="str">
        <f>IF(B55="", "", Instructions!$M$2)</f>
        <v/>
      </c>
      <c r="J55" s="10" t="str">
        <f>IF(B55="", "", 'Pre Rinse Sprayers'!D12)</f>
        <v/>
      </c>
      <c r="K55" s="10" t="str">
        <f>IF(B55="", "", 'Pre Rinse Sprayers'!H12)</f>
        <v/>
      </c>
      <c r="L55" s="99" t="str">
        <f>IF(B55="", "", 'Pre Rinse Sprayers'!R12)</f>
        <v/>
      </c>
      <c r="M55" s="199" t="str">
        <f>IF(B55="", "", 'Pre Rinse Sprayers'!P12)</f>
        <v/>
      </c>
      <c r="N55" s="199" t="str">
        <f t="shared" si="1"/>
        <v/>
      </c>
      <c r="O55" s="199" t="str">
        <f>IF(C55="", "", 'Pre Rinse Sprayers'!Q12)</f>
        <v/>
      </c>
      <c r="P55" s="99" t="str">
        <f t="shared" si="5"/>
        <v/>
      </c>
      <c r="Q55" s="10" t="str">
        <f>IF(B55="", "", 'Pre Rinse Sprayers'!I12)</f>
        <v/>
      </c>
      <c r="R55" s="10" t="str">
        <f>IF(B55="", "", 'Pre Rinse Sprayers'!E12)</f>
        <v/>
      </c>
      <c r="S55" s="10" t="str">
        <f>IF(B55="", "", 'Pre Rinse Sprayers'!F12)</f>
        <v/>
      </c>
      <c r="AB55" s="99"/>
      <c r="AC55" s="99"/>
      <c r="AD55" s="99"/>
      <c r="AI55" s="99"/>
      <c r="AJ55" s="99"/>
      <c r="AL55" s="10" t="str">
        <f>IF(B55="", "", 'Pre Rinse Sprayers'!G12)</f>
        <v/>
      </c>
    </row>
    <row r="56" spans="1:53">
      <c r="A56" s="10" t="str">
        <f>IF(B56="", "", 'Project Summary'!S88)</f>
        <v/>
      </c>
      <c r="B56" s="10" t="str">
        <f>IF(OR('Pre Rinse Sprayers'!R13="", 'Pre Rinse Sprayers'!Q13&lt;0),"", 'Project Summary'!$L$140)</f>
        <v/>
      </c>
      <c r="C56" s="10" t="str">
        <f>IF(B56="", "", 'Project Summary'!$C$10)</f>
        <v/>
      </c>
      <c r="D56" s="10" t="str">
        <f>IF(B56="", "", CONCATENATE('Project Summary'!$C$7, " - ", 'Project Summary'!$C$10))</f>
        <v/>
      </c>
      <c r="E56" s="10" t="str">
        <f t="shared" si="0"/>
        <v/>
      </c>
      <c r="F56" s="10" t="str">
        <f>IF(B56="", "", 'Project Summary'!$C$11)</f>
        <v/>
      </c>
      <c r="G56" s="10" t="str">
        <f>IF(B56="","",VLOOKUP(B56,'Project Summary'!$L$128:$M$147, 2, FALSE))</f>
        <v/>
      </c>
      <c r="H56" s="10" t="str">
        <f>IF(B56="", "",'Project Summary'!Q101)</f>
        <v/>
      </c>
      <c r="I56" s="99" t="str">
        <f>IF(B56="", "", Instructions!$M$2)</f>
        <v/>
      </c>
      <c r="J56" s="10" t="str">
        <f>IF(B56="", "", 'Pre Rinse Sprayers'!D13)</f>
        <v/>
      </c>
      <c r="K56" s="10" t="str">
        <f>IF(B56="", "", 'Pre Rinse Sprayers'!H13)</f>
        <v/>
      </c>
      <c r="L56" s="99" t="str">
        <f>IF(B56="", "", 'Pre Rinse Sprayers'!R13)</f>
        <v/>
      </c>
      <c r="M56" s="199" t="str">
        <f>IF(B56="", "", 'Pre Rinse Sprayers'!P13)</f>
        <v/>
      </c>
      <c r="N56" s="199" t="str">
        <f t="shared" si="1"/>
        <v/>
      </c>
      <c r="O56" s="199" t="str">
        <f>IF(C56="", "", 'Pre Rinse Sprayers'!Q13)</f>
        <v/>
      </c>
      <c r="P56" s="99" t="str">
        <f t="shared" si="5"/>
        <v/>
      </c>
      <c r="Q56" s="10" t="str">
        <f>IF(B56="", "", 'Pre Rinse Sprayers'!I13)</f>
        <v/>
      </c>
      <c r="R56" s="10" t="str">
        <f>IF(B56="", "", 'Pre Rinse Sprayers'!E13)</f>
        <v/>
      </c>
      <c r="S56" s="10" t="str">
        <f>IF(B56="", "", 'Pre Rinse Sprayers'!F13)</f>
        <v/>
      </c>
      <c r="AB56" s="99"/>
      <c r="AC56" s="99"/>
      <c r="AD56" s="99"/>
      <c r="AI56" s="99"/>
      <c r="AJ56" s="99"/>
      <c r="AL56" s="10" t="str">
        <f>IF(B56="", "", 'Pre Rinse Sprayers'!G13)</f>
        <v/>
      </c>
    </row>
    <row r="57" spans="1:53">
      <c r="A57" s="10" t="str">
        <f>IF(B57="", "", 'Project Summary'!S89)</f>
        <v/>
      </c>
      <c r="B57" s="10" t="str">
        <f>IF(OR('Pre Rinse Sprayers'!R14="", 'Pre Rinse Sprayers'!Q14&lt;0),"", 'Project Summary'!$L$140)</f>
        <v/>
      </c>
      <c r="C57" s="10" t="str">
        <f>IF(B57="", "", 'Project Summary'!$C$10)</f>
        <v/>
      </c>
      <c r="D57" s="10" t="str">
        <f>IF(B57="", "", CONCATENATE('Project Summary'!$C$7, " - ", 'Project Summary'!$C$10))</f>
        <v/>
      </c>
      <c r="E57" s="10" t="str">
        <f t="shared" si="0"/>
        <v/>
      </c>
      <c r="F57" s="10" t="str">
        <f>IF(B57="", "", 'Project Summary'!$C$11)</f>
        <v/>
      </c>
      <c r="G57" s="10" t="str">
        <f>IF(B57="","",VLOOKUP(B57,'Project Summary'!$L$128:$M$147, 2, FALSE))</f>
        <v/>
      </c>
      <c r="H57" s="10" t="str">
        <f>IF(B57="", "",'Project Summary'!Q102)</f>
        <v/>
      </c>
      <c r="I57" s="99" t="str">
        <f>IF(B57="", "", Instructions!$M$2)</f>
        <v/>
      </c>
      <c r="J57" s="10" t="str">
        <f>IF(B57="", "", 'Pre Rinse Sprayers'!D14)</f>
        <v/>
      </c>
      <c r="K57" s="10" t="str">
        <f>IF(B57="", "", 'Pre Rinse Sprayers'!H14)</f>
        <v/>
      </c>
      <c r="L57" s="99" t="str">
        <f>IF(B57="", "", 'Pre Rinse Sprayers'!R14)</f>
        <v/>
      </c>
      <c r="M57" s="199" t="str">
        <f>IF(B57="", "", 'Pre Rinse Sprayers'!P14)</f>
        <v/>
      </c>
      <c r="N57" s="199" t="str">
        <f t="shared" si="1"/>
        <v/>
      </c>
      <c r="O57" s="199" t="str">
        <f>IF(C57="", "", 'Pre Rinse Sprayers'!Q14)</f>
        <v/>
      </c>
      <c r="P57" s="99" t="str">
        <f t="shared" si="5"/>
        <v/>
      </c>
      <c r="Q57" s="10" t="str">
        <f>IF(B57="", "", 'Pre Rinse Sprayers'!I14)</f>
        <v/>
      </c>
      <c r="R57" s="10" t="str">
        <f>IF(B57="", "", 'Pre Rinse Sprayers'!E14)</f>
        <v/>
      </c>
      <c r="S57" s="10" t="str">
        <f>IF(B57="", "", 'Pre Rinse Sprayers'!F14)</f>
        <v/>
      </c>
      <c r="AB57" s="99"/>
      <c r="AC57" s="99"/>
      <c r="AD57" s="99"/>
      <c r="AI57" s="99"/>
      <c r="AJ57" s="99"/>
      <c r="AL57" s="10" t="str">
        <f>IF(B57="", "", 'Pre Rinse Sprayers'!G14)</f>
        <v/>
      </c>
    </row>
    <row r="58" spans="1:53">
      <c r="A58" s="10" t="e">
        <f>IF(B58="", "", 'Project Summary'!S90)</f>
        <v>#REF!</v>
      </c>
      <c r="B58" s="10" t="e">
        <f>IF(OR(#REF!="",#REF!= "DNQ",#REF!= "Custom Project",#REF!&lt; 0), "", 'Project Summary'!$L$141)</f>
        <v>#REF!</v>
      </c>
      <c r="C58" s="10" t="e">
        <f>IF(B58="", "", 'Project Summary'!$C$10)</f>
        <v>#REF!</v>
      </c>
      <c r="D58" s="10" t="e">
        <f>IF(B58="", "", CONCATENATE('Project Summary'!$C$7, " - ", 'Project Summary'!$C$10))</f>
        <v>#REF!</v>
      </c>
      <c r="E58" s="10" t="e">
        <f t="shared" si="0"/>
        <v>#REF!</v>
      </c>
      <c r="F58" s="10" t="e">
        <f>IF(B58="", "", 'Project Summary'!$C$11)</f>
        <v>#REF!</v>
      </c>
      <c r="G58" s="10" t="e">
        <f>IF(B58="","",VLOOKUP(B58,'Project Summary'!$L$128:$M$147, 2, FALSE))</f>
        <v>#REF!</v>
      </c>
      <c r="H58" s="10" t="e">
        <f>IF(B58="", "",'Project Summary'!Q105)</f>
        <v>#REF!</v>
      </c>
      <c r="I58" s="99" t="e">
        <f>IF(B58="", "", Instructions!$M$2)</f>
        <v>#REF!</v>
      </c>
      <c r="J58" s="10" t="e">
        <f xml:space="preserve"> IF(B58="", "",#REF!)</f>
        <v>#REF!</v>
      </c>
      <c r="K58" s="10" t="e">
        <f xml:space="preserve"> IF(B58="", "",#REF!)</f>
        <v>#REF!</v>
      </c>
      <c r="L58" s="99" t="e">
        <f xml:space="preserve"> IF(B58="", "",#REF!)</f>
        <v>#REF!</v>
      </c>
      <c r="M58" s="199" t="e">
        <f xml:space="preserve"> IF(B58="", "",#REF!)</f>
        <v>#REF!</v>
      </c>
      <c r="N58" s="199" t="e">
        <f t="shared" si="1"/>
        <v>#REF!</v>
      </c>
      <c r="O58" s="199" t="e">
        <f xml:space="preserve"> IF(C58="", "",#REF!)</f>
        <v>#REF!</v>
      </c>
      <c r="P58" s="99" t="e">
        <f>IF(B58="", "",1)</f>
        <v>#REF!</v>
      </c>
      <c r="Q58" s="10" t="e">
        <f xml:space="preserve"> IF(B58="", "",#REF!)</f>
        <v>#REF!</v>
      </c>
      <c r="R58" s="10" t="e">
        <f xml:space="preserve"> IF(B58="", "",#REF!)</f>
        <v>#REF!</v>
      </c>
      <c r="S58" s="10" t="e">
        <f>IF(B58="", "", 'Pre Rinse Sprayers'!F7)</f>
        <v>#REF!</v>
      </c>
      <c r="T58" s="10" t="e">
        <f xml:space="preserve"> IF(B58="", "",#REF!)</f>
        <v>#REF!</v>
      </c>
      <c r="AB58" s="99"/>
      <c r="AC58" s="99"/>
      <c r="AD58" s="99"/>
      <c r="AI58" s="99" t="e">
        <f xml:space="preserve"> IF(B58="", "",#REF!)</f>
        <v>#REF!</v>
      </c>
      <c r="AJ58" s="99"/>
      <c r="AM58" s="10" t="e">
        <f xml:space="preserve"> IF(B58="", "",#REF!)</f>
        <v>#REF!</v>
      </c>
      <c r="AN58" s="99" t="e">
        <f xml:space="preserve"> IF(B58="", "",#REF!)</f>
        <v>#REF!</v>
      </c>
      <c r="AO58" s="10" t="e">
        <f xml:space="preserve"> IF(B58="", "",#REF!)</f>
        <v>#REF!</v>
      </c>
      <c r="AP58" s="10" t="e">
        <f xml:space="preserve"> IF(B58="", "",#REF!)</f>
        <v>#REF!</v>
      </c>
      <c r="AQ58" s="10" t="e">
        <f xml:space="preserve"> IF(B58="", "",#REF!)</f>
        <v>#REF!</v>
      </c>
      <c r="AR58" s="10" t="e">
        <f xml:space="preserve"> IF(B58="", "",#REF!)</f>
        <v>#REF!</v>
      </c>
      <c r="AS58" s="10" t="e">
        <f xml:space="preserve"> IF(B58="", "",#REF!)</f>
        <v>#REF!</v>
      </c>
      <c r="AT58" s="10" t="e">
        <f xml:space="preserve"> IF(B58="", "",#REF!)</f>
        <v>#REF!</v>
      </c>
      <c r="AU58" s="10" t="e">
        <f xml:space="preserve"> IF(B58="", "",#REF!)</f>
        <v>#REF!</v>
      </c>
      <c r="AV58" s="10" t="e">
        <f xml:space="preserve"> IF(B58="", "",#REF!)</f>
        <v>#REF!</v>
      </c>
      <c r="AW58" s="10" t="e">
        <f xml:space="preserve"> IF(B58="", "",#REF!)</f>
        <v>#REF!</v>
      </c>
      <c r="AX58" s="10" t="e">
        <f xml:space="preserve"> IF(B58="", "",#REF!)</f>
        <v>#REF!</v>
      </c>
      <c r="AY58" s="10" t="e">
        <f xml:space="preserve"> IF(B58="", "",#REF!)</f>
        <v>#REF!</v>
      </c>
      <c r="AZ58" s="10" t="e">
        <f xml:space="preserve"> IF(B58="", "",#REF!)</f>
        <v>#REF!</v>
      </c>
      <c r="BA58" s="10" t="e">
        <f xml:space="preserve"> IF(B58="", "",#REF!)</f>
        <v>#REF!</v>
      </c>
    </row>
    <row r="59" spans="1:53">
      <c r="A59" s="10" t="e">
        <f>IF(B59="", "", 'Project Summary'!S91)</f>
        <v>#REF!</v>
      </c>
      <c r="B59" s="10" t="e">
        <f>IF(OR(#REF!="",#REF!= "DNQ",#REF!= "Custom Project",#REF!&lt; 0), "", 'Project Summary'!$L$141)</f>
        <v>#REF!</v>
      </c>
      <c r="C59" s="10" t="e">
        <f>IF(B59="", "", 'Project Summary'!$C$10)</f>
        <v>#REF!</v>
      </c>
      <c r="D59" s="10" t="e">
        <f>IF(B59="", "", CONCATENATE('Project Summary'!$C$7, " - ", 'Project Summary'!$C$10))</f>
        <v>#REF!</v>
      </c>
      <c r="E59" s="10" t="e">
        <f t="shared" si="0"/>
        <v>#REF!</v>
      </c>
      <c r="F59" s="10" t="e">
        <f>IF(B59="", "", 'Project Summary'!$C$11)</f>
        <v>#REF!</v>
      </c>
      <c r="G59" s="10" t="e">
        <f>IF(B59="","",VLOOKUP(B59,'Project Summary'!$L$128:$M$147, 2, FALSE))</f>
        <v>#REF!</v>
      </c>
      <c r="H59" s="10" t="e">
        <f>IF(B59="", "",'Project Summary'!Q106)</f>
        <v>#REF!</v>
      </c>
      <c r="I59" s="99" t="e">
        <f>IF(B59="", "", Instructions!$M$2)</f>
        <v>#REF!</v>
      </c>
      <c r="J59" s="10" t="e">
        <f xml:space="preserve"> IF(B59="", "",#REF!)</f>
        <v>#REF!</v>
      </c>
      <c r="K59" s="10" t="e">
        <f xml:space="preserve"> IF(B59="", "",#REF!)</f>
        <v>#REF!</v>
      </c>
      <c r="L59" s="99" t="e">
        <f xml:space="preserve"> IF(B59="", "",#REF!)</f>
        <v>#REF!</v>
      </c>
      <c r="M59" s="199" t="e">
        <f xml:space="preserve"> IF(B59="", "",#REF!)</f>
        <v>#REF!</v>
      </c>
      <c r="N59" s="199" t="e">
        <f t="shared" si="1"/>
        <v>#REF!</v>
      </c>
      <c r="O59" s="199" t="e">
        <f xml:space="preserve"> IF(C59="", "",#REF!)</f>
        <v>#REF!</v>
      </c>
      <c r="P59" s="99" t="e">
        <f t="shared" ref="P59:P73" si="6">IF(B59="", "",1)</f>
        <v>#REF!</v>
      </c>
      <c r="Q59" s="10" t="e">
        <f xml:space="preserve"> IF(B59="", "",#REF!)</f>
        <v>#REF!</v>
      </c>
      <c r="R59" s="10" t="e">
        <f xml:space="preserve"> IF(B59="", "",#REF!)</f>
        <v>#REF!</v>
      </c>
      <c r="S59" s="10" t="e">
        <f>IF(B59="", "", 'Pre Rinse Sprayers'!F8)</f>
        <v>#REF!</v>
      </c>
      <c r="T59" s="10" t="e">
        <f xml:space="preserve"> IF(B59="", "",#REF!)</f>
        <v>#REF!</v>
      </c>
      <c r="AB59" s="99"/>
      <c r="AC59" s="99"/>
      <c r="AD59" s="99"/>
      <c r="AI59" s="99" t="e">
        <f xml:space="preserve"> IF(B59="", "",#REF!)</f>
        <v>#REF!</v>
      </c>
      <c r="AJ59" s="99"/>
      <c r="AM59" s="10" t="e">
        <f xml:space="preserve"> IF(B59="", "",#REF!)</f>
        <v>#REF!</v>
      </c>
      <c r="AN59" s="99" t="e">
        <f xml:space="preserve"> IF(B59="", "",#REF!)</f>
        <v>#REF!</v>
      </c>
      <c r="AO59" s="10" t="e">
        <f xml:space="preserve"> IF(B59="", "",#REF!)</f>
        <v>#REF!</v>
      </c>
      <c r="AP59" s="10" t="e">
        <f xml:space="preserve"> IF(B59="", "",#REF!)</f>
        <v>#REF!</v>
      </c>
      <c r="AQ59" s="10" t="e">
        <f xml:space="preserve"> IF(B59="", "",#REF!)</f>
        <v>#REF!</v>
      </c>
      <c r="AR59" s="10" t="e">
        <f xml:space="preserve"> IF(B59="", "",#REF!)</f>
        <v>#REF!</v>
      </c>
      <c r="AS59" s="10" t="e">
        <f xml:space="preserve"> IF(B59="", "",#REF!)</f>
        <v>#REF!</v>
      </c>
      <c r="AT59" s="10" t="e">
        <f xml:space="preserve"> IF(B59="", "",#REF!)</f>
        <v>#REF!</v>
      </c>
      <c r="AU59" s="10" t="e">
        <f xml:space="preserve"> IF(B59="", "",#REF!)</f>
        <v>#REF!</v>
      </c>
      <c r="AV59" s="10" t="e">
        <f xml:space="preserve"> IF(B59="", "",#REF!)</f>
        <v>#REF!</v>
      </c>
      <c r="AW59" s="10" t="e">
        <f xml:space="preserve"> IF(B59="", "",#REF!)</f>
        <v>#REF!</v>
      </c>
      <c r="AX59" s="10" t="e">
        <f xml:space="preserve"> IF(B59="", "",#REF!)</f>
        <v>#REF!</v>
      </c>
      <c r="AY59" s="10" t="e">
        <f xml:space="preserve"> IF(B59="", "",#REF!)</f>
        <v>#REF!</v>
      </c>
      <c r="AZ59" s="10" t="e">
        <f xml:space="preserve"> IF(B59="", "",#REF!)</f>
        <v>#REF!</v>
      </c>
      <c r="BA59" s="10" t="e">
        <f xml:space="preserve"> IF(B59="", "",#REF!)</f>
        <v>#REF!</v>
      </c>
    </row>
    <row r="60" spans="1:53">
      <c r="A60" s="10" t="e">
        <f>IF(B60="", "", 'Project Summary'!S92)</f>
        <v>#REF!</v>
      </c>
      <c r="B60" s="10" t="e">
        <f>IF(OR(#REF!="",#REF!= "DNQ",#REF!= "Custom Project",#REF!&lt; 0), "", 'Project Summary'!$L$141)</f>
        <v>#REF!</v>
      </c>
      <c r="C60" s="10" t="e">
        <f>IF(B60="", "", 'Project Summary'!$C$10)</f>
        <v>#REF!</v>
      </c>
      <c r="D60" s="10" t="e">
        <f>IF(B60="", "", CONCATENATE('Project Summary'!$C$7, " - ", 'Project Summary'!$C$10))</f>
        <v>#REF!</v>
      </c>
      <c r="E60" s="10" t="e">
        <f t="shared" si="0"/>
        <v>#REF!</v>
      </c>
      <c r="F60" s="10" t="e">
        <f>IF(B60="", "", 'Project Summary'!$C$11)</f>
        <v>#REF!</v>
      </c>
      <c r="G60" s="10" t="e">
        <f>IF(B60="","",VLOOKUP(B60,'Project Summary'!$L$128:$M$147, 2, FALSE))</f>
        <v>#REF!</v>
      </c>
      <c r="H60" s="10" t="e">
        <f>IF(B60="", "",'Project Summary'!Q107)</f>
        <v>#REF!</v>
      </c>
      <c r="I60" s="99" t="e">
        <f>IF(B60="", "", Instructions!$M$2)</f>
        <v>#REF!</v>
      </c>
      <c r="J60" s="10" t="e">
        <f xml:space="preserve"> IF(B60="", "",#REF!)</f>
        <v>#REF!</v>
      </c>
      <c r="K60" s="10" t="e">
        <f xml:space="preserve"> IF(B60="", "",#REF!)</f>
        <v>#REF!</v>
      </c>
      <c r="L60" s="99" t="e">
        <f xml:space="preserve"> IF(B60="", "",#REF!)</f>
        <v>#REF!</v>
      </c>
      <c r="M60" s="199" t="e">
        <f xml:space="preserve"> IF(B60="", "",#REF!)</f>
        <v>#REF!</v>
      </c>
      <c r="N60" s="199" t="e">
        <f t="shared" si="1"/>
        <v>#REF!</v>
      </c>
      <c r="O60" s="199" t="e">
        <f xml:space="preserve"> IF(C60="", "",#REF!)</f>
        <v>#REF!</v>
      </c>
      <c r="P60" s="99" t="e">
        <f t="shared" si="6"/>
        <v>#REF!</v>
      </c>
      <c r="Q60" s="10" t="e">
        <f xml:space="preserve"> IF(B60="", "",#REF!)</f>
        <v>#REF!</v>
      </c>
      <c r="R60" s="10" t="e">
        <f xml:space="preserve"> IF(B60="", "",#REF!)</f>
        <v>#REF!</v>
      </c>
      <c r="S60" s="10" t="e">
        <f>IF(B60="", "", 'Pre Rinse Sprayers'!F9)</f>
        <v>#REF!</v>
      </c>
      <c r="T60" s="10" t="e">
        <f xml:space="preserve"> IF(B60="", "",#REF!)</f>
        <v>#REF!</v>
      </c>
      <c r="AB60" s="99"/>
      <c r="AC60" s="99"/>
      <c r="AD60" s="99"/>
      <c r="AI60" s="99" t="e">
        <f xml:space="preserve"> IF(B60="", "",#REF!)</f>
        <v>#REF!</v>
      </c>
      <c r="AJ60" s="99"/>
      <c r="AM60" s="10" t="e">
        <f xml:space="preserve"> IF(B60="", "",#REF!)</f>
        <v>#REF!</v>
      </c>
      <c r="AN60" s="99" t="e">
        <f xml:space="preserve"> IF(B60="", "",#REF!)</f>
        <v>#REF!</v>
      </c>
      <c r="AO60" s="10" t="e">
        <f xml:space="preserve"> IF(B60="", "",#REF!)</f>
        <v>#REF!</v>
      </c>
      <c r="AP60" s="10" t="e">
        <f xml:space="preserve"> IF(B60="", "",#REF!)</f>
        <v>#REF!</v>
      </c>
      <c r="AQ60" s="10" t="e">
        <f xml:space="preserve"> IF(B60="", "",#REF!)</f>
        <v>#REF!</v>
      </c>
      <c r="AR60" s="10" t="e">
        <f xml:space="preserve"> IF(B60="", "",#REF!)</f>
        <v>#REF!</v>
      </c>
      <c r="AS60" s="10" t="e">
        <f xml:space="preserve"> IF(B60="", "",#REF!)</f>
        <v>#REF!</v>
      </c>
      <c r="AT60" s="10" t="e">
        <f xml:space="preserve"> IF(B60="", "",#REF!)</f>
        <v>#REF!</v>
      </c>
      <c r="AU60" s="10" t="e">
        <f xml:space="preserve"> IF(B60="", "",#REF!)</f>
        <v>#REF!</v>
      </c>
      <c r="AV60" s="10" t="e">
        <f xml:space="preserve"> IF(B60="", "",#REF!)</f>
        <v>#REF!</v>
      </c>
      <c r="AW60" s="10" t="e">
        <f xml:space="preserve"> IF(B60="", "",#REF!)</f>
        <v>#REF!</v>
      </c>
      <c r="AX60" s="10" t="e">
        <f xml:space="preserve"> IF(B60="", "",#REF!)</f>
        <v>#REF!</v>
      </c>
      <c r="AY60" s="10" t="e">
        <f xml:space="preserve"> IF(B60="", "",#REF!)</f>
        <v>#REF!</v>
      </c>
      <c r="AZ60" s="10" t="e">
        <f xml:space="preserve"> IF(B60="", "",#REF!)</f>
        <v>#REF!</v>
      </c>
      <c r="BA60" s="10" t="e">
        <f xml:space="preserve"> IF(B60="", "",#REF!)</f>
        <v>#REF!</v>
      </c>
    </row>
    <row r="61" spans="1:53">
      <c r="A61" s="10" t="e">
        <f>IF(B61="", "", 'Project Summary'!S93)</f>
        <v>#REF!</v>
      </c>
      <c r="B61" s="10" t="e">
        <f>IF(OR(#REF!="",#REF!= "DNQ",#REF!= "Custom Project",#REF!&lt; 0), "", 'Project Summary'!$L$141)</f>
        <v>#REF!</v>
      </c>
      <c r="C61" s="10" t="e">
        <f>IF(B61="", "", 'Project Summary'!$C$10)</f>
        <v>#REF!</v>
      </c>
      <c r="D61" s="10" t="e">
        <f>IF(B61="", "", CONCATENATE('Project Summary'!$C$7, " - ", 'Project Summary'!$C$10))</f>
        <v>#REF!</v>
      </c>
      <c r="E61" s="10" t="e">
        <f t="shared" si="0"/>
        <v>#REF!</v>
      </c>
      <c r="F61" s="10" t="e">
        <f>IF(B61="", "", 'Project Summary'!$C$11)</f>
        <v>#REF!</v>
      </c>
      <c r="G61" s="10" t="e">
        <f>IF(B61="","",VLOOKUP(B61,'Project Summary'!$L$128:$M$147, 2, FALSE))</f>
        <v>#REF!</v>
      </c>
      <c r="H61" s="10" t="e">
        <f>IF(B61="", "",'Project Summary'!Q108)</f>
        <v>#REF!</v>
      </c>
      <c r="I61" s="99" t="e">
        <f>IF(B61="", "", Instructions!$M$2)</f>
        <v>#REF!</v>
      </c>
      <c r="J61" s="10" t="e">
        <f xml:space="preserve"> IF(B61="", "",#REF!)</f>
        <v>#REF!</v>
      </c>
      <c r="K61" s="10" t="e">
        <f xml:space="preserve"> IF(B61="", "",#REF!)</f>
        <v>#REF!</v>
      </c>
      <c r="L61" s="99" t="e">
        <f xml:space="preserve"> IF(B61="", "",#REF!)</f>
        <v>#REF!</v>
      </c>
      <c r="M61" s="199" t="e">
        <f xml:space="preserve"> IF(B61="", "",#REF!)</f>
        <v>#REF!</v>
      </c>
      <c r="N61" s="199" t="e">
        <f t="shared" si="1"/>
        <v>#REF!</v>
      </c>
      <c r="O61" s="199" t="e">
        <f xml:space="preserve"> IF(C61="", "",#REF!)</f>
        <v>#REF!</v>
      </c>
      <c r="P61" s="99" t="e">
        <f t="shared" si="6"/>
        <v>#REF!</v>
      </c>
      <c r="Q61" s="10" t="e">
        <f xml:space="preserve"> IF(B61="", "",#REF!)</f>
        <v>#REF!</v>
      </c>
      <c r="R61" s="10" t="e">
        <f xml:space="preserve"> IF(B61="", "",#REF!)</f>
        <v>#REF!</v>
      </c>
      <c r="S61" s="10" t="e">
        <f>IF(B61="", "", 'Pre Rinse Sprayers'!F10)</f>
        <v>#REF!</v>
      </c>
      <c r="T61" s="10" t="e">
        <f xml:space="preserve"> IF(B61="", "",#REF!)</f>
        <v>#REF!</v>
      </c>
      <c r="AB61" s="99"/>
      <c r="AC61" s="99"/>
      <c r="AD61" s="99"/>
      <c r="AI61" s="99" t="e">
        <f xml:space="preserve"> IF(B61="", "",#REF!)</f>
        <v>#REF!</v>
      </c>
      <c r="AJ61" s="99"/>
      <c r="AM61" s="10" t="e">
        <f xml:space="preserve"> IF(B61="", "",#REF!)</f>
        <v>#REF!</v>
      </c>
      <c r="AN61" s="99" t="e">
        <f xml:space="preserve"> IF(B61="", "",#REF!)</f>
        <v>#REF!</v>
      </c>
      <c r="AO61" s="10" t="e">
        <f xml:space="preserve"> IF(B61="", "",#REF!)</f>
        <v>#REF!</v>
      </c>
      <c r="AP61" s="10" t="e">
        <f xml:space="preserve"> IF(B61="", "",#REF!)</f>
        <v>#REF!</v>
      </c>
      <c r="AQ61" s="10" t="e">
        <f xml:space="preserve"> IF(B61="", "",#REF!)</f>
        <v>#REF!</v>
      </c>
      <c r="AR61" s="10" t="e">
        <f xml:space="preserve"> IF(B61="", "",#REF!)</f>
        <v>#REF!</v>
      </c>
      <c r="AS61" s="10" t="e">
        <f xml:space="preserve"> IF(B61="", "",#REF!)</f>
        <v>#REF!</v>
      </c>
      <c r="AT61" s="10" t="e">
        <f xml:space="preserve"> IF(B61="", "",#REF!)</f>
        <v>#REF!</v>
      </c>
      <c r="AU61" s="10" t="e">
        <f xml:space="preserve"> IF(B61="", "",#REF!)</f>
        <v>#REF!</v>
      </c>
      <c r="AV61" s="10" t="e">
        <f xml:space="preserve"> IF(B61="", "",#REF!)</f>
        <v>#REF!</v>
      </c>
      <c r="AW61" s="10" t="e">
        <f xml:space="preserve"> IF(B61="", "",#REF!)</f>
        <v>#REF!</v>
      </c>
      <c r="AX61" s="10" t="e">
        <f xml:space="preserve"> IF(B61="", "",#REF!)</f>
        <v>#REF!</v>
      </c>
      <c r="AY61" s="10" t="e">
        <f xml:space="preserve"> IF(B61="", "",#REF!)</f>
        <v>#REF!</v>
      </c>
      <c r="AZ61" s="10" t="e">
        <f xml:space="preserve"> IF(B61="", "",#REF!)</f>
        <v>#REF!</v>
      </c>
      <c r="BA61" s="10" t="e">
        <f xml:space="preserve"> IF(B61="", "",#REF!)</f>
        <v>#REF!</v>
      </c>
    </row>
    <row r="62" spans="1:53">
      <c r="A62" s="10" t="e">
        <f>IF(B62="", "", 'Project Summary'!S94)</f>
        <v>#REF!</v>
      </c>
      <c r="B62" s="10" t="e">
        <f>IF(OR(#REF!="",#REF!= "DNQ",#REF!= "Custom Project",#REF!&lt; 0), "", 'Project Summary'!$L$141)</f>
        <v>#REF!</v>
      </c>
      <c r="C62" s="10" t="e">
        <f>IF(B62="", "", 'Project Summary'!$C$10)</f>
        <v>#REF!</v>
      </c>
      <c r="D62" s="10" t="e">
        <f>IF(B62="", "", CONCATENATE('Project Summary'!$C$7, " - ", 'Project Summary'!$C$10))</f>
        <v>#REF!</v>
      </c>
      <c r="E62" s="10" t="e">
        <f t="shared" si="0"/>
        <v>#REF!</v>
      </c>
      <c r="F62" s="10" t="e">
        <f>IF(B62="", "", 'Project Summary'!$C$11)</f>
        <v>#REF!</v>
      </c>
      <c r="G62" s="10" t="e">
        <f>IF(B62="","",VLOOKUP(B62,'Project Summary'!$L$128:$M$147, 2, FALSE))</f>
        <v>#REF!</v>
      </c>
      <c r="H62" s="10" t="e">
        <f>IF(B62="", "",'Project Summary'!Q109)</f>
        <v>#REF!</v>
      </c>
      <c r="I62" s="99" t="e">
        <f>IF(B62="", "", Instructions!$M$2)</f>
        <v>#REF!</v>
      </c>
      <c r="J62" s="10" t="e">
        <f xml:space="preserve"> IF(B62="", "",#REF!)</f>
        <v>#REF!</v>
      </c>
      <c r="K62" s="10" t="e">
        <f xml:space="preserve"> IF(B62="", "",#REF!)</f>
        <v>#REF!</v>
      </c>
      <c r="L62" s="99" t="e">
        <f xml:space="preserve"> IF(B62="", "",#REF!)</f>
        <v>#REF!</v>
      </c>
      <c r="M62" s="199" t="e">
        <f xml:space="preserve"> IF(B62="", "",#REF!)</f>
        <v>#REF!</v>
      </c>
      <c r="N62" s="199" t="e">
        <f t="shared" si="1"/>
        <v>#REF!</v>
      </c>
      <c r="O62" s="199" t="e">
        <f xml:space="preserve"> IF(C62="", "",#REF!)</f>
        <v>#REF!</v>
      </c>
      <c r="P62" s="99" t="e">
        <f t="shared" si="6"/>
        <v>#REF!</v>
      </c>
      <c r="Q62" s="10" t="e">
        <f xml:space="preserve"> IF(B62="", "",#REF!)</f>
        <v>#REF!</v>
      </c>
      <c r="R62" s="10" t="e">
        <f xml:space="preserve"> IF(B62="", "",#REF!)</f>
        <v>#REF!</v>
      </c>
      <c r="S62" s="10" t="e">
        <f>IF(B62="", "", 'Pre Rinse Sprayers'!F11)</f>
        <v>#REF!</v>
      </c>
      <c r="T62" s="10" t="e">
        <f xml:space="preserve"> IF(B62="", "",#REF!)</f>
        <v>#REF!</v>
      </c>
      <c r="AB62" s="99"/>
      <c r="AC62" s="99"/>
      <c r="AD62" s="99"/>
      <c r="AI62" s="99" t="e">
        <f xml:space="preserve"> IF(B62="", "",#REF!)</f>
        <v>#REF!</v>
      </c>
      <c r="AJ62" s="99"/>
      <c r="AM62" s="10" t="e">
        <f xml:space="preserve"> IF(B62="", "",#REF!)</f>
        <v>#REF!</v>
      </c>
      <c r="AN62" s="99" t="e">
        <f xml:space="preserve"> IF(B62="", "",#REF!)</f>
        <v>#REF!</v>
      </c>
      <c r="AO62" s="10" t="e">
        <f xml:space="preserve"> IF(B62="", "",#REF!)</f>
        <v>#REF!</v>
      </c>
      <c r="AP62" s="10" t="e">
        <f xml:space="preserve"> IF(B62="", "",#REF!)</f>
        <v>#REF!</v>
      </c>
      <c r="AQ62" s="10" t="e">
        <f xml:space="preserve"> IF(B62="", "",#REF!)</f>
        <v>#REF!</v>
      </c>
      <c r="AR62" s="10" t="e">
        <f xml:space="preserve"> IF(B62="", "",#REF!)</f>
        <v>#REF!</v>
      </c>
      <c r="AS62" s="10" t="e">
        <f xml:space="preserve"> IF(B62="", "",#REF!)</f>
        <v>#REF!</v>
      </c>
      <c r="AT62" s="10" t="e">
        <f xml:space="preserve"> IF(B62="", "",#REF!)</f>
        <v>#REF!</v>
      </c>
      <c r="AU62" s="10" t="e">
        <f xml:space="preserve"> IF(B62="", "",#REF!)</f>
        <v>#REF!</v>
      </c>
      <c r="AV62" s="10" t="e">
        <f xml:space="preserve"> IF(B62="", "",#REF!)</f>
        <v>#REF!</v>
      </c>
      <c r="AW62" s="10" t="e">
        <f xml:space="preserve"> IF(B62="", "",#REF!)</f>
        <v>#REF!</v>
      </c>
      <c r="AX62" s="10" t="e">
        <f xml:space="preserve"> IF(B62="", "",#REF!)</f>
        <v>#REF!</v>
      </c>
      <c r="AY62" s="10" t="e">
        <f xml:space="preserve"> IF(B62="", "",#REF!)</f>
        <v>#REF!</v>
      </c>
      <c r="AZ62" s="10" t="e">
        <f xml:space="preserve"> IF(B62="", "",#REF!)</f>
        <v>#REF!</v>
      </c>
      <c r="BA62" s="10" t="e">
        <f xml:space="preserve"> IF(B62="", "",#REF!)</f>
        <v>#REF!</v>
      </c>
    </row>
    <row r="63" spans="1:53">
      <c r="A63" s="10" t="e">
        <f>IF(B63="", "", 'Project Summary'!S95)</f>
        <v>#REF!</v>
      </c>
      <c r="B63" s="10" t="e">
        <f>IF(OR(#REF!="",#REF!= "DNQ",#REF!= "Custom Project",#REF!&lt; 0), "", 'Project Summary'!$L$141)</f>
        <v>#REF!</v>
      </c>
      <c r="C63" s="10" t="e">
        <f>IF(B63="", "", 'Project Summary'!$C$10)</f>
        <v>#REF!</v>
      </c>
      <c r="D63" s="10" t="e">
        <f>IF(B63="", "", CONCATENATE('Project Summary'!$C$7, " - ", 'Project Summary'!$C$10))</f>
        <v>#REF!</v>
      </c>
      <c r="E63" s="10" t="e">
        <f t="shared" si="0"/>
        <v>#REF!</v>
      </c>
      <c r="F63" s="10" t="e">
        <f>IF(B63="", "", 'Project Summary'!$C$11)</f>
        <v>#REF!</v>
      </c>
      <c r="G63" s="10" t="e">
        <f>IF(B63="","",VLOOKUP(B63,'Project Summary'!$L$128:$M$147, 2, FALSE))</f>
        <v>#REF!</v>
      </c>
      <c r="H63" s="10" t="e">
        <f>IF(B63="", "",'Project Summary'!Q110)</f>
        <v>#REF!</v>
      </c>
      <c r="I63" s="99" t="e">
        <f>IF(B63="", "", Instructions!$M$2)</f>
        <v>#REF!</v>
      </c>
      <c r="J63" s="10" t="e">
        <f xml:space="preserve"> IF(B63="", "",#REF!)</f>
        <v>#REF!</v>
      </c>
      <c r="K63" s="10" t="e">
        <f xml:space="preserve"> IF(B63="", "",#REF!)</f>
        <v>#REF!</v>
      </c>
      <c r="L63" s="99" t="e">
        <f xml:space="preserve"> IF(B63="", "",#REF!)</f>
        <v>#REF!</v>
      </c>
      <c r="M63" s="199" t="e">
        <f xml:space="preserve"> IF(B63="", "",#REF!)</f>
        <v>#REF!</v>
      </c>
      <c r="N63" s="199" t="e">
        <f t="shared" si="1"/>
        <v>#REF!</v>
      </c>
      <c r="O63" s="199" t="e">
        <f xml:space="preserve"> IF(C63="", "",#REF!)</f>
        <v>#REF!</v>
      </c>
      <c r="P63" s="99" t="e">
        <f t="shared" si="6"/>
        <v>#REF!</v>
      </c>
      <c r="Q63" s="10" t="e">
        <f xml:space="preserve"> IF(B63="", "",#REF!)</f>
        <v>#REF!</v>
      </c>
      <c r="R63" s="10" t="e">
        <f xml:space="preserve"> IF(B63="", "",#REF!)</f>
        <v>#REF!</v>
      </c>
      <c r="S63" s="10" t="e">
        <f>IF(B63="", "", 'Pre Rinse Sprayers'!F12)</f>
        <v>#REF!</v>
      </c>
      <c r="T63" s="10" t="e">
        <f xml:space="preserve"> IF(B63="", "",#REF!)</f>
        <v>#REF!</v>
      </c>
      <c r="AB63" s="99"/>
      <c r="AC63" s="99"/>
      <c r="AD63" s="99"/>
      <c r="AI63" s="99" t="e">
        <f xml:space="preserve"> IF(B63="", "",#REF!)</f>
        <v>#REF!</v>
      </c>
      <c r="AJ63" s="99"/>
      <c r="AM63" s="10" t="e">
        <f xml:space="preserve"> IF(B63="", "",#REF!)</f>
        <v>#REF!</v>
      </c>
      <c r="AN63" s="99" t="e">
        <f xml:space="preserve"> IF(B63="", "",#REF!)</f>
        <v>#REF!</v>
      </c>
      <c r="AO63" s="10" t="e">
        <f xml:space="preserve"> IF(B63="", "",#REF!)</f>
        <v>#REF!</v>
      </c>
      <c r="AP63" s="10" t="e">
        <f xml:space="preserve"> IF(B63="", "",#REF!)</f>
        <v>#REF!</v>
      </c>
      <c r="AQ63" s="10" t="e">
        <f xml:space="preserve"> IF(B63="", "",#REF!)</f>
        <v>#REF!</v>
      </c>
      <c r="AR63" s="10" t="e">
        <f xml:space="preserve"> IF(B63="", "",#REF!)</f>
        <v>#REF!</v>
      </c>
      <c r="AS63" s="10" t="e">
        <f xml:space="preserve"> IF(B63="", "",#REF!)</f>
        <v>#REF!</v>
      </c>
      <c r="AT63" s="10" t="e">
        <f xml:space="preserve"> IF(B63="", "",#REF!)</f>
        <v>#REF!</v>
      </c>
      <c r="AU63" s="10" t="e">
        <f xml:space="preserve"> IF(B63="", "",#REF!)</f>
        <v>#REF!</v>
      </c>
      <c r="AV63" s="10" t="e">
        <f xml:space="preserve"> IF(B63="", "",#REF!)</f>
        <v>#REF!</v>
      </c>
      <c r="AW63" s="10" t="e">
        <f xml:space="preserve"> IF(B63="", "",#REF!)</f>
        <v>#REF!</v>
      </c>
      <c r="AX63" s="10" t="e">
        <f xml:space="preserve"> IF(B63="", "",#REF!)</f>
        <v>#REF!</v>
      </c>
      <c r="AY63" s="10" t="e">
        <f xml:space="preserve"> IF(B63="", "",#REF!)</f>
        <v>#REF!</v>
      </c>
      <c r="AZ63" s="10" t="e">
        <f xml:space="preserve"> IF(B63="", "",#REF!)</f>
        <v>#REF!</v>
      </c>
      <c r="BA63" s="10" t="e">
        <f xml:space="preserve"> IF(B63="", "",#REF!)</f>
        <v>#REF!</v>
      </c>
    </row>
    <row r="64" spans="1:53">
      <c r="A64" s="10" t="e">
        <f>IF(B64="", "", 'Project Summary'!S96)</f>
        <v>#REF!</v>
      </c>
      <c r="B64" s="10" t="e">
        <f>IF(OR(#REF!="",#REF!= "DNQ",#REF!= "Custom Project",#REF!&lt; 0), "", 'Project Summary'!$L$141)</f>
        <v>#REF!</v>
      </c>
      <c r="C64" s="10" t="e">
        <f>IF(B64="", "", 'Project Summary'!$C$10)</f>
        <v>#REF!</v>
      </c>
      <c r="D64" s="10" t="e">
        <f>IF(B64="", "", CONCATENATE('Project Summary'!$C$7, " - ", 'Project Summary'!$C$10))</f>
        <v>#REF!</v>
      </c>
      <c r="E64" s="10" t="e">
        <f t="shared" si="0"/>
        <v>#REF!</v>
      </c>
      <c r="F64" s="10" t="e">
        <f>IF(B64="", "", 'Project Summary'!$C$11)</f>
        <v>#REF!</v>
      </c>
      <c r="G64" s="10" t="e">
        <f>IF(B64="","",VLOOKUP(B64,'Project Summary'!$L$128:$M$147, 2, FALSE))</f>
        <v>#REF!</v>
      </c>
      <c r="H64" s="10" t="e">
        <f>IF(B64="", "",'Project Summary'!Q111)</f>
        <v>#REF!</v>
      </c>
      <c r="I64" s="99" t="e">
        <f>IF(B64="", "", Instructions!$M$2)</f>
        <v>#REF!</v>
      </c>
      <c r="J64" s="10" t="e">
        <f xml:space="preserve"> IF(B64="", "",#REF!)</f>
        <v>#REF!</v>
      </c>
      <c r="K64" s="10" t="e">
        <f xml:space="preserve"> IF(B64="", "",#REF!)</f>
        <v>#REF!</v>
      </c>
      <c r="L64" s="99" t="e">
        <f xml:space="preserve"> IF(B64="", "",#REF!)</f>
        <v>#REF!</v>
      </c>
      <c r="M64" s="199" t="e">
        <f xml:space="preserve"> IF(B64="", "",#REF!)</f>
        <v>#REF!</v>
      </c>
      <c r="N64" s="199" t="e">
        <f t="shared" si="1"/>
        <v>#REF!</v>
      </c>
      <c r="O64" s="199" t="e">
        <f xml:space="preserve"> IF(C64="", "",#REF!)</f>
        <v>#REF!</v>
      </c>
      <c r="P64" s="99" t="e">
        <f t="shared" si="6"/>
        <v>#REF!</v>
      </c>
      <c r="Q64" s="10" t="e">
        <f xml:space="preserve"> IF(B64="", "",#REF!)</f>
        <v>#REF!</v>
      </c>
      <c r="R64" s="10" t="e">
        <f xml:space="preserve"> IF(B64="", "",#REF!)</f>
        <v>#REF!</v>
      </c>
      <c r="S64" s="10" t="e">
        <f>IF(B64="", "", 'Pre Rinse Sprayers'!F13)</f>
        <v>#REF!</v>
      </c>
      <c r="T64" s="10" t="e">
        <f xml:space="preserve"> IF(B64="", "",#REF!)</f>
        <v>#REF!</v>
      </c>
      <c r="AB64" s="99"/>
      <c r="AC64" s="99"/>
      <c r="AD64" s="99"/>
      <c r="AI64" s="99" t="e">
        <f xml:space="preserve"> IF(B64="", "",#REF!)</f>
        <v>#REF!</v>
      </c>
      <c r="AJ64" s="99"/>
      <c r="AM64" s="10" t="e">
        <f xml:space="preserve"> IF(B64="", "",#REF!)</f>
        <v>#REF!</v>
      </c>
      <c r="AN64" s="99" t="e">
        <f xml:space="preserve"> IF(B64="", "",#REF!)</f>
        <v>#REF!</v>
      </c>
      <c r="AO64" s="10" t="e">
        <f xml:space="preserve"> IF(B64="", "",#REF!)</f>
        <v>#REF!</v>
      </c>
      <c r="AP64" s="10" t="e">
        <f xml:space="preserve"> IF(B64="", "",#REF!)</f>
        <v>#REF!</v>
      </c>
      <c r="AQ64" s="10" t="e">
        <f xml:space="preserve"> IF(B64="", "",#REF!)</f>
        <v>#REF!</v>
      </c>
      <c r="AR64" s="10" t="e">
        <f xml:space="preserve"> IF(B64="", "",#REF!)</f>
        <v>#REF!</v>
      </c>
      <c r="AS64" s="10" t="e">
        <f xml:space="preserve"> IF(B64="", "",#REF!)</f>
        <v>#REF!</v>
      </c>
      <c r="AT64" s="10" t="e">
        <f xml:space="preserve"> IF(B64="", "",#REF!)</f>
        <v>#REF!</v>
      </c>
      <c r="AU64" s="10" t="e">
        <f xml:space="preserve"> IF(B64="", "",#REF!)</f>
        <v>#REF!</v>
      </c>
      <c r="AV64" s="10" t="e">
        <f xml:space="preserve"> IF(B64="", "",#REF!)</f>
        <v>#REF!</v>
      </c>
      <c r="AW64" s="10" t="e">
        <f xml:space="preserve"> IF(B64="", "",#REF!)</f>
        <v>#REF!</v>
      </c>
      <c r="AX64" s="10" t="e">
        <f xml:space="preserve"> IF(B64="", "",#REF!)</f>
        <v>#REF!</v>
      </c>
      <c r="AY64" s="10" t="e">
        <f xml:space="preserve"> IF(B64="", "",#REF!)</f>
        <v>#REF!</v>
      </c>
      <c r="AZ64" s="10" t="e">
        <f xml:space="preserve"> IF(B64="", "",#REF!)</f>
        <v>#REF!</v>
      </c>
      <c r="BA64" s="10" t="e">
        <f xml:space="preserve"> IF(B64="", "",#REF!)</f>
        <v>#REF!</v>
      </c>
    </row>
    <row r="65" spans="1:53">
      <c r="A65" s="10" t="e">
        <f>IF(B65="", "", 'Project Summary'!S97)</f>
        <v>#REF!</v>
      </c>
      <c r="B65" s="10" t="e">
        <f>IF(OR(#REF!="",#REF!= "DNQ",#REF!= "Custom Project",#REF!&lt; 0), "", 'Project Summary'!$L$141)</f>
        <v>#REF!</v>
      </c>
      <c r="C65" s="10" t="e">
        <f>IF(B65="", "", 'Project Summary'!$C$10)</f>
        <v>#REF!</v>
      </c>
      <c r="D65" s="10" t="e">
        <f>IF(B65="", "", CONCATENATE('Project Summary'!$C$7, " - ", 'Project Summary'!$C$10))</f>
        <v>#REF!</v>
      </c>
      <c r="E65" s="10" t="e">
        <f t="shared" si="0"/>
        <v>#REF!</v>
      </c>
      <c r="F65" s="10" t="e">
        <f>IF(B65="", "", 'Project Summary'!$C$11)</f>
        <v>#REF!</v>
      </c>
      <c r="G65" s="10" t="e">
        <f>IF(B65="","",VLOOKUP(B65,'Project Summary'!$L$128:$M$147, 2, FALSE))</f>
        <v>#REF!</v>
      </c>
      <c r="H65" s="10" t="e">
        <f>IF(B65="", "",'Project Summary'!Q112)</f>
        <v>#REF!</v>
      </c>
      <c r="I65" s="99" t="e">
        <f>IF(B65="", "", Instructions!$M$2)</f>
        <v>#REF!</v>
      </c>
      <c r="J65" s="10" t="e">
        <f xml:space="preserve"> IF(B65="", "",#REF!)</f>
        <v>#REF!</v>
      </c>
      <c r="K65" s="10" t="e">
        <f xml:space="preserve"> IF(B65="", "",#REF!)</f>
        <v>#REF!</v>
      </c>
      <c r="L65" s="99" t="e">
        <f xml:space="preserve"> IF(B65="", "",#REF!)</f>
        <v>#REF!</v>
      </c>
      <c r="M65" s="199" t="e">
        <f xml:space="preserve"> IF(B65="", "",#REF!)</f>
        <v>#REF!</v>
      </c>
      <c r="N65" s="199" t="e">
        <f t="shared" si="1"/>
        <v>#REF!</v>
      </c>
      <c r="O65" s="199" t="e">
        <f xml:space="preserve"> IF(C65="", "",#REF!)</f>
        <v>#REF!</v>
      </c>
      <c r="P65" s="99" t="e">
        <f t="shared" si="6"/>
        <v>#REF!</v>
      </c>
      <c r="Q65" s="10" t="e">
        <f xml:space="preserve"> IF(B65="", "",#REF!)</f>
        <v>#REF!</v>
      </c>
      <c r="R65" s="10" t="e">
        <f xml:space="preserve"> IF(B65="", "",#REF!)</f>
        <v>#REF!</v>
      </c>
      <c r="S65" s="10" t="e">
        <f>IF(B65="", "", 'Pre Rinse Sprayers'!F14)</f>
        <v>#REF!</v>
      </c>
      <c r="T65" s="10" t="e">
        <f xml:space="preserve"> IF(B65="", "",#REF!)</f>
        <v>#REF!</v>
      </c>
      <c r="AB65" s="99"/>
      <c r="AC65" s="99"/>
      <c r="AD65" s="99"/>
      <c r="AI65" s="99" t="e">
        <f xml:space="preserve"> IF(B65="", "",#REF!)</f>
        <v>#REF!</v>
      </c>
      <c r="AJ65" s="99"/>
      <c r="AM65" s="10" t="e">
        <f xml:space="preserve"> IF(B65="", "",#REF!)</f>
        <v>#REF!</v>
      </c>
      <c r="AN65" s="99" t="e">
        <f xml:space="preserve"> IF(B65="", "",#REF!)</f>
        <v>#REF!</v>
      </c>
      <c r="AO65" s="10" t="e">
        <f xml:space="preserve"> IF(B65="", "",#REF!)</f>
        <v>#REF!</v>
      </c>
      <c r="AP65" s="10" t="e">
        <f xml:space="preserve"> IF(B65="", "",#REF!)</f>
        <v>#REF!</v>
      </c>
      <c r="AQ65" s="10" t="e">
        <f xml:space="preserve"> IF(B65="", "",#REF!)</f>
        <v>#REF!</v>
      </c>
      <c r="AR65" s="10" t="e">
        <f xml:space="preserve"> IF(B65="", "",#REF!)</f>
        <v>#REF!</v>
      </c>
      <c r="AS65" s="10" t="e">
        <f xml:space="preserve"> IF(B65="", "",#REF!)</f>
        <v>#REF!</v>
      </c>
      <c r="AT65" s="10" t="e">
        <f xml:space="preserve"> IF(B65="", "",#REF!)</f>
        <v>#REF!</v>
      </c>
      <c r="AU65" s="10" t="e">
        <f xml:space="preserve"> IF(B65="", "",#REF!)</f>
        <v>#REF!</v>
      </c>
      <c r="AV65" s="10" t="e">
        <f xml:space="preserve"> IF(B65="", "",#REF!)</f>
        <v>#REF!</v>
      </c>
      <c r="AW65" s="10" t="e">
        <f xml:space="preserve"> IF(B65="", "",#REF!)</f>
        <v>#REF!</v>
      </c>
      <c r="AX65" s="10" t="e">
        <f xml:space="preserve"> IF(B65="", "",#REF!)</f>
        <v>#REF!</v>
      </c>
      <c r="AY65" s="10" t="e">
        <f xml:space="preserve"> IF(B65="", "",#REF!)</f>
        <v>#REF!</v>
      </c>
      <c r="AZ65" s="10" t="e">
        <f xml:space="preserve"> IF(B65="", "",#REF!)</f>
        <v>#REF!</v>
      </c>
      <c r="BA65" s="10" t="e">
        <f xml:space="preserve"> IF(B65="", "",#REF!)</f>
        <v>#REF!</v>
      </c>
    </row>
    <row r="66" spans="1:53">
      <c r="A66" s="10" t="str">
        <f>IF(B66="", "", 'Project Summary'!S98)</f>
        <v/>
      </c>
      <c r="B66" s="10" t="str">
        <f>IF(OR('Office Equipment'!U8="",'Office Equipment'!T8&lt;0), "",'Office Equipment'!M8)</f>
        <v/>
      </c>
      <c r="C66" s="10" t="str">
        <f>IF(B66="", "", 'Project Summary'!$C$10)</f>
        <v/>
      </c>
      <c r="D66" s="10" t="str">
        <f>IF(B66="", "", CONCATENATE('Project Summary'!$C$7, " - ", 'Project Summary'!$C$10))</f>
        <v/>
      </c>
      <c r="E66" s="10" t="str">
        <f t="shared" si="0"/>
        <v/>
      </c>
      <c r="F66" s="10" t="str">
        <f>IF(B66="", "", 'Project Summary'!$C$11)</f>
        <v/>
      </c>
      <c r="G66" s="10" t="str">
        <f>IF(B66="","",VLOOKUP(B66,'Project Summary'!$L$128:$M$147, 2, FALSE))</f>
        <v/>
      </c>
      <c r="H66" s="10" t="str">
        <f>IF(B66="", "",'Project Summary'!Q116)</f>
        <v/>
      </c>
      <c r="I66" s="99" t="str">
        <f>IF(B66="", "", Instructions!$M$2)</f>
        <v/>
      </c>
      <c r="J66" s="10" t="str">
        <f>IF(B66="", "", 'Office Equipment'!D8)</f>
        <v/>
      </c>
      <c r="K66" s="10" t="str">
        <f>IF(B66="", "", 'Office Equipment'!I8)</f>
        <v/>
      </c>
      <c r="L66" s="99" t="str">
        <f>IF(B66="", "", 'Office Equipment'!U8)</f>
        <v/>
      </c>
      <c r="M66" s="199" t="str">
        <f>IF(B66="", "", 'Office Equipment'!S8)</f>
        <v/>
      </c>
      <c r="N66" s="199" t="str">
        <f t="shared" si="1"/>
        <v/>
      </c>
      <c r="O66" s="199" t="str">
        <f>IF(C66="", "", 'Office Equipment'!T8)</f>
        <v/>
      </c>
      <c r="P66" s="99" t="str">
        <f t="shared" si="6"/>
        <v/>
      </c>
      <c r="Q66" s="10" t="str">
        <f>IF(B66="", "", 'Office Equipment'!L8)</f>
        <v/>
      </c>
      <c r="R66" s="10" t="str">
        <f>IF(B66="", "", 'Office Equipment'!E8)</f>
        <v/>
      </c>
      <c r="S66" s="10" t="str">
        <f>IF(B66="", "", 'Office Equipment'!F8)</f>
        <v/>
      </c>
      <c r="AB66" s="99" t="str">
        <f>IF(B66="","",IF('Office Equipment'!H8="","",'Office Equipment'!H8))</f>
        <v/>
      </c>
      <c r="AC66" s="99"/>
      <c r="AD66" s="99"/>
      <c r="AI66" s="99"/>
      <c r="AJ66" s="99"/>
    </row>
    <row r="67" spans="1:53">
      <c r="A67" s="10" t="str">
        <f>IF(B67="", "", 'Project Summary'!S99)</f>
        <v/>
      </c>
      <c r="B67" s="10" t="str">
        <f>IF(OR('Office Equipment'!U9="",'Office Equipment'!T9&lt;0), "",'Office Equipment'!M9)</f>
        <v/>
      </c>
      <c r="C67" s="10" t="str">
        <f>IF(B67="", "", 'Project Summary'!$C$10)</f>
        <v/>
      </c>
      <c r="D67" s="10" t="str">
        <f>IF(B67="", "", CONCATENATE('Project Summary'!$C$7, " - ", 'Project Summary'!$C$10))</f>
        <v/>
      </c>
      <c r="E67" s="10" t="str">
        <f t="shared" ref="E67:E73" si="7">IF(B67="", "", "FPAEPR")</f>
        <v/>
      </c>
      <c r="F67" s="10" t="str">
        <f>IF(B67="", "", 'Project Summary'!$C$11)</f>
        <v/>
      </c>
      <c r="G67" s="10" t="str">
        <f>IF(B67="","",VLOOKUP(B67,'Project Summary'!$L$128:$M$147, 2, FALSE))</f>
        <v/>
      </c>
      <c r="H67" s="10" t="str">
        <f>IF(B67="", "",'Project Summary'!Q117)</f>
        <v/>
      </c>
      <c r="I67" s="99" t="str">
        <f>IF(B67="", "", Instructions!$M$2)</f>
        <v/>
      </c>
      <c r="J67" s="10" t="str">
        <f>IF(B67="", "", 'Office Equipment'!D9)</f>
        <v/>
      </c>
      <c r="K67" s="10" t="str">
        <f>IF(B67="", "", 'Office Equipment'!I9)</f>
        <v/>
      </c>
      <c r="L67" s="99" t="str">
        <f>IF(B67="", "", 'Office Equipment'!U9)</f>
        <v/>
      </c>
      <c r="M67" s="199" t="str">
        <f>IF(B67="", "", 'Office Equipment'!S9)</f>
        <v/>
      </c>
      <c r="N67" s="199" t="str">
        <f t="shared" ref="N67:N73" si="8">IF(B67="", "", M67)</f>
        <v/>
      </c>
      <c r="O67" s="199" t="str">
        <f>IF(C67="", "", 'Office Equipment'!T9)</f>
        <v/>
      </c>
      <c r="P67" s="99" t="str">
        <f t="shared" si="6"/>
        <v/>
      </c>
      <c r="Q67" s="10" t="str">
        <f>IF(B67="", "", 'Office Equipment'!L9)</f>
        <v/>
      </c>
      <c r="R67" s="10" t="str">
        <f>IF(B67="", "", 'Office Equipment'!E9)</f>
        <v/>
      </c>
      <c r="S67" s="10" t="str">
        <f>IF(B67="", "", 'Office Equipment'!F9)</f>
        <v/>
      </c>
      <c r="AB67" s="99" t="str">
        <f>IF(B67="","",IF('Office Equipment'!H9="","",'Office Equipment'!H9))</f>
        <v/>
      </c>
      <c r="AC67" s="99"/>
      <c r="AD67" s="99"/>
      <c r="AI67" s="99"/>
      <c r="AJ67" s="99"/>
    </row>
    <row r="68" spans="1:53">
      <c r="A68" s="10" t="str">
        <f>IF(B68="", "", 'Project Summary'!S100)</f>
        <v/>
      </c>
      <c r="B68" s="10" t="str">
        <f>IF(OR('Office Equipment'!U10="",'Office Equipment'!T10&lt;0), "",'Office Equipment'!M10)</f>
        <v/>
      </c>
      <c r="C68" s="10" t="str">
        <f>IF(B68="", "", 'Project Summary'!$C$10)</f>
        <v/>
      </c>
      <c r="D68" s="10" t="str">
        <f>IF(B68="", "", CONCATENATE('Project Summary'!$C$7, " - ", 'Project Summary'!$C$10))</f>
        <v/>
      </c>
      <c r="E68" s="10" t="str">
        <f t="shared" si="7"/>
        <v/>
      </c>
      <c r="F68" s="10" t="str">
        <f>IF(B68="", "", 'Project Summary'!$C$11)</f>
        <v/>
      </c>
      <c r="G68" s="10" t="str">
        <f>IF(B68="","",VLOOKUP(B68,'Project Summary'!$L$128:$M$147, 2, FALSE))</f>
        <v/>
      </c>
      <c r="H68" s="10" t="str">
        <f>IF(B68="", "",'Project Summary'!Q118)</f>
        <v/>
      </c>
      <c r="I68" s="99" t="str">
        <f>IF(B68="", "", Instructions!$M$2)</f>
        <v/>
      </c>
      <c r="J68" s="10" t="str">
        <f>IF(B68="", "", 'Office Equipment'!D10)</f>
        <v/>
      </c>
      <c r="K68" s="10" t="str">
        <f>IF(B68="", "", 'Office Equipment'!I10)</f>
        <v/>
      </c>
      <c r="L68" s="99" t="str">
        <f>IF(B68="", "", 'Office Equipment'!U10)</f>
        <v/>
      </c>
      <c r="M68" s="199" t="str">
        <f>IF(B68="", "", 'Office Equipment'!S10)</f>
        <v/>
      </c>
      <c r="N68" s="199" t="str">
        <f t="shared" si="8"/>
        <v/>
      </c>
      <c r="O68" s="199" t="str">
        <f>IF(C68="", "", 'Office Equipment'!T10)</f>
        <v/>
      </c>
      <c r="P68" s="99" t="str">
        <f t="shared" si="6"/>
        <v/>
      </c>
      <c r="Q68" s="10" t="str">
        <f>IF(B68="", "", 'Office Equipment'!L10)</f>
        <v/>
      </c>
      <c r="R68" s="10" t="str">
        <f>IF(B68="", "", 'Office Equipment'!E10)</f>
        <v/>
      </c>
      <c r="S68" s="10" t="str">
        <f>IF(B68="", "", 'Office Equipment'!F10)</f>
        <v/>
      </c>
      <c r="AB68" s="99" t="str">
        <f>IF(B68="","",IF('Office Equipment'!H10="","",'Office Equipment'!H10))</f>
        <v/>
      </c>
      <c r="AC68" s="99"/>
      <c r="AD68" s="99"/>
      <c r="AI68" s="99"/>
      <c r="AJ68" s="99"/>
    </row>
    <row r="69" spans="1:53">
      <c r="A69" s="10" t="str">
        <f>IF(B69="", "", 'Project Summary'!S101)</f>
        <v/>
      </c>
      <c r="B69" s="10" t="str">
        <f>IF(OR('Office Equipment'!U11="",'Office Equipment'!T11&lt;0), "",'Office Equipment'!M11)</f>
        <v/>
      </c>
      <c r="C69" s="10" t="str">
        <f>IF(B69="", "", 'Project Summary'!$C$10)</f>
        <v/>
      </c>
      <c r="D69" s="10" t="str">
        <f>IF(B69="", "", CONCATENATE('Project Summary'!$C$7, " - ", 'Project Summary'!$C$10))</f>
        <v/>
      </c>
      <c r="E69" s="10" t="str">
        <f t="shared" si="7"/>
        <v/>
      </c>
      <c r="F69" s="10" t="str">
        <f>IF(B69="", "", 'Project Summary'!$C$11)</f>
        <v/>
      </c>
      <c r="G69" s="10" t="str">
        <f>IF(B69="","",VLOOKUP(B69,'Project Summary'!$L$128:$M$147, 2, FALSE))</f>
        <v/>
      </c>
      <c r="H69" s="10" t="str">
        <f>IF(B69="", "",'Project Summary'!Q119)</f>
        <v/>
      </c>
      <c r="I69" s="99" t="str">
        <f>IF(B69="", "", Instructions!$M$2)</f>
        <v/>
      </c>
      <c r="J69" s="10" t="str">
        <f>IF(B69="", "", 'Office Equipment'!D11)</f>
        <v/>
      </c>
      <c r="K69" s="10" t="str">
        <f>IF(B69="", "", 'Office Equipment'!I11)</f>
        <v/>
      </c>
      <c r="L69" s="99" t="str">
        <f>IF(B69="", "", 'Office Equipment'!U11)</f>
        <v/>
      </c>
      <c r="M69" s="199" t="str">
        <f>IF(B69="", "", 'Office Equipment'!S11)</f>
        <v/>
      </c>
      <c r="N69" s="199" t="str">
        <f t="shared" si="8"/>
        <v/>
      </c>
      <c r="O69" s="199" t="str">
        <f>IF(C69="", "", 'Office Equipment'!T11)</f>
        <v/>
      </c>
      <c r="P69" s="99" t="str">
        <f t="shared" si="6"/>
        <v/>
      </c>
      <c r="Q69" s="10" t="str">
        <f>IF(B69="", "", 'Office Equipment'!L11)</f>
        <v/>
      </c>
      <c r="R69" s="10" t="str">
        <f>IF(B69="", "", 'Office Equipment'!E11)</f>
        <v/>
      </c>
      <c r="S69" s="10" t="str">
        <f>IF(B69="", "", 'Office Equipment'!F11)</f>
        <v/>
      </c>
      <c r="AB69" s="99" t="str">
        <f>IF(B69="","",IF('Office Equipment'!H11="","",'Office Equipment'!H11))</f>
        <v/>
      </c>
      <c r="AC69" s="99"/>
      <c r="AD69" s="99"/>
      <c r="AI69" s="99"/>
      <c r="AJ69" s="99"/>
    </row>
    <row r="70" spans="1:53">
      <c r="A70" s="10" t="str">
        <f>IF(B70="", "", 'Project Summary'!S102)</f>
        <v/>
      </c>
      <c r="B70" s="10" t="str">
        <f>IF(OR('Office Equipment'!U12="",'Office Equipment'!T12&lt;0), "",'Office Equipment'!M12)</f>
        <v/>
      </c>
      <c r="C70" s="10" t="str">
        <f>IF(B70="", "", 'Project Summary'!$C$10)</f>
        <v/>
      </c>
      <c r="D70" s="10" t="str">
        <f>IF(B70="", "", CONCATENATE('Project Summary'!$C$7, " - ", 'Project Summary'!$C$10))</f>
        <v/>
      </c>
      <c r="E70" s="10" t="str">
        <f t="shared" si="7"/>
        <v/>
      </c>
      <c r="F70" s="10" t="str">
        <f>IF(B70="", "", 'Project Summary'!$C$11)</f>
        <v/>
      </c>
      <c r="G70" s="10" t="str">
        <f>IF(B70="","",VLOOKUP(B70,'Project Summary'!$L$128:$M$147, 2, FALSE))</f>
        <v/>
      </c>
      <c r="H70" s="10" t="str">
        <f>IF(B70="", "",'Project Summary'!Q120)</f>
        <v/>
      </c>
      <c r="I70" s="99" t="str">
        <f>IF(B70="", "", Instructions!$M$2)</f>
        <v/>
      </c>
      <c r="J70" s="10" t="str">
        <f>IF(B70="", "", 'Office Equipment'!D12)</f>
        <v/>
      </c>
      <c r="K70" s="10" t="str">
        <f>IF(B70="", "", 'Office Equipment'!I12)</f>
        <v/>
      </c>
      <c r="L70" s="99" t="str">
        <f>IF(B70="", "", 'Office Equipment'!U12)</f>
        <v/>
      </c>
      <c r="M70" s="199" t="str">
        <f>IF(B70="", "", 'Office Equipment'!S12)</f>
        <v/>
      </c>
      <c r="N70" s="199" t="str">
        <f t="shared" si="8"/>
        <v/>
      </c>
      <c r="O70" s="199" t="str">
        <f>IF(C70="", "", 'Office Equipment'!T12)</f>
        <v/>
      </c>
      <c r="P70" s="99" t="str">
        <f t="shared" si="6"/>
        <v/>
      </c>
      <c r="Q70" s="10" t="str">
        <f>IF(B70="", "", 'Office Equipment'!L12)</f>
        <v/>
      </c>
      <c r="R70" s="10" t="str">
        <f>IF(B70="", "", 'Office Equipment'!E12)</f>
        <v/>
      </c>
      <c r="S70" s="10" t="str">
        <f>IF(B70="", "", 'Office Equipment'!F12)</f>
        <v/>
      </c>
      <c r="AB70" s="99" t="str">
        <f>IF(B70="","",IF('Office Equipment'!H12="","",'Office Equipment'!H12))</f>
        <v/>
      </c>
      <c r="AC70" s="99"/>
      <c r="AD70" s="99"/>
      <c r="AI70" s="99"/>
      <c r="AJ70" s="99"/>
    </row>
    <row r="71" spans="1:53">
      <c r="A71" s="10" t="str">
        <f>IF(B71="", "", 'Project Summary'!S103)</f>
        <v/>
      </c>
      <c r="B71" s="10" t="str">
        <f>IF(OR('Office Equipment'!U13="",'Office Equipment'!T13&lt;0), "",'Office Equipment'!M13)</f>
        <v/>
      </c>
      <c r="C71" s="10" t="str">
        <f>IF(B71="", "", 'Project Summary'!$C$10)</f>
        <v/>
      </c>
      <c r="D71" s="10" t="str">
        <f>IF(B71="", "", CONCATENATE('Project Summary'!$C$7, " - ", 'Project Summary'!$C$10))</f>
        <v/>
      </c>
      <c r="E71" s="10" t="str">
        <f t="shared" si="7"/>
        <v/>
      </c>
      <c r="F71" s="10" t="str">
        <f>IF(B71="", "", 'Project Summary'!$C$11)</f>
        <v/>
      </c>
      <c r="G71" s="10" t="str">
        <f>IF(B71="","",VLOOKUP(B71,'Project Summary'!$L$128:$M$147, 2, FALSE))</f>
        <v/>
      </c>
      <c r="H71" s="10" t="str">
        <f>IF(B71="", "",'Project Summary'!Q121)</f>
        <v/>
      </c>
      <c r="I71" s="99" t="str">
        <f>IF(B71="", "", Instructions!$M$2)</f>
        <v/>
      </c>
      <c r="J71" s="10" t="str">
        <f>IF(B71="", "", 'Office Equipment'!D13)</f>
        <v/>
      </c>
      <c r="K71" s="10" t="str">
        <f>IF(B71="", "", 'Office Equipment'!I13)</f>
        <v/>
      </c>
      <c r="L71" s="99" t="str">
        <f>IF(B71="", "", 'Office Equipment'!U13)</f>
        <v/>
      </c>
      <c r="M71" s="199" t="str">
        <f>IF(B71="", "", 'Office Equipment'!S13)</f>
        <v/>
      </c>
      <c r="N71" s="199" t="str">
        <f t="shared" si="8"/>
        <v/>
      </c>
      <c r="O71" s="199" t="str">
        <f>IF(C71="", "", 'Office Equipment'!T13)</f>
        <v/>
      </c>
      <c r="P71" s="99" t="str">
        <f t="shared" si="6"/>
        <v/>
      </c>
      <c r="Q71" s="10" t="str">
        <f>IF(B71="", "", 'Office Equipment'!L13)</f>
        <v/>
      </c>
      <c r="R71" s="10" t="str">
        <f>IF(B71="", "", 'Office Equipment'!E13)</f>
        <v/>
      </c>
      <c r="S71" s="10" t="str">
        <f>IF(B71="", "", 'Office Equipment'!F13)</f>
        <v/>
      </c>
      <c r="AB71" s="99" t="str">
        <f>IF(B71="","",IF('Office Equipment'!H13="","",'Office Equipment'!H13))</f>
        <v/>
      </c>
      <c r="AC71" s="99"/>
      <c r="AD71" s="99"/>
      <c r="AI71" s="99"/>
      <c r="AJ71" s="99"/>
    </row>
    <row r="72" spans="1:53">
      <c r="A72" s="10" t="str">
        <f>IF(B72="", "", 'Project Summary'!S104)</f>
        <v/>
      </c>
      <c r="B72" s="10" t="str">
        <f>IF(OR('Office Equipment'!U14="",'Office Equipment'!T14&lt;0), "",'Office Equipment'!M14)</f>
        <v/>
      </c>
      <c r="C72" s="10" t="str">
        <f>IF(B72="", "", 'Project Summary'!$C$10)</f>
        <v/>
      </c>
      <c r="D72" s="10" t="str">
        <f>IF(B72="", "", CONCATENATE('Project Summary'!$C$7, " - ", 'Project Summary'!$C$10))</f>
        <v/>
      </c>
      <c r="E72" s="10" t="str">
        <f t="shared" si="7"/>
        <v/>
      </c>
      <c r="F72" s="10" t="str">
        <f>IF(B72="", "", 'Project Summary'!$C$11)</f>
        <v/>
      </c>
      <c r="G72" s="10" t="str">
        <f>IF(B72="","",VLOOKUP(B72,'Project Summary'!$L$128:$M$147, 2, FALSE))</f>
        <v/>
      </c>
      <c r="H72" s="10" t="str">
        <f>IF(B72="", "",'Project Summary'!Q122)</f>
        <v/>
      </c>
      <c r="I72" s="99" t="str">
        <f>IF(B72="", "", Instructions!$M$2)</f>
        <v/>
      </c>
      <c r="J72" s="10" t="str">
        <f>IF(B72="", "", 'Office Equipment'!D14)</f>
        <v/>
      </c>
      <c r="K72" s="10" t="str">
        <f>IF(B72="", "", 'Office Equipment'!I14)</f>
        <v/>
      </c>
      <c r="L72" s="99" t="str">
        <f>IF(B72="", "", 'Office Equipment'!U14)</f>
        <v/>
      </c>
      <c r="M72" s="199" t="str">
        <f>IF(B72="", "", 'Office Equipment'!S14)</f>
        <v/>
      </c>
      <c r="N72" s="199" t="str">
        <f t="shared" si="8"/>
        <v/>
      </c>
      <c r="O72" s="199" t="str">
        <f>IF(C72="", "", 'Office Equipment'!T14)</f>
        <v/>
      </c>
      <c r="P72" s="99" t="str">
        <f t="shared" si="6"/>
        <v/>
      </c>
      <c r="Q72" s="10" t="str">
        <f>IF(B72="", "", 'Office Equipment'!L14)</f>
        <v/>
      </c>
      <c r="R72" s="10" t="str">
        <f>IF(B72="", "", 'Office Equipment'!E14)</f>
        <v/>
      </c>
      <c r="S72" s="10" t="str">
        <f>IF(B72="", "", 'Office Equipment'!F14)</f>
        <v/>
      </c>
      <c r="AB72" s="99" t="str">
        <f>IF(B72="","",IF('Office Equipment'!H14="","",'Office Equipment'!H14))</f>
        <v/>
      </c>
      <c r="AC72" s="99"/>
      <c r="AD72" s="99"/>
      <c r="AI72" s="99"/>
      <c r="AJ72" s="99"/>
    </row>
    <row r="73" spans="1:53">
      <c r="A73" s="204" t="str">
        <f>IF(B73="", "", 'Project Summary'!S105)</f>
        <v/>
      </c>
      <c r="B73" s="204" t="str">
        <f>IF(OR('Office Equipment'!U15="",'Office Equipment'!T15&lt;0), "",'Office Equipment'!M15)</f>
        <v/>
      </c>
      <c r="C73" s="204" t="str">
        <f>IF(B73="", "", 'Project Summary'!$C$10)</f>
        <v/>
      </c>
      <c r="D73" s="204" t="str">
        <f>IF(B73="", "", CONCATENATE('Project Summary'!$C$7, " - ", 'Project Summary'!$C$10))</f>
        <v/>
      </c>
      <c r="E73" s="204" t="str">
        <f t="shared" si="7"/>
        <v/>
      </c>
      <c r="F73" s="204" t="str">
        <f>IF(B73="", "", 'Project Summary'!$C$11)</f>
        <v/>
      </c>
      <c r="G73" s="204" t="str">
        <f>IF(B73="","",VLOOKUP(B73,'Project Summary'!$L$128:$M$147, 2, FALSE))</f>
        <v/>
      </c>
      <c r="H73" s="204" t="str">
        <f>IF(B73="", "",'Project Summary'!Q123)</f>
        <v/>
      </c>
      <c r="I73" s="205" t="str">
        <f>IF(B73="", "", Instructions!$M$2)</f>
        <v/>
      </c>
      <c r="J73" s="204" t="str">
        <f>IF(B73="", "", 'Office Equipment'!D15)</f>
        <v/>
      </c>
      <c r="K73" s="204" t="str">
        <f>IF(B73="", "", 'Office Equipment'!I15)</f>
        <v/>
      </c>
      <c r="L73" s="205" t="str">
        <f>IF(B73="", "", 'Office Equipment'!U15)</f>
        <v/>
      </c>
      <c r="M73" s="206" t="str">
        <f>IF(B73="", "", 'Office Equipment'!S15)</f>
        <v/>
      </c>
      <c r="N73" s="206" t="str">
        <f t="shared" si="8"/>
        <v/>
      </c>
      <c r="O73" s="206" t="str">
        <f>IF(C73="", "", 'Office Equipment'!T15)</f>
        <v/>
      </c>
      <c r="P73" s="205" t="str">
        <f t="shared" si="6"/>
        <v/>
      </c>
      <c r="Q73" s="204" t="str">
        <f>IF(B73="", "", 'Office Equipment'!L15)</f>
        <v/>
      </c>
      <c r="R73" s="204" t="str">
        <f>IF(B73="", "", 'Office Equipment'!E15)</f>
        <v/>
      </c>
      <c r="S73" s="204" t="str">
        <f>IF(B73="", "", 'Office Equipment'!F15)</f>
        <v/>
      </c>
      <c r="T73" s="204"/>
      <c r="U73" s="204"/>
      <c r="V73" s="204"/>
      <c r="W73" s="204"/>
      <c r="X73" s="204"/>
      <c r="Y73" s="204"/>
      <c r="Z73" s="204"/>
      <c r="AA73" s="204"/>
      <c r="AB73" s="205" t="str">
        <f>IF(B73="","",IF('Office Equipment'!H15="","",'Office Equipment'!H15))</f>
        <v/>
      </c>
      <c r="AC73" s="205"/>
      <c r="AD73" s="205"/>
      <c r="AE73" s="204"/>
      <c r="AF73" s="204"/>
      <c r="AG73" s="204"/>
      <c r="AH73" s="204"/>
      <c r="AI73" s="205"/>
      <c r="AJ73" s="205"/>
      <c r="AK73" s="204"/>
      <c r="AL73" s="204"/>
      <c r="AM73" s="204"/>
      <c r="AN73" s="204"/>
      <c r="AO73" s="204"/>
      <c r="AP73" s="204"/>
      <c r="AQ73" s="204"/>
      <c r="AR73" s="204"/>
      <c r="AS73" s="204"/>
      <c r="AT73" s="204"/>
      <c r="AU73" s="204"/>
      <c r="AV73" s="204"/>
      <c r="AW73" s="204"/>
      <c r="AX73" s="204"/>
      <c r="AY73" s="204"/>
      <c r="AZ73" s="204"/>
      <c r="BA73" s="204"/>
    </row>
    <row r="74" spans="1:53">
      <c r="AB74" s="99"/>
      <c r="AC74" s="99"/>
      <c r="AD74" s="99"/>
      <c r="AI74" s="99"/>
      <c r="AJ74" s="99"/>
    </row>
    <row r="75" spans="1:53">
      <c r="AB75" s="99"/>
      <c r="AC75" s="99"/>
      <c r="AD75" s="99"/>
      <c r="AI75" s="99"/>
      <c r="AJ75" s="99"/>
    </row>
    <row r="76" spans="1:53">
      <c r="AB76" s="99"/>
      <c r="AC76" s="99"/>
      <c r="AD76" s="99"/>
      <c r="AI76" s="99"/>
      <c r="AJ76" s="99"/>
    </row>
    <row r="77" spans="1:53">
      <c r="AB77" s="99"/>
      <c r="AC77" s="99"/>
      <c r="AD77" s="99"/>
      <c r="AI77" s="99"/>
      <c r="AJ77" s="99"/>
    </row>
    <row r="78" spans="1:53">
      <c r="AB78" s="99"/>
      <c r="AC78" s="99"/>
      <c r="AD78" s="99"/>
      <c r="AI78" s="99"/>
      <c r="AJ78" s="99"/>
    </row>
    <row r="79" spans="1:53">
      <c r="AB79" s="99"/>
      <c r="AC79" s="99"/>
      <c r="AD79" s="99"/>
      <c r="AI79" s="99"/>
      <c r="AJ79" s="99"/>
    </row>
    <row r="80" spans="1:53">
      <c r="AB80" s="99"/>
      <c r="AC80" s="99"/>
      <c r="AD80" s="99"/>
      <c r="AI80" s="99"/>
      <c r="AJ80" s="99"/>
    </row>
    <row r="81" spans="28:36">
      <c r="AB81" s="99"/>
      <c r="AC81" s="99"/>
      <c r="AD81" s="99"/>
      <c r="AI81" s="99"/>
      <c r="AJ81" s="99"/>
    </row>
    <row r="82" spans="28:36">
      <c r="AB82" s="99"/>
      <c r="AC82" s="99"/>
      <c r="AD82" s="99"/>
      <c r="AI82" s="99"/>
      <c r="AJ82" s="99"/>
    </row>
    <row r="83" spans="28:36">
      <c r="AB83" s="99"/>
      <c r="AC83" s="99"/>
      <c r="AD83" s="99"/>
      <c r="AI83" s="99"/>
      <c r="AJ83" s="99"/>
    </row>
    <row r="84" spans="28:36">
      <c r="AB84" s="99"/>
      <c r="AC84" s="99"/>
      <c r="AD84" s="99"/>
      <c r="AI84" s="99"/>
      <c r="AJ84" s="99"/>
    </row>
    <row r="85" spans="28:36">
      <c r="AB85" s="99"/>
      <c r="AC85" s="99"/>
      <c r="AD85" s="99"/>
      <c r="AI85" s="99"/>
      <c r="AJ85" s="99"/>
    </row>
    <row r="86" spans="28:36">
      <c r="AB86" s="99"/>
      <c r="AC86" s="99"/>
      <c r="AD86" s="99"/>
      <c r="AI86" s="99"/>
      <c r="AJ86" s="99"/>
    </row>
    <row r="87" spans="28:36">
      <c r="AB87" s="99"/>
      <c r="AC87" s="99"/>
      <c r="AD87" s="99"/>
      <c r="AI87" s="99"/>
      <c r="AJ87" s="99"/>
    </row>
    <row r="88" spans="28:36">
      <c r="AC88" s="99"/>
      <c r="AD88" s="99"/>
    </row>
    <row r="89" spans="28:36">
      <c r="AC89" s="99"/>
      <c r="AD89" s="9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BV856"/>
  <sheetViews>
    <sheetView zoomScale="90" zoomScaleNormal="90" workbookViewId="0">
      <selection activeCell="C7" sqref="C7:F7"/>
    </sheetView>
  </sheetViews>
  <sheetFormatPr defaultColWidth="9.5703125" defaultRowHeight="15"/>
  <cols>
    <col min="1" max="1" width="4.28515625" customWidth="1"/>
    <col min="2" max="2" width="34.7109375" customWidth="1"/>
    <col min="3" max="3" width="9.28515625" customWidth="1"/>
    <col min="4" max="4" width="13.7109375" customWidth="1"/>
    <col min="5" max="5" width="15.140625" customWidth="1"/>
    <col min="6" max="6" width="12.7109375" customWidth="1"/>
    <col min="7" max="7" width="4.28515625" customWidth="1"/>
    <col min="8" max="10" width="9.140625" style="132" customWidth="1"/>
    <col min="11" max="11" width="11" hidden="1" customWidth="1"/>
    <col min="12" max="12" width="34.85546875" hidden="1" customWidth="1"/>
    <col min="13" max="13" width="21.28515625" hidden="1" customWidth="1"/>
    <col min="14" max="14" width="30" hidden="1" customWidth="1"/>
    <col min="15" max="15" width="27.28515625" hidden="1" customWidth="1"/>
    <col min="16" max="16" width="25.140625" hidden="1" customWidth="1"/>
    <col min="17" max="17" width="17" hidden="1" customWidth="1"/>
    <col min="18" max="74" width="9.140625" style="132" customWidth="1"/>
    <col min="75" max="249" width="9.140625" customWidth="1"/>
    <col min="250" max="250" width="4" customWidth="1"/>
    <col min="251" max="251" width="3.28515625" customWidth="1"/>
    <col min="252" max="252" width="40.5703125" customWidth="1"/>
  </cols>
  <sheetData>
    <row r="1" spans="1:17" ht="22.5" customHeight="1" thickBot="1">
      <c r="A1" s="114"/>
      <c r="B1" s="115"/>
      <c r="C1" s="115"/>
      <c r="D1" s="115"/>
      <c r="E1" s="115"/>
      <c r="F1" s="115"/>
      <c r="G1" s="124"/>
      <c r="K1" s="8"/>
      <c r="L1" s="8"/>
      <c r="M1" s="8"/>
      <c r="N1" s="8"/>
      <c r="O1" s="8"/>
      <c r="P1" s="8"/>
      <c r="Q1" s="8"/>
    </row>
    <row r="2" spans="1:17" ht="45" customHeight="1" thickBot="1">
      <c r="A2" s="116"/>
      <c r="B2" s="410" t="s">
        <v>15</v>
      </c>
      <c r="C2" s="411"/>
      <c r="D2" s="411"/>
      <c r="E2" s="411"/>
      <c r="F2" s="412"/>
      <c r="G2" s="117"/>
    </row>
    <row r="3" spans="1:17" ht="10.5" customHeight="1" thickBot="1">
      <c r="A3" s="116"/>
      <c r="B3" s="118"/>
      <c r="C3" s="119"/>
      <c r="D3" s="119"/>
      <c r="E3" s="119"/>
      <c r="F3" s="119"/>
      <c r="G3" s="117"/>
    </row>
    <row r="4" spans="1:17" ht="12.75" customHeight="1">
      <c r="A4" s="116"/>
      <c r="B4" s="413" t="s">
        <v>16</v>
      </c>
      <c r="C4" s="414"/>
      <c r="D4" s="414"/>
      <c r="E4" s="414"/>
      <c r="F4" s="415"/>
      <c r="G4" s="117"/>
    </row>
    <row r="5" spans="1:17" ht="12.75" customHeight="1" thickBot="1">
      <c r="A5" s="116"/>
      <c r="B5" s="416"/>
      <c r="C5" s="417"/>
      <c r="D5" s="417"/>
      <c r="E5" s="417"/>
      <c r="F5" s="418"/>
      <c r="G5" s="117"/>
    </row>
    <row r="6" spans="1:17" ht="12" customHeight="1" thickBot="1">
      <c r="A6" s="116"/>
      <c r="B6" s="120"/>
      <c r="C6" s="120"/>
      <c r="D6" s="120"/>
      <c r="E6" s="120"/>
      <c r="F6" s="120"/>
      <c r="G6" s="117"/>
    </row>
    <row r="7" spans="1:17" ht="16.5" customHeight="1">
      <c r="A7" s="116"/>
      <c r="B7" s="200" t="s">
        <v>17</v>
      </c>
      <c r="C7" s="422"/>
      <c r="D7" s="423"/>
      <c r="E7" s="423"/>
      <c r="F7" s="424"/>
      <c r="G7" s="117"/>
    </row>
    <row r="8" spans="1:17" ht="16.5" customHeight="1">
      <c r="A8" s="116"/>
      <c r="B8" s="201" t="s">
        <v>18</v>
      </c>
      <c r="C8" s="425"/>
      <c r="D8" s="426"/>
      <c r="E8" s="426"/>
      <c r="F8" s="427"/>
      <c r="G8" s="117"/>
    </row>
    <row r="9" spans="1:17" ht="16.5" customHeight="1">
      <c r="A9" s="116"/>
      <c r="B9" s="201" t="s">
        <v>19</v>
      </c>
      <c r="C9" s="425"/>
      <c r="D9" s="426"/>
      <c r="E9" s="426"/>
      <c r="F9" s="427"/>
      <c r="G9" s="117"/>
    </row>
    <row r="10" spans="1:17" ht="16.5" customHeight="1">
      <c r="A10" s="116"/>
      <c r="B10" s="201" t="s">
        <v>20</v>
      </c>
      <c r="C10" s="425"/>
      <c r="D10" s="426"/>
      <c r="E10" s="426"/>
      <c r="F10" s="427"/>
      <c r="G10" s="117"/>
    </row>
    <row r="11" spans="1:17" ht="16.5" customHeight="1">
      <c r="A11" s="116"/>
      <c r="B11" s="202" t="s">
        <v>21</v>
      </c>
      <c r="C11" s="404"/>
      <c r="D11" s="405"/>
      <c r="E11" s="405"/>
      <c r="F11" s="406"/>
      <c r="G11" s="117"/>
    </row>
    <row r="12" spans="1:17" ht="16.5" customHeight="1" thickBot="1">
      <c r="A12" s="116"/>
      <c r="B12" s="203" t="s">
        <v>22</v>
      </c>
      <c r="C12" s="407"/>
      <c r="D12" s="408"/>
      <c r="E12" s="408"/>
      <c r="F12" s="409"/>
      <c r="G12" s="117"/>
    </row>
    <row r="13" spans="1:17" ht="12" customHeight="1" thickBot="1">
      <c r="A13" s="116"/>
      <c r="B13" s="120"/>
      <c r="C13" s="120"/>
      <c r="D13" s="120"/>
      <c r="E13" s="120"/>
      <c r="F13" s="120"/>
      <c r="G13" s="117"/>
    </row>
    <row r="14" spans="1:17" ht="16.5" customHeight="1">
      <c r="A14" s="116"/>
      <c r="B14" s="428" t="s">
        <v>23</v>
      </c>
      <c r="C14" s="429"/>
      <c r="D14" s="158">
        <f>SUM(E19:E25)</f>
        <v>0</v>
      </c>
      <c r="E14" s="120"/>
      <c r="F14" s="120"/>
      <c r="G14" s="117"/>
    </row>
    <row r="15" spans="1:17" ht="16.5" customHeight="1">
      <c r="A15" s="116"/>
      <c r="B15" s="430" t="s">
        <v>24</v>
      </c>
      <c r="C15" s="431"/>
      <c r="D15" s="159">
        <f>SUM(D19:D25)</f>
        <v>0</v>
      </c>
      <c r="E15" s="120"/>
      <c r="F15" s="120"/>
      <c r="G15" s="117"/>
    </row>
    <row r="16" spans="1:17" ht="16.5" customHeight="1" thickBot="1">
      <c r="A16" s="116"/>
      <c r="B16" s="432" t="s">
        <v>25</v>
      </c>
      <c r="C16" s="433"/>
      <c r="D16" s="160">
        <f>SUM(F19:F25)</f>
        <v>0</v>
      </c>
      <c r="E16" s="120"/>
      <c r="F16" s="120"/>
      <c r="G16" s="117"/>
    </row>
    <row r="17" spans="1:7" ht="12" customHeight="1" thickBot="1">
      <c r="A17" s="116"/>
      <c r="B17" s="120"/>
      <c r="C17" s="120"/>
      <c r="D17" s="120"/>
      <c r="E17" s="120"/>
      <c r="F17" s="120"/>
      <c r="G17" s="117"/>
    </row>
    <row r="18" spans="1:7" ht="42.75" customHeight="1" thickBot="1">
      <c r="A18" s="116"/>
      <c r="B18" s="173" t="s">
        <v>26</v>
      </c>
      <c r="C18" s="5" t="s">
        <v>27</v>
      </c>
      <c r="D18" s="6" t="s">
        <v>28</v>
      </c>
      <c r="E18" s="6" t="s">
        <v>29</v>
      </c>
      <c r="F18" s="7" t="s">
        <v>30</v>
      </c>
      <c r="G18" s="117"/>
    </row>
    <row r="19" spans="1:7" ht="18" customHeight="1">
      <c r="A19" s="116"/>
      <c r="B19" s="195" t="s">
        <v>31</v>
      </c>
      <c r="C19" s="149">
        <f>$O$43</f>
        <v>0</v>
      </c>
      <c r="D19" s="155">
        <f>$M$43</f>
        <v>0</v>
      </c>
      <c r="E19" s="155">
        <f>$N$43</f>
        <v>0</v>
      </c>
      <c r="F19" s="161">
        <f>$P$43</f>
        <v>0</v>
      </c>
      <c r="G19" s="117"/>
    </row>
    <row r="20" spans="1:7" ht="18" customHeight="1">
      <c r="A20" s="116"/>
      <c r="B20" s="196" t="s">
        <v>32</v>
      </c>
      <c r="C20" s="150">
        <f>$O$53</f>
        <v>0</v>
      </c>
      <c r="D20" s="156">
        <f>$M$53</f>
        <v>0</v>
      </c>
      <c r="E20" s="156">
        <f>$N$53</f>
        <v>0</v>
      </c>
      <c r="F20" s="162">
        <f>$P$53</f>
        <v>0</v>
      </c>
      <c r="G20" s="117"/>
    </row>
    <row r="21" spans="1:7" ht="18" customHeight="1">
      <c r="A21" s="116"/>
      <c r="B21" s="196" t="s">
        <v>33</v>
      </c>
      <c r="C21" s="2">
        <f>$O$63</f>
        <v>0</v>
      </c>
      <c r="D21" s="156">
        <f>$M$63</f>
        <v>0</v>
      </c>
      <c r="E21" s="156">
        <f>$N$63</f>
        <v>0</v>
      </c>
      <c r="F21" s="162">
        <f>$P$63</f>
        <v>0</v>
      </c>
      <c r="G21" s="117"/>
    </row>
    <row r="22" spans="1:7" ht="18" customHeight="1">
      <c r="A22" s="116"/>
      <c r="B22" s="196" t="s">
        <v>34</v>
      </c>
      <c r="C22" s="151">
        <f>$O$73</f>
        <v>0</v>
      </c>
      <c r="D22" s="156">
        <f>$M$73</f>
        <v>0</v>
      </c>
      <c r="E22" s="156">
        <f>$N$73</f>
        <v>0</v>
      </c>
      <c r="F22" s="162">
        <f>$P$73</f>
        <v>0</v>
      </c>
      <c r="G22" s="117"/>
    </row>
    <row r="23" spans="1:7" ht="18" customHeight="1">
      <c r="A23" s="116"/>
      <c r="B23" s="196" t="s">
        <v>35</v>
      </c>
      <c r="C23" s="150">
        <f>$O$83</f>
        <v>0</v>
      </c>
      <c r="D23" s="156">
        <f>$M$83</f>
        <v>0</v>
      </c>
      <c r="E23" s="156">
        <f>$N$83</f>
        <v>0</v>
      </c>
      <c r="F23" s="162">
        <f>$P$83</f>
        <v>0</v>
      </c>
      <c r="G23" s="117"/>
    </row>
    <row r="24" spans="1:7" ht="18" customHeight="1">
      <c r="A24" s="116"/>
      <c r="B24" s="196" t="s">
        <v>36</v>
      </c>
      <c r="C24" s="150">
        <f>UPS!$G$17</f>
        <v>0</v>
      </c>
      <c r="D24" s="156">
        <f>UPS!AN17</f>
        <v>0</v>
      </c>
      <c r="E24" s="156">
        <f>UPS!AO17</f>
        <v>0</v>
      </c>
      <c r="F24" s="162">
        <f>UPS!AP17</f>
        <v>0</v>
      </c>
      <c r="G24" s="117"/>
    </row>
    <row r="25" spans="1:7" ht="18" customHeight="1" thickBot="1">
      <c r="A25" s="116"/>
      <c r="B25" s="197" t="s">
        <v>37</v>
      </c>
      <c r="C25" s="152">
        <f>$O$124</f>
        <v>0</v>
      </c>
      <c r="D25" s="157">
        <f>$M$124</f>
        <v>0</v>
      </c>
      <c r="E25" s="157">
        <f>$N$124</f>
        <v>0</v>
      </c>
      <c r="F25" s="163">
        <f>$P$124</f>
        <v>0</v>
      </c>
      <c r="G25" s="117"/>
    </row>
    <row r="26" spans="1:7" ht="17.25" customHeight="1" thickBot="1">
      <c r="A26" s="116"/>
      <c r="B26" s="120"/>
      <c r="C26" s="120"/>
      <c r="D26" s="120"/>
      <c r="E26" s="120"/>
      <c r="F26" s="120"/>
      <c r="G26" s="117"/>
    </row>
    <row r="27" spans="1:7" ht="24" customHeight="1" thickBot="1">
      <c r="A27" s="116"/>
      <c r="B27" s="419" t="s">
        <v>38</v>
      </c>
      <c r="C27" s="420"/>
      <c r="D27" s="420"/>
      <c r="E27" s="420"/>
      <c r="F27" s="421"/>
      <c r="G27" s="117"/>
    </row>
    <row r="28" spans="1:7" ht="22.5" customHeight="1" thickBot="1">
      <c r="A28" s="121"/>
      <c r="B28" s="122"/>
      <c r="C28" s="122"/>
      <c r="D28" s="122"/>
      <c r="E28" s="122"/>
      <c r="F28" s="122"/>
      <c r="G28" s="123"/>
    </row>
    <row r="29" spans="1:7" s="132" customFormat="1"/>
    <row r="30" spans="1:7" s="132" customFormat="1"/>
    <row r="31" spans="1:7" s="132" customFormat="1"/>
    <row r="32" spans="1:7" s="132" customFormat="1"/>
    <row r="33" spans="1:19" s="132" customFormat="1" hidden="1"/>
    <row r="34" spans="1:19" hidden="1">
      <c r="A34" s="8"/>
      <c r="K34" s="126" t="s">
        <v>39</v>
      </c>
      <c r="L34" s="126" t="s">
        <v>40</v>
      </c>
      <c r="M34" s="126" t="s">
        <v>28</v>
      </c>
      <c r="N34" s="126" t="s">
        <v>29</v>
      </c>
      <c r="O34" s="126" t="s">
        <v>27</v>
      </c>
      <c r="P34" s="126" t="s">
        <v>41</v>
      </c>
      <c r="Q34" s="126" t="s">
        <v>42</v>
      </c>
      <c r="S34" s="198">
        <v>1</v>
      </c>
    </row>
    <row r="35" spans="1:19" hidden="1">
      <c r="A35" s="8"/>
      <c r="K35" s="127">
        <v>1</v>
      </c>
      <c r="L35" s="128" t="str">
        <f>'Data Export'!B2</f>
        <v/>
      </c>
      <c r="M35" s="129" t="str">
        <f>IF(L35="", "", Refrigerators!AC8)</f>
        <v/>
      </c>
      <c r="N35" s="129" t="str">
        <f>IF(L35="", "", Refrigerators!AD8)</f>
        <v/>
      </c>
      <c r="O35" s="130" t="str">
        <f>IF(L35="", "",Refrigerators!N8)</f>
        <v/>
      </c>
      <c r="P35" s="131" t="str">
        <f>IF(L35="", "", Refrigerators!AE8)</f>
        <v/>
      </c>
      <c r="Q35" s="127" t="str">
        <f>IF(L35="", "", CONCATENATE($C$10, K35))</f>
        <v/>
      </c>
      <c r="S35" s="198">
        <v>2</v>
      </c>
    </row>
    <row r="36" spans="1:19" hidden="1">
      <c r="A36" s="8"/>
      <c r="K36" s="127">
        <v>2</v>
      </c>
      <c r="L36" s="128" t="str">
        <f>'Data Export'!B3</f>
        <v/>
      </c>
      <c r="M36" s="129" t="str">
        <f>IF(L36="", "", Refrigerators!AC9)</f>
        <v/>
      </c>
      <c r="N36" s="129" t="str">
        <f>IF(L36="", "", Refrigerators!AD9)</f>
        <v/>
      </c>
      <c r="O36" s="130" t="str">
        <f>IF(L36="", "",Refrigerators!N9)</f>
        <v/>
      </c>
      <c r="P36" s="131" t="str">
        <f>IF(L36="", "", Refrigerators!AE9)</f>
        <v/>
      </c>
      <c r="Q36" s="127" t="str">
        <f t="shared" ref="Q36:Q42" si="0">IF(L36="", "", CONCATENATE($C$10, K36))</f>
        <v/>
      </c>
      <c r="S36" s="198">
        <v>3</v>
      </c>
    </row>
    <row r="37" spans="1:19" hidden="1">
      <c r="A37" s="8"/>
      <c r="K37" s="127">
        <v>3</v>
      </c>
      <c r="L37" s="128" t="str">
        <f>'Data Export'!B4</f>
        <v/>
      </c>
      <c r="M37" s="129" t="str">
        <f>IF(L37="", "", Refrigerators!AC10)</f>
        <v/>
      </c>
      <c r="N37" s="129" t="str">
        <f>IF(L37="", "", Refrigerators!AD10)</f>
        <v/>
      </c>
      <c r="O37" s="130" t="str">
        <f>IF(L37="", "",Refrigerators!N10)</f>
        <v/>
      </c>
      <c r="P37" s="131" t="str">
        <f>IF(L37="", "", Refrigerators!AE10)</f>
        <v/>
      </c>
      <c r="Q37" s="127" t="str">
        <f t="shared" si="0"/>
        <v/>
      </c>
      <c r="S37" s="198">
        <v>4</v>
      </c>
    </row>
    <row r="38" spans="1:19" hidden="1">
      <c r="A38" s="8"/>
      <c r="K38" s="127">
        <v>4</v>
      </c>
      <c r="L38" s="128" t="str">
        <f>'Data Export'!B5</f>
        <v/>
      </c>
      <c r="M38" s="129" t="str">
        <f>IF(L38="", "", Refrigerators!AC11)</f>
        <v/>
      </c>
      <c r="N38" s="129" t="str">
        <f>IF(L38="", "", Refrigerators!AD11)</f>
        <v/>
      </c>
      <c r="O38" s="130" t="str">
        <f>IF(L38="", "",Refrigerators!N11)</f>
        <v/>
      </c>
      <c r="P38" s="131" t="str">
        <f>IF(L38="", "", Refrigerators!AE11)</f>
        <v/>
      </c>
      <c r="Q38" s="127" t="str">
        <f t="shared" si="0"/>
        <v/>
      </c>
      <c r="S38" s="198">
        <v>5</v>
      </c>
    </row>
    <row r="39" spans="1:19" hidden="1">
      <c r="A39" s="8"/>
      <c r="K39" s="127">
        <v>5</v>
      </c>
      <c r="L39" s="128" t="str">
        <f>'Data Export'!B6</f>
        <v/>
      </c>
      <c r="M39" s="129" t="str">
        <f>IF(L39="", "", Refrigerators!AC12)</f>
        <v/>
      </c>
      <c r="N39" s="129" t="str">
        <f>IF(L39="", "", Refrigerators!AD12)</f>
        <v/>
      </c>
      <c r="O39" s="130" t="str">
        <f>IF(L39="", "",Refrigerators!N12)</f>
        <v/>
      </c>
      <c r="P39" s="131" t="str">
        <f>IF(L39="", "", Refrigerators!AE12)</f>
        <v/>
      </c>
      <c r="Q39" s="127" t="str">
        <f t="shared" si="0"/>
        <v/>
      </c>
      <c r="S39" s="198">
        <v>6</v>
      </c>
    </row>
    <row r="40" spans="1:19" hidden="1">
      <c r="A40" s="8"/>
      <c r="K40" s="127">
        <v>6</v>
      </c>
      <c r="L40" s="128" t="str">
        <f>'Data Export'!B7</f>
        <v/>
      </c>
      <c r="M40" s="129" t="str">
        <f>IF(L40="", "", Refrigerators!AC13)</f>
        <v/>
      </c>
      <c r="N40" s="129" t="str">
        <f>IF(L40="", "", Refrigerators!AD13)</f>
        <v/>
      </c>
      <c r="O40" s="130" t="str">
        <f>IF(L40="", "",Refrigerators!N13)</f>
        <v/>
      </c>
      <c r="P40" s="131" t="str">
        <f>IF(L40="", "", Refrigerators!AE13)</f>
        <v/>
      </c>
      <c r="Q40" s="127" t="str">
        <f t="shared" si="0"/>
        <v/>
      </c>
      <c r="S40" s="198">
        <v>7</v>
      </c>
    </row>
    <row r="41" spans="1:19" hidden="1">
      <c r="A41" s="8"/>
      <c r="K41" s="127">
        <v>7</v>
      </c>
      <c r="L41" s="128" t="str">
        <f>'Data Export'!B8</f>
        <v/>
      </c>
      <c r="M41" s="129" t="str">
        <f>IF(L41="", "", Refrigerators!AC14)</f>
        <v/>
      </c>
      <c r="N41" s="129" t="str">
        <f>IF(L41="", "", Refrigerators!AD14)</f>
        <v/>
      </c>
      <c r="O41" s="130" t="str">
        <f>IF(L41="", "",Refrigerators!N14)</f>
        <v/>
      </c>
      <c r="P41" s="131" t="str">
        <f>IF(L41="", "", Refrigerators!AE14)</f>
        <v/>
      </c>
      <c r="Q41" s="127" t="str">
        <f t="shared" si="0"/>
        <v/>
      </c>
      <c r="S41" s="198">
        <v>8</v>
      </c>
    </row>
    <row r="42" spans="1:19" hidden="1">
      <c r="A42" s="8"/>
      <c r="K42" s="127">
        <v>8</v>
      </c>
      <c r="L42" s="128" t="str">
        <f>'Data Export'!B9</f>
        <v/>
      </c>
      <c r="M42" s="129" t="str">
        <f>IF(L42="", "", Refrigerators!AC15)</f>
        <v/>
      </c>
      <c r="N42" s="129" t="str">
        <f>IF(L42="", "", Refrigerators!AD15)</f>
        <v/>
      </c>
      <c r="O42" s="130" t="str">
        <f>IF(L42="", "",Refrigerators!N15)</f>
        <v/>
      </c>
      <c r="P42" s="131" t="str">
        <f>IF(L42="", "", Refrigerators!AE15)</f>
        <v/>
      </c>
      <c r="Q42" s="127" t="str">
        <f t="shared" si="0"/>
        <v/>
      </c>
      <c r="S42" s="198">
        <v>9</v>
      </c>
    </row>
    <row r="43" spans="1:19" hidden="1">
      <c r="A43" s="8"/>
      <c r="K43" s="132"/>
      <c r="L43" s="133" t="s">
        <v>43</v>
      </c>
      <c r="M43" s="134">
        <f>SUM(M35:M42)</f>
        <v>0</v>
      </c>
      <c r="N43" s="134">
        <f>SUM(N35:N42)</f>
        <v>0</v>
      </c>
      <c r="O43" s="135">
        <f>SUM(O35:O42)</f>
        <v>0</v>
      </c>
      <c r="P43" s="136">
        <f>SUM(P35:P42)</f>
        <v>0</v>
      </c>
      <c r="Q43" s="132"/>
      <c r="S43" s="198">
        <v>10</v>
      </c>
    </row>
    <row r="44" spans="1:19" hidden="1">
      <c r="A44" s="8"/>
      <c r="K44" s="125" t="s">
        <v>39</v>
      </c>
      <c r="L44" s="132"/>
      <c r="M44" s="132"/>
      <c r="N44" s="132"/>
      <c r="O44" s="132"/>
      <c r="P44" s="132"/>
      <c r="Q44" s="126" t="s">
        <v>42</v>
      </c>
      <c r="S44" s="198">
        <v>11</v>
      </c>
    </row>
    <row r="45" spans="1:19" hidden="1">
      <c r="A45" s="8"/>
      <c r="K45" s="127">
        <v>9</v>
      </c>
      <c r="L45" s="128" t="str">
        <f>'Data Export'!B10</f>
        <v/>
      </c>
      <c r="M45" s="129" t="str">
        <f>IF(L45="", "", Freezers!W8)</f>
        <v/>
      </c>
      <c r="N45" s="129" t="str">
        <f>IF(L45="", "", Freezers!X8)</f>
        <v/>
      </c>
      <c r="O45" s="138" t="str">
        <f>IF(L45="", "", Freezers!J8)</f>
        <v/>
      </c>
      <c r="P45" s="131" t="str">
        <f>IF(L45="", "", Freezers!Y8)</f>
        <v/>
      </c>
      <c r="Q45" s="127" t="str">
        <f>IF(L45="", "",CONCATENATE($C$10, K45))</f>
        <v/>
      </c>
      <c r="S45" s="198">
        <v>12</v>
      </c>
    </row>
    <row r="46" spans="1:19" hidden="1">
      <c r="A46" s="8"/>
      <c r="K46" s="127">
        <v>10</v>
      </c>
      <c r="L46" s="128" t="str">
        <f>'Data Export'!B11</f>
        <v/>
      </c>
      <c r="M46" s="129" t="str">
        <f>IF(L46="", "", Freezers!W9)</f>
        <v/>
      </c>
      <c r="N46" s="129" t="str">
        <f>IF(L46="", "", Freezers!X9)</f>
        <v/>
      </c>
      <c r="O46" s="138" t="str">
        <f>IF(L46="", "", Freezers!J9)</f>
        <v/>
      </c>
      <c r="P46" s="131" t="str">
        <f>IF(L46="", "", Freezers!Y9)</f>
        <v/>
      </c>
      <c r="Q46" s="127" t="str">
        <f t="shared" ref="Q46:Q52" si="1">IF(L46="", "",CONCATENATE($C$10, K46))</f>
        <v/>
      </c>
      <c r="S46" s="198">
        <v>13</v>
      </c>
    </row>
    <row r="47" spans="1:19" hidden="1">
      <c r="A47" s="8"/>
      <c r="K47" s="127">
        <v>11</v>
      </c>
      <c r="L47" s="128" t="str">
        <f>'Data Export'!B12</f>
        <v/>
      </c>
      <c r="M47" s="129" t="str">
        <f>IF(L47="", "", Freezers!W10)</f>
        <v/>
      </c>
      <c r="N47" s="129" t="str">
        <f>IF(L47="", "", Freezers!X10)</f>
        <v/>
      </c>
      <c r="O47" s="138" t="str">
        <f>IF(L47="", "", Freezers!J10)</f>
        <v/>
      </c>
      <c r="P47" s="131" t="str">
        <f>IF(L47="", "", Freezers!Y10)</f>
        <v/>
      </c>
      <c r="Q47" s="127" t="str">
        <f t="shared" si="1"/>
        <v/>
      </c>
      <c r="S47" s="198">
        <v>14</v>
      </c>
    </row>
    <row r="48" spans="1:19" hidden="1">
      <c r="A48" s="8"/>
      <c r="K48" s="127">
        <v>12</v>
      </c>
      <c r="L48" s="128" t="str">
        <f>'Data Export'!B13</f>
        <v/>
      </c>
      <c r="M48" s="129" t="str">
        <f>IF(L48="", "", Freezers!W11)</f>
        <v/>
      </c>
      <c r="N48" s="129" t="str">
        <f>IF(L48="", "", Freezers!X11)</f>
        <v/>
      </c>
      <c r="O48" s="138" t="str">
        <f>IF(L48="", "", Freezers!J11)</f>
        <v/>
      </c>
      <c r="P48" s="131" t="str">
        <f>IF(L48="", "", Freezers!Y11)</f>
        <v/>
      </c>
      <c r="Q48" s="127" t="str">
        <f t="shared" si="1"/>
        <v/>
      </c>
      <c r="S48" s="198">
        <v>15</v>
      </c>
    </row>
    <row r="49" spans="1:19" hidden="1">
      <c r="A49" s="8"/>
      <c r="K49" s="127">
        <v>13</v>
      </c>
      <c r="L49" s="128" t="str">
        <f>'Data Export'!B14</f>
        <v/>
      </c>
      <c r="M49" s="129" t="str">
        <f>IF(L49="", "", Freezers!W12)</f>
        <v/>
      </c>
      <c r="N49" s="129" t="str">
        <f>IF(L49="", "", Freezers!X12)</f>
        <v/>
      </c>
      <c r="O49" s="138" t="str">
        <f>IF(L49="", "", Freezers!J12)</f>
        <v/>
      </c>
      <c r="P49" s="131" t="str">
        <f>IF(L49="", "", Freezers!Y12)</f>
        <v/>
      </c>
      <c r="Q49" s="127" t="str">
        <f t="shared" si="1"/>
        <v/>
      </c>
      <c r="S49" s="198">
        <v>16</v>
      </c>
    </row>
    <row r="50" spans="1:19" hidden="1">
      <c r="A50" s="8"/>
      <c r="K50" s="127">
        <v>14</v>
      </c>
      <c r="L50" s="128" t="str">
        <f>'Data Export'!B15</f>
        <v/>
      </c>
      <c r="M50" s="129" t="str">
        <f>IF(L50="", "", Freezers!W13)</f>
        <v/>
      </c>
      <c r="N50" s="129" t="str">
        <f>IF(L50="", "", Freezers!X13)</f>
        <v/>
      </c>
      <c r="O50" s="138" t="str">
        <f>IF(L50="", "", Freezers!J13)</f>
        <v/>
      </c>
      <c r="P50" s="131" t="str">
        <f>IF(L50="", "", Freezers!Y13)</f>
        <v/>
      </c>
      <c r="Q50" s="127" t="str">
        <f t="shared" si="1"/>
        <v/>
      </c>
      <c r="S50" s="198">
        <v>17</v>
      </c>
    </row>
    <row r="51" spans="1:19" hidden="1">
      <c r="A51" s="8"/>
      <c r="K51" s="127">
        <v>15</v>
      </c>
      <c r="L51" s="128" t="str">
        <f>'Data Export'!B16</f>
        <v/>
      </c>
      <c r="M51" s="129" t="str">
        <f>IF(L51="", "", Freezers!W14)</f>
        <v/>
      </c>
      <c r="N51" s="129" t="str">
        <f>IF(L51="", "", Freezers!X14)</f>
        <v/>
      </c>
      <c r="O51" s="138" t="str">
        <f>IF(L51="", "", Freezers!J14)</f>
        <v/>
      </c>
      <c r="P51" s="131" t="str">
        <f>IF(L51="", "", Freezers!Y14)</f>
        <v/>
      </c>
      <c r="Q51" s="127" t="str">
        <f t="shared" si="1"/>
        <v/>
      </c>
      <c r="S51" s="198">
        <v>18</v>
      </c>
    </row>
    <row r="52" spans="1:19" hidden="1">
      <c r="A52" s="8"/>
      <c r="K52" s="127">
        <v>16</v>
      </c>
      <c r="L52" s="128" t="str">
        <f>'Data Export'!B17</f>
        <v/>
      </c>
      <c r="M52" s="129" t="str">
        <f>IF(L52="", "", Freezers!W15)</f>
        <v/>
      </c>
      <c r="N52" s="129" t="str">
        <f>IF(L52="", "", Freezers!X15)</f>
        <v/>
      </c>
      <c r="O52" s="138" t="str">
        <f>IF(L52="", "", Freezers!J15)</f>
        <v/>
      </c>
      <c r="P52" s="131" t="str">
        <f>IF(L52="", "", Freezers!Y15)</f>
        <v/>
      </c>
      <c r="Q52" s="127" t="str">
        <f t="shared" si="1"/>
        <v/>
      </c>
      <c r="S52" s="198">
        <v>19</v>
      </c>
    </row>
    <row r="53" spans="1:19" hidden="1">
      <c r="A53" s="8"/>
      <c r="K53" s="132"/>
      <c r="L53" s="133" t="s">
        <v>43</v>
      </c>
      <c r="M53" s="134">
        <f>SUM(M45:M52)</f>
        <v>0</v>
      </c>
      <c r="N53" s="134">
        <f>SUM(N45:N52)</f>
        <v>0</v>
      </c>
      <c r="O53" s="135">
        <f>SUM(O45:O52)</f>
        <v>0</v>
      </c>
      <c r="P53" s="136">
        <f>SUM(P45:P52)</f>
        <v>0</v>
      </c>
      <c r="Q53" s="132"/>
      <c r="S53" s="198">
        <v>20</v>
      </c>
    </row>
    <row r="54" spans="1:19" hidden="1">
      <c r="A54" s="8"/>
      <c r="K54" s="125" t="s">
        <v>39</v>
      </c>
      <c r="L54" s="132"/>
      <c r="M54" s="132"/>
      <c r="N54" s="132"/>
      <c r="O54" s="132"/>
      <c r="P54" s="132"/>
      <c r="Q54" s="126" t="s">
        <v>42</v>
      </c>
      <c r="S54" s="198">
        <v>21</v>
      </c>
    </row>
    <row r="55" spans="1:19" hidden="1">
      <c r="A55" s="8"/>
      <c r="K55" s="127">
        <v>17</v>
      </c>
      <c r="L55" s="128" t="str">
        <f>'Data Export'!B18</f>
        <v/>
      </c>
      <c r="M55" s="129" t="str">
        <f>IF(L55="", "", 'Commercial Clothes Washers'!Z8)</f>
        <v/>
      </c>
      <c r="N55" s="129" t="str">
        <f>IF(L55="", "", 'Commercial Clothes Washers'!AA8)</f>
        <v/>
      </c>
      <c r="O55" s="130" t="str">
        <f>IF(L55="", "", 'Commercial Clothes Washers'!K8)</f>
        <v/>
      </c>
      <c r="P55" s="131" t="str">
        <f>IF(L55="", "", 'Commercial Clothes Washers'!AB8)</f>
        <v/>
      </c>
      <c r="Q55" s="127" t="str">
        <f>IF(L55="", "", CONCATENATE($C$10, K55))</f>
        <v/>
      </c>
      <c r="S55" s="198">
        <v>22</v>
      </c>
    </row>
    <row r="56" spans="1:19" hidden="1">
      <c r="A56" s="8"/>
      <c r="K56" s="127">
        <v>18</v>
      </c>
      <c r="L56" s="128" t="str">
        <f>'Data Export'!B19</f>
        <v/>
      </c>
      <c r="M56" s="129" t="str">
        <f>IF(L56="", "", 'Commercial Clothes Washers'!Z9)</f>
        <v/>
      </c>
      <c r="N56" s="129" t="str">
        <f>IF(L56="", "", 'Commercial Clothes Washers'!AA9)</f>
        <v/>
      </c>
      <c r="O56" s="130" t="str">
        <f>IF(L56="", "", 'Commercial Clothes Washers'!K9)</f>
        <v/>
      </c>
      <c r="P56" s="131" t="str">
        <f>IF(L56="", "", 'Commercial Clothes Washers'!AB9)</f>
        <v/>
      </c>
      <c r="Q56" s="127" t="str">
        <f t="shared" ref="Q56:Q62" si="2">IF(L56="", "", CONCATENATE($C$10, K56))</f>
        <v/>
      </c>
      <c r="S56" s="198">
        <v>23</v>
      </c>
    </row>
    <row r="57" spans="1:19" hidden="1">
      <c r="A57" s="8"/>
      <c r="K57" s="127">
        <v>19</v>
      </c>
      <c r="L57" s="128" t="str">
        <f>'Data Export'!B20</f>
        <v/>
      </c>
      <c r="M57" s="129" t="str">
        <f>IF(L57="", "", 'Commercial Clothes Washers'!Z10)</f>
        <v/>
      </c>
      <c r="N57" s="129" t="str">
        <f>IF(L57="", "", 'Commercial Clothes Washers'!AA10)</f>
        <v/>
      </c>
      <c r="O57" s="130" t="str">
        <f>IF(L57="", "", 'Commercial Clothes Washers'!K10)</f>
        <v/>
      </c>
      <c r="P57" s="131" t="str">
        <f>IF(L57="", "", 'Commercial Clothes Washers'!AB10)</f>
        <v/>
      </c>
      <c r="Q57" s="127" t="str">
        <f t="shared" si="2"/>
        <v/>
      </c>
      <c r="S57" s="198">
        <v>24</v>
      </c>
    </row>
    <row r="58" spans="1:19" hidden="1">
      <c r="A58" s="8"/>
      <c r="K58" s="127">
        <v>20</v>
      </c>
      <c r="L58" s="128" t="str">
        <f>'Data Export'!B21</f>
        <v/>
      </c>
      <c r="M58" s="129" t="str">
        <f>IF(L58="", "", 'Commercial Clothes Washers'!Z11)</f>
        <v/>
      </c>
      <c r="N58" s="129" t="str">
        <f>IF(L58="", "", 'Commercial Clothes Washers'!AA11)</f>
        <v/>
      </c>
      <c r="O58" s="130" t="str">
        <f>IF(L58="", "", 'Commercial Clothes Washers'!K11)</f>
        <v/>
      </c>
      <c r="P58" s="131" t="str">
        <f>IF(L58="", "", 'Commercial Clothes Washers'!AB11)</f>
        <v/>
      </c>
      <c r="Q58" s="127" t="str">
        <f t="shared" si="2"/>
        <v/>
      </c>
      <c r="S58" s="198">
        <v>25</v>
      </c>
    </row>
    <row r="59" spans="1:19" hidden="1">
      <c r="A59" s="8"/>
      <c r="K59" s="127">
        <v>21</v>
      </c>
      <c r="L59" s="128" t="str">
        <f>'Data Export'!B22</f>
        <v/>
      </c>
      <c r="M59" s="129" t="str">
        <f>IF(L59="", "", 'Commercial Clothes Washers'!Z12)</f>
        <v/>
      </c>
      <c r="N59" s="129" t="str">
        <f>IF(L59="", "", 'Commercial Clothes Washers'!AA12)</f>
        <v/>
      </c>
      <c r="O59" s="130" t="str">
        <f>IF(L59="", "", 'Commercial Clothes Washers'!K12)</f>
        <v/>
      </c>
      <c r="P59" s="131" t="str">
        <f>IF(L59="", "", 'Commercial Clothes Washers'!AB12)</f>
        <v/>
      </c>
      <c r="Q59" s="127" t="str">
        <f t="shared" si="2"/>
        <v/>
      </c>
      <c r="S59" s="198">
        <v>26</v>
      </c>
    </row>
    <row r="60" spans="1:19" hidden="1">
      <c r="A60" s="8"/>
      <c r="K60" s="127">
        <v>22</v>
      </c>
      <c r="L60" s="128" t="str">
        <f>'Data Export'!B23</f>
        <v/>
      </c>
      <c r="M60" s="129" t="str">
        <f>IF(L60="", "", 'Commercial Clothes Washers'!Z13)</f>
        <v/>
      </c>
      <c r="N60" s="129" t="str">
        <f>IF(L60="", "", 'Commercial Clothes Washers'!AA13)</f>
        <v/>
      </c>
      <c r="O60" s="130" t="str">
        <f>IF(L60="", "", 'Commercial Clothes Washers'!K13)</f>
        <v/>
      </c>
      <c r="P60" s="131" t="str">
        <f>IF(L60="", "", 'Commercial Clothes Washers'!AB13)</f>
        <v/>
      </c>
      <c r="Q60" s="127" t="str">
        <f t="shared" si="2"/>
        <v/>
      </c>
      <c r="S60" s="198">
        <v>27</v>
      </c>
    </row>
    <row r="61" spans="1:19" hidden="1">
      <c r="A61" s="8"/>
      <c r="K61" s="127">
        <v>23</v>
      </c>
      <c r="L61" s="128" t="str">
        <f>'Data Export'!B24</f>
        <v/>
      </c>
      <c r="M61" s="129" t="str">
        <f>IF(L61="", "", 'Commercial Clothes Washers'!Z14)</f>
        <v/>
      </c>
      <c r="N61" s="129" t="str">
        <f>IF(L61="", "", 'Commercial Clothes Washers'!AA14)</f>
        <v/>
      </c>
      <c r="O61" s="130" t="str">
        <f>IF(L61="", "", 'Commercial Clothes Washers'!K14)</f>
        <v/>
      </c>
      <c r="P61" s="131" t="str">
        <f>IF(L61="", "", 'Commercial Clothes Washers'!AB14)</f>
        <v/>
      </c>
      <c r="Q61" s="127" t="str">
        <f t="shared" si="2"/>
        <v/>
      </c>
      <c r="S61" s="198">
        <v>28</v>
      </c>
    </row>
    <row r="62" spans="1:19" hidden="1">
      <c r="A62" s="8"/>
      <c r="K62" s="127">
        <v>24</v>
      </c>
      <c r="L62" s="128" t="str">
        <f>'Data Export'!B25</f>
        <v/>
      </c>
      <c r="M62" s="129" t="str">
        <f>IF(L62="", "", 'Commercial Clothes Washers'!Z15)</f>
        <v/>
      </c>
      <c r="N62" s="129" t="str">
        <f>IF(L62="", "", 'Commercial Clothes Washers'!AA15)</f>
        <v/>
      </c>
      <c r="O62" s="130" t="str">
        <f>IF(L62="", "", 'Commercial Clothes Washers'!K15)</f>
        <v/>
      </c>
      <c r="P62" s="131" t="str">
        <f>IF(L62="", "", 'Commercial Clothes Washers'!AB15)</f>
        <v/>
      </c>
      <c r="Q62" s="127" t="str">
        <f t="shared" si="2"/>
        <v/>
      </c>
      <c r="S62" s="198">
        <v>29</v>
      </c>
    </row>
    <row r="63" spans="1:19" hidden="1">
      <c r="A63" s="8"/>
      <c r="K63" s="132"/>
      <c r="L63" s="133" t="s">
        <v>43</v>
      </c>
      <c r="M63" s="137">
        <f>SUM(M55:M62)</f>
        <v>0</v>
      </c>
      <c r="N63" s="131">
        <f>SUM(N55:N62)</f>
        <v>0</v>
      </c>
      <c r="O63" s="127">
        <f>SUM(O55:O62)</f>
        <v>0</v>
      </c>
      <c r="P63" s="131">
        <f>SUM(P55:P62)</f>
        <v>0</v>
      </c>
      <c r="Q63" s="132"/>
      <c r="S63" s="198">
        <v>30</v>
      </c>
    </row>
    <row r="64" spans="1:19" hidden="1">
      <c r="A64" s="8"/>
      <c r="K64" s="125" t="s">
        <v>39</v>
      </c>
      <c r="L64" s="132"/>
      <c r="M64" s="132"/>
      <c r="N64" s="132"/>
      <c r="O64" s="132"/>
      <c r="P64" s="132"/>
      <c r="Q64" s="126" t="s">
        <v>42</v>
      </c>
      <c r="S64" s="198">
        <v>31</v>
      </c>
    </row>
    <row r="65" spans="1:19" hidden="1">
      <c r="A65" s="8"/>
      <c r="K65" s="127">
        <v>25</v>
      </c>
      <c r="L65" s="128" t="str">
        <f>'Data Export'!B26</f>
        <v/>
      </c>
      <c r="M65" s="137" t="str">
        <f>IF(L65="", "", 'Clothes Dryers'!S8)</f>
        <v/>
      </c>
      <c r="N65" s="137" t="str">
        <f>IF(L65="", "", 'Clothes Dryers'!T8)</f>
        <v/>
      </c>
      <c r="O65" s="130" t="str">
        <f>IF(L65="", "", 'Clothes Dryers'!H8)</f>
        <v/>
      </c>
      <c r="P65" s="131" t="str">
        <f>IF(L65="", "", 'Clothes Dryers'!U8)</f>
        <v/>
      </c>
      <c r="Q65" s="127" t="str">
        <f>IF(L65="", "", CONCATENATE($C$10, K65))</f>
        <v/>
      </c>
      <c r="S65" s="198">
        <v>32</v>
      </c>
    </row>
    <row r="66" spans="1:19" hidden="1">
      <c r="A66" s="8"/>
      <c r="K66" s="127">
        <v>26</v>
      </c>
      <c r="L66" s="128" t="str">
        <f>'Data Export'!B27</f>
        <v/>
      </c>
      <c r="M66" s="137" t="str">
        <f>IF(L66="", "", 'Clothes Dryers'!S9)</f>
        <v/>
      </c>
      <c r="N66" s="137" t="str">
        <f>IF(L66="", "", 'Clothes Dryers'!T9)</f>
        <v/>
      </c>
      <c r="O66" s="130" t="str">
        <f>IF(L66="", "", 'Clothes Dryers'!H9)</f>
        <v/>
      </c>
      <c r="P66" s="131" t="str">
        <f>IF(L66="", "", 'Clothes Dryers'!U9)</f>
        <v/>
      </c>
      <c r="Q66" s="127" t="str">
        <f t="shared" ref="Q66:Q72" si="3">IF(L66="", "", CONCATENATE($C$10, K66))</f>
        <v/>
      </c>
      <c r="S66" s="198">
        <v>33</v>
      </c>
    </row>
    <row r="67" spans="1:19" hidden="1">
      <c r="A67" s="8"/>
      <c r="K67" s="127">
        <v>27</v>
      </c>
      <c r="L67" s="128" t="str">
        <f>'Data Export'!B28</f>
        <v/>
      </c>
      <c r="M67" s="137" t="str">
        <f>IF(L67="", "", 'Clothes Dryers'!S10)</f>
        <v/>
      </c>
      <c r="N67" s="137" t="str">
        <f>IF(L67="", "", 'Clothes Dryers'!T10)</f>
        <v/>
      </c>
      <c r="O67" s="130" t="str">
        <f>IF(L67="", "", 'Clothes Dryers'!H10)</f>
        <v/>
      </c>
      <c r="P67" s="131" t="str">
        <f>IF(L67="", "", 'Clothes Dryers'!U10)</f>
        <v/>
      </c>
      <c r="Q67" s="127" t="str">
        <f t="shared" si="3"/>
        <v/>
      </c>
      <c r="S67" s="198">
        <v>34</v>
      </c>
    </row>
    <row r="68" spans="1:19" hidden="1">
      <c r="A68" s="8"/>
      <c r="K68" s="127">
        <v>28</v>
      </c>
      <c r="L68" s="128" t="str">
        <f>'Data Export'!B29</f>
        <v/>
      </c>
      <c r="M68" s="137" t="str">
        <f>IF(L68="", "", 'Clothes Dryers'!S11)</f>
        <v/>
      </c>
      <c r="N68" s="137" t="str">
        <f>IF(L68="", "", 'Clothes Dryers'!T11)</f>
        <v/>
      </c>
      <c r="O68" s="130" t="str">
        <f>IF(L68="", "", 'Clothes Dryers'!H11)</f>
        <v/>
      </c>
      <c r="P68" s="131" t="str">
        <f>IF(L68="", "", 'Clothes Dryers'!U11)</f>
        <v/>
      </c>
      <c r="Q68" s="127" t="str">
        <f t="shared" si="3"/>
        <v/>
      </c>
      <c r="S68" s="198">
        <v>35</v>
      </c>
    </row>
    <row r="69" spans="1:19" hidden="1">
      <c r="A69" s="8"/>
      <c r="K69" s="127">
        <v>29</v>
      </c>
      <c r="L69" s="128" t="str">
        <f>'Data Export'!B30</f>
        <v/>
      </c>
      <c r="M69" s="137" t="str">
        <f>IF(L69="", "", 'Clothes Dryers'!S12)</f>
        <v/>
      </c>
      <c r="N69" s="137" t="str">
        <f>IF(L69="", "", 'Clothes Dryers'!T12)</f>
        <v/>
      </c>
      <c r="O69" s="130" t="str">
        <f>IF(L69="", "", 'Clothes Dryers'!H12)</f>
        <v/>
      </c>
      <c r="P69" s="131" t="str">
        <f>IF(L69="", "", 'Clothes Dryers'!U12)</f>
        <v/>
      </c>
      <c r="Q69" s="127" t="str">
        <f t="shared" si="3"/>
        <v/>
      </c>
      <c r="S69" s="198">
        <v>36</v>
      </c>
    </row>
    <row r="70" spans="1:19" hidden="1">
      <c r="A70" s="8"/>
      <c r="K70" s="127">
        <v>30</v>
      </c>
      <c r="L70" s="128" t="str">
        <f>'Data Export'!B31</f>
        <v/>
      </c>
      <c r="M70" s="137" t="str">
        <f>IF(L70="", "", 'Clothes Dryers'!S13)</f>
        <v/>
      </c>
      <c r="N70" s="137" t="str">
        <f>IF(L70="", "", 'Clothes Dryers'!T13)</f>
        <v/>
      </c>
      <c r="O70" s="130" t="str">
        <f>IF(L70="", "", 'Clothes Dryers'!H13)</f>
        <v/>
      </c>
      <c r="P70" s="131" t="str">
        <f>IF(L70="", "", 'Clothes Dryers'!U13)</f>
        <v/>
      </c>
      <c r="Q70" s="127" t="str">
        <f t="shared" si="3"/>
        <v/>
      </c>
      <c r="S70" s="198">
        <v>37</v>
      </c>
    </row>
    <row r="71" spans="1:19" hidden="1">
      <c r="A71" s="8"/>
      <c r="K71" s="127">
        <v>31</v>
      </c>
      <c r="L71" s="128" t="str">
        <f>'Data Export'!B32</f>
        <v/>
      </c>
      <c r="M71" s="137" t="str">
        <f>IF(L71="", "", 'Clothes Dryers'!S14)</f>
        <v/>
      </c>
      <c r="N71" s="137" t="str">
        <f>IF(L71="", "", 'Clothes Dryers'!T14)</f>
        <v/>
      </c>
      <c r="O71" s="130" t="str">
        <f>IF(L71="", "", 'Clothes Dryers'!H14)</f>
        <v/>
      </c>
      <c r="P71" s="131" t="str">
        <f>IF(L71="", "", 'Clothes Dryers'!U14)</f>
        <v/>
      </c>
      <c r="Q71" s="127" t="str">
        <f t="shared" si="3"/>
        <v/>
      </c>
      <c r="S71" s="198">
        <v>38</v>
      </c>
    </row>
    <row r="72" spans="1:19" hidden="1">
      <c r="A72" s="8"/>
      <c r="K72" s="127">
        <v>32</v>
      </c>
      <c r="L72" s="128" t="str">
        <f>'Data Export'!B33</f>
        <v/>
      </c>
      <c r="M72" s="137" t="str">
        <f>IF(L72="", "", 'Clothes Dryers'!S15)</f>
        <v/>
      </c>
      <c r="N72" s="137" t="str">
        <f>IF(L72="", "", 'Clothes Dryers'!T15)</f>
        <v/>
      </c>
      <c r="O72" s="130" t="str">
        <f>IF(L72="", "", 'Clothes Dryers'!H15)</f>
        <v/>
      </c>
      <c r="P72" s="131" t="str">
        <f>IF(L72="", "", 'Clothes Dryers'!U15)</f>
        <v/>
      </c>
      <c r="Q72" s="127" t="str">
        <f t="shared" si="3"/>
        <v/>
      </c>
      <c r="S72" s="198">
        <v>39</v>
      </c>
    </row>
    <row r="73" spans="1:19" hidden="1">
      <c r="A73" s="8"/>
      <c r="K73" s="132"/>
      <c r="L73" s="133" t="s">
        <v>43</v>
      </c>
      <c r="M73" s="137">
        <f>SUM(M65:M72)</f>
        <v>0</v>
      </c>
      <c r="N73" s="137">
        <f>SUM(N65:N72)</f>
        <v>0</v>
      </c>
      <c r="O73" s="130">
        <f>SUM(O65:O72)</f>
        <v>0</v>
      </c>
      <c r="P73" s="131">
        <f>SUM(P65:P72)</f>
        <v>0</v>
      </c>
      <c r="Q73" s="132"/>
      <c r="S73" s="198">
        <v>40</v>
      </c>
    </row>
    <row r="74" spans="1:19" hidden="1">
      <c r="A74" s="8"/>
      <c r="K74" s="125" t="s">
        <v>39</v>
      </c>
      <c r="L74" s="132"/>
      <c r="M74" s="132"/>
      <c r="N74" s="132"/>
      <c r="O74" s="132"/>
      <c r="P74" s="132"/>
      <c r="Q74" s="126" t="s">
        <v>42</v>
      </c>
      <c r="S74" s="198">
        <v>41</v>
      </c>
    </row>
    <row r="75" spans="1:19" hidden="1">
      <c r="A75" s="8"/>
      <c r="K75" s="127">
        <v>33</v>
      </c>
      <c r="L75" s="128" t="str">
        <f>'Data Export'!B34</f>
        <v/>
      </c>
      <c r="M75" s="134" t="str">
        <f>IF(L75="", "", 'Water Heaters'!AB8)</f>
        <v/>
      </c>
      <c r="N75" s="134" t="str">
        <f>IF(L75="", "", 'Water Heaters'!AC8)</f>
        <v/>
      </c>
      <c r="O75" s="154" t="str">
        <f>IF(L75="", "", 'Water Heaters'!M8)</f>
        <v/>
      </c>
      <c r="P75" s="136" t="str">
        <f>IF(L75="", "", 'Water Heaters'!AD8)</f>
        <v/>
      </c>
      <c r="Q75" s="127" t="str">
        <f>IF(L75="", "", CONCATENATE($C$10, K75))</f>
        <v/>
      </c>
      <c r="S75" s="198">
        <v>42</v>
      </c>
    </row>
    <row r="76" spans="1:19" hidden="1">
      <c r="A76" s="8"/>
      <c r="K76" s="127">
        <v>34</v>
      </c>
      <c r="L76" s="128" t="str">
        <f>'Data Export'!B35</f>
        <v/>
      </c>
      <c r="M76" s="134" t="str">
        <f>IF(L76="", "", 'Water Heaters'!AB9)</f>
        <v/>
      </c>
      <c r="N76" s="134" t="str">
        <f>IF(L76="", "", 'Water Heaters'!AC9)</f>
        <v/>
      </c>
      <c r="O76" s="154" t="str">
        <f>IF(L76="", "", 'Water Heaters'!M9)</f>
        <v/>
      </c>
      <c r="P76" s="136" t="str">
        <f>IF(L76="", "", 'Water Heaters'!AD9)</f>
        <v/>
      </c>
      <c r="Q76" s="127" t="str">
        <f t="shared" ref="Q76:Q82" si="4">IF(L76="", "", CONCATENATE($C$10, K76))</f>
        <v/>
      </c>
      <c r="S76" s="198">
        <v>43</v>
      </c>
    </row>
    <row r="77" spans="1:19" hidden="1">
      <c r="A77" s="8"/>
      <c r="K77" s="127">
        <v>35</v>
      </c>
      <c r="L77" s="128" t="str">
        <f>'Data Export'!B36</f>
        <v/>
      </c>
      <c r="M77" s="134" t="str">
        <f>IF(L77="", "", 'Water Heaters'!AB10)</f>
        <v/>
      </c>
      <c r="N77" s="134" t="str">
        <f>IF(L77="", "", 'Water Heaters'!AC10)</f>
        <v/>
      </c>
      <c r="O77" s="154" t="str">
        <f>IF(L77="", "", 'Water Heaters'!M10)</f>
        <v/>
      </c>
      <c r="P77" s="136" t="str">
        <f>IF(L77="", "", 'Water Heaters'!AD10)</f>
        <v/>
      </c>
      <c r="Q77" s="127" t="str">
        <f t="shared" si="4"/>
        <v/>
      </c>
      <c r="S77" s="198">
        <v>44</v>
      </c>
    </row>
    <row r="78" spans="1:19" hidden="1">
      <c r="A78" s="8"/>
      <c r="K78" s="127">
        <v>36</v>
      </c>
      <c r="L78" s="128" t="str">
        <f>'Data Export'!B37</f>
        <v/>
      </c>
      <c r="M78" s="134" t="str">
        <f>IF(L78="", "", 'Water Heaters'!AB11)</f>
        <v/>
      </c>
      <c r="N78" s="134" t="str">
        <f>IF(L78="", "", 'Water Heaters'!AC11)</f>
        <v/>
      </c>
      <c r="O78" s="154" t="str">
        <f>IF(L78="", "", 'Water Heaters'!M11)</f>
        <v/>
      </c>
      <c r="P78" s="136" t="str">
        <f>IF(L78="", "", 'Water Heaters'!AD11)</f>
        <v/>
      </c>
      <c r="Q78" s="127" t="str">
        <f t="shared" si="4"/>
        <v/>
      </c>
      <c r="S78" s="198">
        <v>45</v>
      </c>
    </row>
    <row r="79" spans="1:19" hidden="1">
      <c r="A79" s="8"/>
      <c r="K79" s="127">
        <v>37</v>
      </c>
      <c r="L79" s="128" t="str">
        <f>'Data Export'!B38</f>
        <v/>
      </c>
      <c r="M79" s="134" t="str">
        <f>IF(L79="", "", 'Water Heaters'!AB12)</f>
        <v/>
      </c>
      <c r="N79" s="134" t="str">
        <f>IF(L79="", "", 'Water Heaters'!AC12)</f>
        <v/>
      </c>
      <c r="O79" s="154" t="str">
        <f>IF(L79="", "", 'Water Heaters'!M12)</f>
        <v/>
      </c>
      <c r="P79" s="136" t="str">
        <f>IF(L79="", "", 'Water Heaters'!AD12)</f>
        <v/>
      </c>
      <c r="Q79" s="127" t="str">
        <f t="shared" si="4"/>
        <v/>
      </c>
      <c r="S79" s="198">
        <v>46</v>
      </c>
    </row>
    <row r="80" spans="1:19" hidden="1">
      <c r="A80" s="8"/>
      <c r="K80" s="127">
        <v>38</v>
      </c>
      <c r="L80" s="128" t="str">
        <f>'Data Export'!B39</f>
        <v/>
      </c>
      <c r="M80" s="134" t="str">
        <f>IF(L80="", "", 'Water Heaters'!AB13)</f>
        <v/>
      </c>
      <c r="N80" s="134" t="str">
        <f>IF(L80="", "", 'Water Heaters'!AC13)</f>
        <v/>
      </c>
      <c r="O80" s="154" t="str">
        <f>IF(L80="", "", 'Water Heaters'!M13)</f>
        <v/>
      </c>
      <c r="P80" s="136" t="str">
        <f>IF(L80="", "", 'Water Heaters'!AD13)</f>
        <v/>
      </c>
      <c r="Q80" s="127" t="str">
        <f t="shared" si="4"/>
        <v/>
      </c>
      <c r="S80" s="198">
        <v>47</v>
      </c>
    </row>
    <row r="81" spans="1:19" hidden="1">
      <c r="A81" s="8"/>
      <c r="K81" s="127">
        <v>39</v>
      </c>
      <c r="L81" s="128" t="str">
        <f>'Data Export'!B40</f>
        <v/>
      </c>
      <c r="M81" s="134" t="str">
        <f>IF(L81="", "", 'Water Heaters'!AB14)</f>
        <v/>
      </c>
      <c r="N81" s="134" t="str">
        <f>IF(L81="", "", 'Water Heaters'!AC14)</f>
        <v/>
      </c>
      <c r="O81" s="154" t="str">
        <f>IF(L81="", "", 'Water Heaters'!M14)</f>
        <v/>
      </c>
      <c r="P81" s="136" t="str">
        <f>IF(L81="", "", 'Water Heaters'!AD14)</f>
        <v/>
      </c>
      <c r="Q81" s="127" t="str">
        <f t="shared" si="4"/>
        <v/>
      </c>
      <c r="S81" s="198">
        <v>48</v>
      </c>
    </row>
    <row r="82" spans="1:19" hidden="1">
      <c r="A82" s="8"/>
      <c r="K82" s="127">
        <v>40</v>
      </c>
      <c r="L82" s="128" t="str">
        <f>'Data Export'!B41</f>
        <v/>
      </c>
      <c r="M82" s="134" t="str">
        <f>IF(L82="", "", 'Water Heaters'!AB15)</f>
        <v/>
      </c>
      <c r="N82" s="134" t="str">
        <f>IF(L82="", "", 'Water Heaters'!AC15)</f>
        <v/>
      </c>
      <c r="O82" s="154" t="str">
        <f>IF(L82="", "", 'Water Heaters'!M15)</f>
        <v/>
      </c>
      <c r="P82" s="136" t="str">
        <f>IF(L82="", "", 'Water Heaters'!AD15)</f>
        <v/>
      </c>
      <c r="Q82" s="127" t="str">
        <f t="shared" si="4"/>
        <v/>
      </c>
      <c r="S82" s="198">
        <v>49</v>
      </c>
    </row>
    <row r="83" spans="1:19" hidden="1">
      <c r="A83" s="8"/>
      <c r="K83" s="132"/>
      <c r="L83" s="133" t="s">
        <v>43</v>
      </c>
      <c r="M83" s="129">
        <f>SUM(M75:M82)</f>
        <v>0</v>
      </c>
      <c r="N83" s="129">
        <f>SUM(N75:N82)</f>
        <v>0</v>
      </c>
      <c r="O83" s="138">
        <f>SUM(O75:O82)</f>
        <v>0</v>
      </c>
      <c r="P83" s="129">
        <f>SUM(P75:P82)</f>
        <v>0</v>
      </c>
      <c r="Q83" s="132"/>
      <c r="S83" s="198">
        <v>50</v>
      </c>
    </row>
    <row r="84" spans="1:19" hidden="1">
      <c r="A84" s="8"/>
      <c r="K84" s="125" t="s">
        <v>39</v>
      </c>
      <c r="L84" s="132"/>
      <c r="M84" s="132"/>
      <c r="N84" s="132"/>
      <c r="O84" s="132"/>
      <c r="P84" s="132"/>
      <c r="Q84" s="126" t="s">
        <v>42</v>
      </c>
      <c r="S84" s="198">
        <v>51</v>
      </c>
    </row>
    <row r="85" spans="1:19" hidden="1">
      <c r="A85" s="8"/>
      <c r="K85" s="127">
        <v>41</v>
      </c>
      <c r="L85" s="128" t="str">
        <f>'Data Export'!B42</f>
        <v/>
      </c>
      <c r="M85" s="129" t="str">
        <f>IF(L85="", "", 'Window Air Conditioners'!Z7)</f>
        <v/>
      </c>
      <c r="N85" s="129" t="str">
        <f>IF(L85="", "", 'Window Air Conditioners'!AA7)</f>
        <v/>
      </c>
      <c r="O85" s="127" t="str">
        <f>IF(L85="", "", 'Window Air Conditioners'!L7)</f>
        <v/>
      </c>
      <c r="P85" s="131" t="str">
        <f>IF(L85="", "", 'Window Air Conditioners'!AB7)</f>
        <v/>
      </c>
      <c r="Q85" s="127" t="str">
        <f>IF(L85="", "", CONCATENATE($C$10, K85))</f>
        <v/>
      </c>
      <c r="S85" s="198">
        <v>52</v>
      </c>
    </row>
    <row r="86" spans="1:19" hidden="1">
      <c r="A86" s="8"/>
      <c r="K86" s="127">
        <v>42</v>
      </c>
      <c r="L86" s="128" t="str">
        <f>'Data Export'!B43</f>
        <v/>
      </c>
      <c r="M86" s="129" t="str">
        <f>IF(L86="", "", 'Window Air Conditioners'!Z8)</f>
        <v/>
      </c>
      <c r="N86" s="129" t="str">
        <f>IF(L86="", "", 'Window Air Conditioners'!AA8)</f>
        <v/>
      </c>
      <c r="O86" s="127" t="str">
        <f>IF(L86="", "", 'Window Air Conditioners'!L8)</f>
        <v/>
      </c>
      <c r="P86" s="131" t="str">
        <f>IF(L86="", "", 'Window Air Conditioners'!AB8)</f>
        <v/>
      </c>
      <c r="Q86" s="127" t="str">
        <f t="shared" ref="Q86:Q92" si="5">IF(L86="", "", CONCATENATE($C$10, K86))</f>
        <v/>
      </c>
      <c r="S86" s="198">
        <v>53</v>
      </c>
    </row>
    <row r="87" spans="1:19" hidden="1">
      <c r="A87" s="8"/>
      <c r="K87" s="127">
        <v>43</v>
      </c>
      <c r="L87" s="128" t="str">
        <f>'Data Export'!B44</f>
        <v/>
      </c>
      <c r="M87" s="129" t="str">
        <f>IF(L87="", "", 'Window Air Conditioners'!Z9)</f>
        <v/>
      </c>
      <c r="N87" s="129" t="str">
        <f>IF(L87="", "", 'Window Air Conditioners'!AA9)</f>
        <v/>
      </c>
      <c r="O87" s="127" t="str">
        <f>IF(L87="", "", 'Window Air Conditioners'!L9)</f>
        <v/>
      </c>
      <c r="P87" s="131" t="str">
        <f>IF(L87="", "", 'Window Air Conditioners'!AB9)</f>
        <v/>
      </c>
      <c r="Q87" s="127" t="str">
        <f t="shared" si="5"/>
        <v/>
      </c>
      <c r="S87" s="198">
        <v>54</v>
      </c>
    </row>
    <row r="88" spans="1:19" hidden="1">
      <c r="A88" s="8"/>
      <c r="K88" s="127">
        <v>44</v>
      </c>
      <c r="L88" s="128" t="str">
        <f>'Data Export'!B45</f>
        <v/>
      </c>
      <c r="M88" s="129" t="str">
        <f>IF(L88="", "", 'Window Air Conditioners'!Z10)</f>
        <v/>
      </c>
      <c r="N88" s="129" t="str">
        <f>IF(L88="", "", 'Window Air Conditioners'!AA10)</f>
        <v/>
      </c>
      <c r="O88" s="127" t="str">
        <f>IF(L88="", "", 'Window Air Conditioners'!L10)</f>
        <v/>
      </c>
      <c r="P88" s="131" t="str">
        <f>IF(L88="", "", 'Window Air Conditioners'!AB10)</f>
        <v/>
      </c>
      <c r="Q88" s="127" t="str">
        <f t="shared" si="5"/>
        <v/>
      </c>
      <c r="S88" s="198">
        <v>55</v>
      </c>
    </row>
    <row r="89" spans="1:19" hidden="1">
      <c r="A89" s="8"/>
      <c r="K89" s="127">
        <v>45</v>
      </c>
      <c r="L89" s="128" t="str">
        <f>'Data Export'!B46</f>
        <v/>
      </c>
      <c r="M89" s="129" t="str">
        <f>IF(L89="", "", 'Window Air Conditioners'!Z11)</f>
        <v/>
      </c>
      <c r="N89" s="129" t="str">
        <f>IF(L89="", "", 'Window Air Conditioners'!AA11)</f>
        <v/>
      </c>
      <c r="O89" s="127" t="str">
        <f>IF(L89="", "", 'Window Air Conditioners'!L11)</f>
        <v/>
      </c>
      <c r="P89" s="131" t="str">
        <f>IF(L89="", "", 'Window Air Conditioners'!AB11)</f>
        <v/>
      </c>
      <c r="Q89" s="127" t="str">
        <f t="shared" si="5"/>
        <v/>
      </c>
      <c r="S89" s="198">
        <v>56</v>
      </c>
    </row>
    <row r="90" spans="1:19" hidden="1">
      <c r="A90" s="8"/>
      <c r="K90" s="127">
        <v>46</v>
      </c>
      <c r="L90" s="128" t="str">
        <f>'Data Export'!B47</f>
        <v/>
      </c>
      <c r="M90" s="129" t="str">
        <f>IF(L90="", "", 'Window Air Conditioners'!Z12)</f>
        <v/>
      </c>
      <c r="N90" s="129" t="str">
        <f>IF(L90="", "", 'Window Air Conditioners'!AA12)</f>
        <v/>
      </c>
      <c r="O90" s="127" t="str">
        <f>IF(L90="", "", 'Window Air Conditioners'!L12)</f>
        <v/>
      </c>
      <c r="P90" s="131" t="str">
        <f>IF(L90="", "", 'Window Air Conditioners'!AB12)</f>
        <v/>
      </c>
      <c r="Q90" s="127" t="str">
        <f t="shared" si="5"/>
        <v/>
      </c>
      <c r="S90" s="198">
        <v>57</v>
      </c>
    </row>
    <row r="91" spans="1:19" hidden="1">
      <c r="A91" s="8"/>
      <c r="K91" s="127">
        <v>47</v>
      </c>
      <c r="L91" s="128" t="str">
        <f>'Data Export'!B48</f>
        <v/>
      </c>
      <c r="M91" s="129" t="str">
        <f>IF(L91="", "", 'Window Air Conditioners'!Z13)</f>
        <v/>
      </c>
      <c r="N91" s="129" t="str">
        <f>IF(L91="", "", 'Window Air Conditioners'!AA13)</f>
        <v/>
      </c>
      <c r="O91" s="127" t="str">
        <f>IF(L91="", "", 'Window Air Conditioners'!L13)</f>
        <v/>
      </c>
      <c r="P91" s="131" t="str">
        <f>IF(L91="", "", 'Window Air Conditioners'!AB13)</f>
        <v/>
      </c>
      <c r="Q91" s="127" t="str">
        <f t="shared" si="5"/>
        <v/>
      </c>
      <c r="S91" s="198">
        <v>58</v>
      </c>
    </row>
    <row r="92" spans="1:19" hidden="1">
      <c r="A92" s="8"/>
      <c r="K92" s="127">
        <v>48</v>
      </c>
      <c r="L92" s="128" t="str">
        <f>'Data Export'!B49</f>
        <v/>
      </c>
      <c r="M92" s="129" t="str">
        <f>IF(L92="", "", 'Window Air Conditioners'!Z14)</f>
        <v/>
      </c>
      <c r="N92" s="129" t="str">
        <f>IF(L92="", "", 'Window Air Conditioners'!AA14)</f>
        <v/>
      </c>
      <c r="O92" s="127" t="str">
        <f>IF(L92="", "", 'Window Air Conditioners'!L14)</f>
        <v/>
      </c>
      <c r="P92" s="131" t="str">
        <f>IF(L92="", "", 'Window Air Conditioners'!AB14)</f>
        <v/>
      </c>
      <c r="Q92" s="127" t="str">
        <f t="shared" si="5"/>
        <v/>
      </c>
      <c r="S92" s="198">
        <v>59</v>
      </c>
    </row>
    <row r="93" spans="1:19" hidden="1">
      <c r="A93" s="8"/>
      <c r="K93" s="132"/>
      <c r="L93" s="133" t="s">
        <v>43</v>
      </c>
      <c r="M93" s="129">
        <f>SUM(M85:M92)</f>
        <v>0</v>
      </c>
      <c r="N93" s="129">
        <f>SUM(N85:N92)</f>
        <v>0</v>
      </c>
      <c r="O93" s="138">
        <f>SUM(O85:O92)</f>
        <v>0</v>
      </c>
      <c r="P93" s="131">
        <f>SUM(P85:P92)</f>
        <v>0</v>
      </c>
      <c r="Q93" s="132"/>
      <c r="S93" s="198">
        <v>60</v>
      </c>
    </row>
    <row r="94" spans="1:19" hidden="1">
      <c r="A94" s="8"/>
      <c r="K94" s="41" t="s">
        <v>39</v>
      </c>
      <c r="M94" s="132"/>
      <c r="N94" s="132"/>
      <c r="O94" s="132"/>
      <c r="P94" s="132"/>
      <c r="Q94" s="126" t="s">
        <v>42</v>
      </c>
      <c r="S94" s="198">
        <v>61</v>
      </c>
    </row>
    <row r="95" spans="1:19" hidden="1">
      <c r="A95" s="8"/>
      <c r="K95" s="3">
        <v>49</v>
      </c>
      <c r="L95" s="48" t="str">
        <f>'Data Export'!B50</f>
        <v>Pre Rinse Spray Nozzles</v>
      </c>
      <c r="M95" s="129">
        <f>IF(L95="", "", 'Pre Rinse Sprayers'!P7)</f>
        <v>3.7039692223524712E-2</v>
      </c>
      <c r="N95" s="129">
        <f>IF(L95="", "", 'Pre Rinse Sprayers'!Q7)</f>
        <v>143.01039468542359</v>
      </c>
      <c r="O95" s="130">
        <f>IF(L95="", "", 'Pre Rinse Sprayers'!H7)</f>
        <v>1</v>
      </c>
      <c r="P95" s="131">
        <f>IF(L95="", "", 'Pre Rinse Sprayers'!R7)</f>
        <v>35</v>
      </c>
      <c r="Q95" s="127" t="str">
        <f>IF(L95="", "", CONCATENATE($C$10, K95))</f>
        <v>49</v>
      </c>
      <c r="S95" s="198">
        <v>62</v>
      </c>
    </row>
    <row r="96" spans="1:19" hidden="1">
      <c r="A96" s="8"/>
      <c r="K96" s="3">
        <v>50</v>
      </c>
      <c r="L96" s="48" t="str">
        <f>'Data Export'!B51</f>
        <v/>
      </c>
      <c r="M96" s="129" t="str">
        <f>IF(L96="", "", 'Pre Rinse Sprayers'!P8)</f>
        <v/>
      </c>
      <c r="N96" s="129" t="str">
        <f>IF(L96="", "", 'Pre Rinse Sprayers'!Q8)</f>
        <v/>
      </c>
      <c r="O96" s="130" t="str">
        <f>IF(L96="", "", 'Pre Rinse Sprayers'!H8)</f>
        <v/>
      </c>
      <c r="P96" s="131" t="str">
        <f>IF(L96="", "", 'Pre Rinse Sprayers'!R8)</f>
        <v/>
      </c>
      <c r="Q96" s="127" t="str">
        <f t="shared" ref="Q96:Q102" si="6">IF(L96="", "", CONCATENATE($C$10, K96))</f>
        <v/>
      </c>
      <c r="S96" s="198">
        <v>63</v>
      </c>
    </row>
    <row r="97" spans="1:19" hidden="1">
      <c r="A97" s="8"/>
      <c r="K97" s="3">
        <v>51</v>
      </c>
      <c r="L97" s="48" t="str">
        <f>'Data Export'!B52</f>
        <v/>
      </c>
      <c r="M97" s="129" t="str">
        <f>IF(L97="", "", 'Pre Rinse Sprayers'!P9)</f>
        <v/>
      </c>
      <c r="N97" s="129" t="str">
        <f>IF(L97="", "", 'Pre Rinse Sprayers'!Q9)</f>
        <v/>
      </c>
      <c r="O97" s="130" t="str">
        <f>IF(L97="", "", 'Pre Rinse Sprayers'!H9)</f>
        <v/>
      </c>
      <c r="P97" s="131" t="str">
        <f>IF(L97="", "", 'Pre Rinse Sprayers'!R9)</f>
        <v/>
      </c>
      <c r="Q97" s="127" t="str">
        <f t="shared" si="6"/>
        <v/>
      </c>
      <c r="S97" s="198">
        <v>64</v>
      </c>
    </row>
    <row r="98" spans="1:19" hidden="1">
      <c r="A98" s="8"/>
      <c r="K98" s="3">
        <v>52</v>
      </c>
      <c r="L98" s="48" t="str">
        <f>'Data Export'!B53</f>
        <v/>
      </c>
      <c r="M98" s="129" t="str">
        <f>IF(L98="", "", 'Pre Rinse Sprayers'!P10)</f>
        <v/>
      </c>
      <c r="N98" s="129" t="str">
        <f>IF(L98="", "", 'Pre Rinse Sprayers'!Q10)</f>
        <v/>
      </c>
      <c r="O98" s="130" t="str">
        <f>IF(L98="", "", 'Pre Rinse Sprayers'!H10)</f>
        <v/>
      </c>
      <c r="P98" s="131" t="str">
        <f>IF(L98="", "", 'Pre Rinse Sprayers'!R10)</f>
        <v/>
      </c>
      <c r="Q98" s="127" t="str">
        <f t="shared" si="6"/>
        <v/>
      </c>
      <c r="S98" s="198">
        <v>65</v>
      </c>
    </row>
    <row r="99" spans="1:19" hidden="1">
      <c r="A99" s="8"/>
      <c r="K99" s="3">
        <v>53</v>
      </c>
      <c r="L99" s="48" t="str">
        <f>'Data Export'!B54</f>
        <v/>
      </c>
      <c r="M99" s="129" t="str">
        <f>IF(L99="", "", 'Pre Rinse Sprayers'!P11)</f>
        <v/>
      </c>
      <c r="N99" s="129" t="str">
        <f>IF(L99="", "", 'Pre Rinse Sprayers'!Q11)</f>
        <v/>
      </c>
      <c r="O99" s="130" t="str">
        <f>IF(L99="", "", 'Pre Rinse Sprayers'!H11)</f>
        <v/>
      </c>
      <c r="P99" s="131" t="str">
        <f>IF(L99="", "", 'Pre Rinse Sprayers'!R11)</f>
        <v/>
      </c>
      <c r="Q99" s="127" t="str">
        <f t="shared" si="6"/>
        <v/>
      </c>
      <c r="S99" s="198">
        <v>66</v>
      </c>
    </row>
    <row r="100" spans="1:19" hidden="1">
      <c r="A100" s="8"/>
      <c r="K100" s="3">
        <v>54</v>
      </c>
      <c r="L100" s="48" t="str">
        <f>'Data Export'!B55</f>
        <v/>
      </c>
      <c r="M100" s="129" t="str">
        <f>IF(L100="", "", 'Pre Rinse Sprayers'!P12)</f>
        <v/>
      </c>
      <c r="N100" s="129" t="str">
        <f>IF(L100="", "", 'Pre Rinse Sprayers'!Q12)</f>
        <v/>
      </c>
      <c r="O100" s="130" t="str">
        <f>IF(L100="", "", 'Pre Rinse Sprayers'!H12)</f>
        <v/>
      </c>
      <c r="P100" s="131" t="str">
        <f>IF(L100="", "", 'Pre Rinse Sprayers'!R12)</f>
        <v/>
      </c>
      <c r="Q100" s="127" t="str">
        <f t="shared" si="6"/>
        <v/>
      </c>
      <c r="S100" s="198">
        <v>67</v>
      </c>
    </row>
    <row r="101" spans="1:19" hidden="1">
      <c r="A101" s="8"/>
      <c r="K101" s="3">
        <v>55</v>
      </c>
      <c r="L101" s="48" t="str">
        <f>'Data Export'!B56</f>
        <v/>
      </c>
      <c r="M101" s="129" t="str">
        <f>IF(L101="", "", 'Pre Rinse Sprayers'!P13)</f>
        <v/>
      </c>
      <c r="N101" s="129" t="str">
        <f>IF(L101="", "", 'Pre Rinse Sprayers'!Q13)</f>
        <v/>
      </c>
      <c r="O101" s="130" t="str">
        <f>IF(L101="", "", 'Pre Rinse Sprayers'!H13)</f>
        <v/>
      </c>
      <c r="P101" s="131" t="str">
        <f>IF(L101="", "", 'Pre Rinse Sprayers'!R13)</f>
        <v/>
      </c>
      <c r="Q101" s="127" t="str">
        <f t="shared" si="6"/>
        <v/>
      </c>
      <c r="S101" s="198">
        <v>68</v>
      </c>
    </row>
    <row r="102" spans="1:19" hidden="1">
      <c r="A102" s="8"/>
      <c r="K102" s="3">
        <v>56</v>
      </c>
      <c r="L102" s="48" t="str">
        <f>'Data Export'!B57</f>
        <v/>
      </c>
      <c r="M102" s="129" t="str">
        <f>IF(L102="", "", 'Pre Rinse Sprayers'!P14)</f>
        <v/>
      </c>
      <c r="N102" s="129" t="str">
        <f>IF(L102="", "", 'Pre Rinse Sprayers'!Q14)</f>
        <v/>
      </c>
      <c r="O102" s="130" t="str">
        <f>IF(L102="", "", 'Pre Rinse Sprayers'!H14)</f>
        <v/>
      </c>
      <c r="P102" s="131" t="str">
        <f>IF(L102="", "", 'Pre Rinse Sprayers'!R14)</f>
        <v/>
      </c>
      <c r="Q102" s="127" t="str">
        <f t="shared" si="6"/>
        <v/>
      </c>
      <c r="S102" s="198">
        <v>69</v>
      </c>
    </row>
    <row r="103" spans="1:19" hidden="1">
      <c r="A103" s="8"/>
      <c r="L103" s="139" t="s">
        <v>43</v>
      </c>
      <c r="M103" s="140">
        <f>SUM(M95:M102)</f>
        <v>3.7039692223524712E-2</v>
      </c>
      <c r="N103" s="140">
        <f>SUM(N95:N102)</f>
        <v>143.01039468542359</v>
      </c>
      <c r="O103" s="141">
        <f>SUM(O95:O102)</f>
        <v>1</v>
      </c>
      <c r="P103" s="16">
        <f>SUM(P95:P102)</f>
        <v>35</v>
      </c>
      <c r="S103" s="198">
        <v>70</v>
      </c>
    </row>
    <row r="104" spans="1:19" hidden="1">
      <c r="A104" s="8"/>
      <c r="K104" s="41" t="s">
        <v>39</v>
      </c>
      <c r="Q104" s="21" t="s">
        <v>42</v>
      </c>
      <c r="S104" s="198">
        <v>71</v>
      </c>
    </row>
    <row r="105" spans="1:19" hidden="1">
      <c r="A105" s="8"/>
      <c r="K105" s="3">
        <v>57</v>
      </c>
      <c r="L105" s="48" t="e">
        <f>'Data Export'!B58</f>
        <v>#REF!</v>
      </c>
      <c r="M105" s="140" t="e">
        <f xml:space="preserve"> IF(L105="", "",#REF!)</f>
        <v>#REF!</v>
      </c>
      <c r="N105" s="140" t="e">
        <f xml:space="preserve"> IF(L105="", "",#REF!)</f>
        <v>#REF!</v>
      </c>
      <c r="O105" s="142" t="e">
        <f xml:space="preserve"> IF(L105="", "",#REF!)</f>
        <v>#REF!</v>
      </c>
      <c r="P105" s="16" t="e">
        <f xml:space="preserve"> IF(L105="", "",#REF!)</f>
        <v>#REF!</v>
      </c>
      <c r="Q105" s="3" t="e">
        <f>IF(L105="", "", CONCATENATE($C$10, K105))</f>
        <v>#REF!</v>
      </c>
      <c r="S105" s="198">
        <v>72</v>
      </c>
    </row>
    <row r="106" spans="1:19" hidden="1">
      <c r="A106" s="8"/>
      <c r="K106" s="3">
        <v>58</v>
      </c>
      <c r="L106" s="48" t="e">
        <f>'Data Export'!B59</f>
        <v>#REF!</v>
      </c>
      <c r="M106" s="140" t="e">
        <f xml:space="preserve"> IF(L106="", "",#REF!)</f>
        <v>#REF!</v>
      </c>
      <c r="N106" s="140" t="e">
        <f xml:space="preserve"> IF(L106="", "",#REF!)</f>
        <v>#REF!</v>
      </c>
      <c r="O106" s="142" t="e">
        <f xml:space="preserve"> IF(L106="", "",#REF!)</f>
        <v>#REF!</v>
      </c>
      <c r="P106" s="16" t="e">
        <f xml:space="preserve"> IF(L106="", "",#REF!)</f>
        <v>#REF!</v>
      </c>
      <c r="Q106" s="3" t="e">
        <f t="shared" ref="Q106:Q112" si="7">IF(L106="", "", CONCATENATE($C$10, K106))</f>
        <v>#REF!</v>
      </c>
    </row>
    <row r="107" spans="1:19" hidden="1">
      <c r="A107" s="8"/>
      <c r="K107" s="3">
        <v>59</v>
      </c>
      <c r="L107" s="48" t="e">
        <f>'Data Export'!B60</f>
        <v>#REF!</v>
      </c>
      <c r="M107" s="140" t="e">
        <f xml:space="preserve"> IF(L107="", "",#REF!)</f>
        <v>#REF!</v>
      </c>
      <c r="N107" s="140" t="e">
        <f xml:space="preserve"> IF(L107="", "",#REF!)</f>
        <v>#REF!</v>
      </c>
      <c r="O107" s="142" t="e">
        <f xml:space="preserve"> IF(L107="", "",#REF!)</f>
        <v>#REF!</v>
      </c>
      <c r="P107" s="16" t="e">
        <f xml:space="preserve"> IF(L107="", "",#REF!)</f>
        <v>#REF!</v>
      </c>
      <c r="Q107" s="3" t="e">
        <f t="shared" si="7"/>
        <v>#REF!</v>
      </c>
    </row>
    <row r="108" spans="1:19" hidden="1">
      <c r="A108" s="8"/>
      <c r="K108" s="3">
        <v>60</v>
      </c>
      <c r="L108" s="48" t="e">
        <f>'Data Export'!B61</f>
        <v>#REF!</v>
      </c>
      <c r="M108" s="140" t="e">
        <f xml:space="preserve"> IF(L108="", "",#REF!)</f>
        <v>#REF!</v>
      </c>
      <c r="N108" s="140" t="e">
        <f xml:space="preserve"> IF(L108="", "",#REF!)</f>
        <v>#REF!</v>
      </c>
      <c r="O108" s="142" t="e">
        <f xml:space="preserve"> IF(L108="", "",#REF!)</f>
        <v>#REF!</v>
      </c>
      <c r="P108" s="16" t="e">
        <f xml:space="preserve"> IF(L108="", "",#REF!)</f>
        <v>#REF!</v>
      </c>
      <c r="Q108" s="3" t="e">
        <f t="shared" si="7"/>
        <v>#REF!</v>
      </c>
    </row>
    <row r="109" spans="1:19" hidden="1">
      <c r="A109" s="8"/>
      <c r="K109" s="3">
        <v>61</v>
      </c>
      <c r="L109" s="48" t="e">
        <f>'Data Export'!B62</f>
        <v>#REF!</v>
      </c>
      <c r="M109" s="140" t="e">
        <f xml:space="preserve"> IF(L109="", "",#REF!)</f>
        <v>#REF!</v>
      </c>
      <c r="N109" s="140" t="e">
        <f xml:space="preserve"> IF(L109="", "",#REF!)</f>
        <v>#REF!</v>
      </c>
      <c r="O109" s="142" t="e">
        <f xml:space="preserve"> IF(L109="", "",#REF!)</f>
        <v>#REF!</v>
      </c>
      <c r="P109" s="16" t="e">
        <f xml:space="preserve"> IF(L109="", "",#REF!)</f>
        <v>#REF!</v>
      </c>
      <c r="Q109" s="3" t="e">
        <f t="shared" si="7"/>
        <v>#REF!</v>
      </c>
    </row>
    <row r="110" spans="1:19" hidden="1">
      <c r="A110" s="8"/>
      <c r="K110" s="3">
        <v>62</v>
      </c>
      <c r="L110" s="48" t="e">
        <f>'Data Export'!B63</f>
        <v>#REF!</v>
      </c>
      <c r="M110" s="140" t="e">
        <f xml:space="preserve"> IF(L110="", "",#REF!)</f>
        <v>#REF!</v>
      </c>
      <c r="N110" s="140" t="e">
        <f xml:space="preserve"> IF(L110="", "",#REF!)</f>
        <v>#REF!</v>
      </c>
      <c r="O110" s="142" t="e">
        <f xml:space="preserve"> IF(L110="", "",#REF!)</f>
        <v>#REF!</v>
      </c>
      <c r="P110" s="16" t="e">
        <f xml:space="preserve"> IF(L110="", "",#REF!)</f>
        <v>#REF!</v>
      </c>
      <c r="Q110" s="3" t="e">
        <f t="shared" si="7"/>
        <v>#REF!</v>
      </c>
    </row>
    <row r="111" spans="1:19" hidden="1">
      <c r="A111" s="8"/>
      <c r="K111" s="3">
        <v>63</v>
      </c>
      <c r="L111" s="48" t="e">
        <f>'Data Export'!B64</f>
        <v>#REF!</v>
      </c>
      <c r="M111" s="140" t="e">
        <f xml:space="preserve"> IF(L111="", "",#REF!)</f>
        <v>#REF!</v>
      </c>
      <c r="N111" s="140" t="e">
        <f xml:space="preserve"> IF(L111="", "",#REF!)</f>
        <v>#REF!</v>
      </c>
      <c r="O111" s="142" t="e">
        <f xml:space="preserve"> IF(L111="", "",#REF!)</f>
        <v>#REF!</v>
      </c>
      <c r="P111" s="16" t="e">
        <f xml:space="preserve"> IF(L111="", "",#REF!)</f>
        <v>#REF!</v>
      </c>
      <c r="Q111" s="3" t="e">
        <f t="shared" si="7"/>
        <v>#REF!</v>
      </c>
    </row>
    <row r="112" spans="1:19" hidden="1">
      <c r="A112" s="8"/>
      <c r="K112" s="3">
        <v>64</v>
      </c>
      <c r="L112" s="48" t="e">
        <f>'Data Export'!B65</f>
        <v>#REF!</v>
      </c>
      <c r="M112" s="140" t="e">
        <f xml:space="preserve"> IF(L112="", "",#REF!)</f>
        <v>#REF!</v>
      </c>
      <c r="N112" s="140" t="e">
        <f xml:space="preserve"> IF(L112="", "",#REF!)</f>
        <v>#REF!</v>
      </c>
      <c r="O112" s="142" t="e">
        <f xml:space="preserve"> IF(L112="", "",#REF!)</f>
        <v>#REF!</v>
      </c>
      <c r="P112" s="16" t="e">
        <f xml:space="preserve"> IF(L112="", "",#REF!)</f>
        <v>#REF!</v>
      </c>
      <c r="Q112" s="3" t="e">
        <f t="shared" si="7"/>
        <v>#REF!</v>
      </c>
    </row>
    <row r="113" spans="1:17" hidden="1">
      <c r="A113" s="8"/>
      <c r="L113" s="139" t="s">
        <v>43</v>
      </c>
      <c r="M113" s="140" t="e">
        <f>SUM(M105:M112)</f>
        <v>#REF!</v>
      </c>
      <c r="N113" s="140" t="e">
        <f>SUM(N105:N112)</f>
        <v>#REF!</v>
      </c>
      <c r="O113" s="141" t="e">
        <f>SUM(O105:O112)</f>
        <v>#REF!</v>
      </c>
      <c r="P113" s="16" t="e">
        <f>SUM(P105:P112)</f>
        <v>#REF!</v>
      </c>
    </row>
    <row r="114" spans="1:17" hidden="1">
      <c r="A114" s="8"/>
      <c r="L114" s="143"/>
      <c r="M114" s="144"/>
      <c r="N114" s="144"/>
      <c r="O114" s="145"/>
      <c r="P114" s="64"/>
    </row>
    <row r="115" spans="1:17" hidden="1">
      <c r="A115" s="8"/>
      <c r="K115" s="41" t="s">
        <v>39</v>
      </c>
      <c r="Q115" s="21" t="s">
        <v>42</v>
      </c>
    </row>
    <row r="116" spans="1:17" hidden="1">
      <c r="A116" s="8"/>
      <c r="K116" s="3">
        <v>65</v>
      </c>
      <c r="L116" s="48" t="str">
        <f>'Data Export'!B66</f>
        <v/>
      </c>
      <c r="M116" s="140" t="str">
        <f>IF(L116="", "", 'Office Equipment'!S8)</f>
        <v/>
      </c>
      <c r="N116" s="140" t="str">
        <f>IF(L116="", "", 'Office Equipment'!T8)</f>
        <v/>
      </c>
      <c r="O116" s="142" t="str">
        <f>IF(L116="", "", 'Office Equipment'!I8)</f>
        <v/>
      </c>
      <c r="P116" s="16" t="str">
        <f>IF(L116="", "", 'Office Equipment'!U8)</f>
        <v/>
      </c>
      <c r="Q116" s="3" t="str">
        <f>IF(L116="", "", CONCATENATE($C$10, K116))</f>
        <v/>
      </c>
    </row>
    <row r="117" spans="1:17" hidden="1">
      <c r="A117" s="8"/>
      <c r="K117" s="3">
        <v>66</v>
      </c>
      <c r="L117" s="48" t="str">
        <f>'Data Export'!B67</f>
        <v/>
      </c>
      <c r="M117" s="140" t="str">
        <f>IF(L117="", "", 'Office Equipment'!S9)</f>
        <v/>
      </c>
      <c r="N117" s="140" t="str">
        <f>IF(L117="", "", 'Office Equipment'!T9)</f>
        <v/>
      </c>
      <c r="O117" s="142" t="str">
        <f>IF(L117="", "", 'Office Equipment'!I9)</f>
        <v/>
      </c>
      <c r="P117" s="16" t="str">
        <f>IF(L117="", "", 'Office Equipment'!U9)</f>
        <v/>
      </c>
      <c r="Q117" s="3" t="str">
        <f t="shared" ref="Q117:Q123" si="8">IF(L117="", "", CONCATENATE($C$10, K117))</f>
        <v/>
      </c>
    </row>
    <row r="118" spans="1:17" hidden="1">
      <c r="A118" s="8"/>
      <c r="K118" s="3">
        <v>67</v>
      </c>
      <c r="L118" s="48" t="str">
        <f>'Data Export'!B68</f>
        <v/>
      </c>
      <c r="M118" s="140" t="str">
        <f>IF(L118="", "", 'Office Equipment'!S10)</f>
        <v/>
      </c>
      <c r="N118" s="140" t="str">
        <f>IF(L118="", "", 'Office Equipment'!T10)</f>
        <v/>
      </c>
      <c r="O118" s="142" t="str">
        <f>IF(L118="", "", 'Office Equipment'!I10)</f>
        <v/>
      </c>
      <c r="P118" s="16" t="str">
        <f>IF(L118="", "", 'Office Equipment'!U10)</f>
        <v/>
      </c>
      <c r="Q118" s="3" t="str">
        <f t="shared" si="8"/>
        <v/>
      </c>
    </row>
    <row r="119" spans="1:17" hidden="1">
      <c r="A119" s="8"/>
      <c r="K119" s="3">
        <v>68</v>
      </c>
      <c r="L119" s="48" t="str">
        <f>'Data Export'!B69</f>
        <v/>
      </c>
      <c r="M119" s="140" t="str">
        <f>IF(L119="", "", 'Office Equipment'!S11)</f>
        <v/>
      </c>
      <c r="N119" s="140" t="str">
        <f>IF(L119="", "", 'Office Equipment'!T11)</f>
        <v/>
      </c>
      <c r="O119" s="142" t="str">
        <f>IF(L119="", "", 'Office Equipment'!I11)</f>
        <v/>
      </c>
      <c r="P119" s="16" t="str">
        <f>IF(L119="", "", 'Office Equipment'!U11)</f>
        <v/>
      </c>
      <c r="Q119" s="3" t="str">
        <f t="shared" si="8"/>
        <v/>
      </c>
    </row>
    <row r="120" spans="1:17" hidden="1">
      <c r="A120" s="8"/>
      <c r="K120" s="3">
        <v>69</v>
      </c>
      <c r="L120" s="48" t="str">
        <f>'Data Export'!B70</f>
        <v/>
      </c>
      <c r="M120" s="140" t="str">
        <f>IF(L120="", "", 'Office Equipment'!S12)</f>
        <v/>
      </c>
      <c r="N120" s="140" t="str">
        <f>IF(L120="", "", 'Office Equipment'!T12)</f>
        <v/>
      </c>
      <c r="O120" s="142" t="str">
        <f>IF(L120="", "", 'Office Equipment'!I12)</f>
        <v/>
      </c>
      <c r="P120" s="16" t="str">
        <f>IF(L120="", "", 'Office Equipment'!U12)</f>
        <v/>
      </c>
      <c r="Q120" s="3" t="str">
        <f t="shared" si="8"/>
        <v/>
      </c>
    </row>
    <row r="121" spans="1:17" hidden="1">
      <c r="A121" s="8"/>
      <c r="K121" s="3">
        <v>70</v>
      </c>
      <c r="L121" s="48" t="str">
        <f>'Data Export'!B71</f>
        <v/>
      </c>
      <c r="M121" s="140" t="str">
        <f>IF(L121="", "", 'Office Equipment'!S13)</f>
        <v/>
      </c>
      <c r="N121" s="140" t="str">
        <f>IF(L121="", "", 'Office Equipment'!T13)</f>
        <v/>
      </c>
      <c r="O121" s="142" t="str">
        <f>IF(L121="", "", 'Office Equipment'!I13)</f>
        <v/>
      </c>
      <c r="P121" s="16" t="str">
        <f>IF(L121="", "", 'Office Equipment'!U13)</f>
        <v/>
      </c>
      <c r="Q121" s="3" t="str">
        <f t="shared" si="8"/>
        <v/>
      </c>
    </row>
    <row r="122" spans="1:17" hidden="1">
      <c r="A122" s="8"/>
      <c r="K122" s="3">
        <v>71</v>
      </c>
      <c r="L122" s="48" t="str">
        <f>'Data Export'!B72</f>
        <v/>
      </c>
      <c r="M122" s="140" t="str">
        <f>IF(L122="", "", 'Office Equipment'!S14)</f>
        <v/>
      </c>
      <c r="N122" s="140" t="str">
        <f>IF(L122="", "", 'Office Equipment'!T14)</f>
        <v/>
      </c>
      <c r="O122" s="142" t="str">
        <f>IF(L122="", "", 'Office Equipment'!I14)</f>
        <v/>
      </c>
      <c r="P122" s="16" t="str">
        <f>IF(L122="", "", 'Office Equipment'!U14)</f>
        <v/>
      </c>
      <c r="Q122" s="3" t="str">
        <f t="shared" si="8"/>
        <v/>
      </c>
    </row>
    <row r="123" spans="1:17" hidden="1">
      <c r="A123" s="8"/>
      <c r="K123" s="3">
        <v>72</v>
      </c>
      <c r="L123" s="48" t="str">
        <f>'Data Export'!B73</f>
        <v/>
      </c>
      <c r="M123" s="140" t="str">
        <f>IF(L123="", "", 'Office Equipment'!S15)</f>
        <v/>
      </c>
      <c r="N123" s="140" t="str">
        <f>IF(L123="", "", 'Office Equipment'!T15)</f>
        <v/>
      </c>
      <c r="O123" s="142" t="str">
        <f>IF(L123="", "", 'Office Equipment'!I15)</f>
        <v/>
      </c>
      <c r="P123" s="16" t="str">
        <f>IF(L123="", "", 'Office Equipment'!U15)</f>
        <v/>
      </c>
      <c r="Q123" s="3" t="str">
        <f t="shared" si="8"/>
        <v/>
      </c>
    </row>
    <row r="124" spans="1:17" hidden="1">
      <c r="A124" s="8"/>
      <c r="L124" s="139" t="s">
        <v>43</v>
      </c>
      <c r="M124" s="140">
        <f>SUM(M116:M123)</f>
        <v>0</v>
      </c>
      <c r="N124" s="140">
        <f>SUM(N116:N123)</f>
        <v>0</v>
      </c>
      <c r="O124" s="141">
        <f>SUM(O116:O123)</f>
        <v>0</v>
      </c>
      <c r="P124" s="16">
        <f>SUM(P116:P123)</f>
        <v>0</v>
      </c>
    </row>
    <row r="125" spans="1:17" hidden="1">
      <c r="A125" s="8"/>
    </row>
    <row r="126" spans="1:17" hidden="1">
      <c r="A126" s="8"/>
    </row>
    <row r="127" spans="1:17" hidden="1">
      <c r="A127" s="8"/>
      <c r="L127" s="180" t="s">
        <v>40</v>
      </c>
      <c r="M127" s="86" t="s">
        <v>44</v>
      </c>
    </row>
    <row r="128" spans="1:17" hidden="1">
      <c r="A128" s="8"/>
      <c r="L128" s="181" t="s">
        <v>45</v>
      </c>
      <c r="M128" s="127" t="s">
        <v>46</v>
      </c>
    </row>
    <row r="129" spans="1:13" hidden="1">
      <c r="A129" s="8"/>
      <c r="L129" s="181" t="s">
        <v>47</v>
      </c>
      <c r="M129" s="127" t="s">
        <v>48</v>
      </c>
    </row>
    <row r="130" spans="1:13" hidden="1">
      <c r="A130" s="8"/>
      <c r="L130" s="181" t="s">
        <v>49</v>
      </c>
      <c r="M130" s="127" t="s">
        <v>50</v>
      </c>
    </row>
    <row r="131" spans="1:13" hidden="1">
      <c r="A131" s="8"/>
      <c r="L131" s="181" t="s">
        <v>32</v>
      </c>
      <c r="M131" s="127" t="s">
        <v>51</v>
      </c>
    </row>
    <row r="132" spans="1:13" hidden="1">
      <c r="A132" s="8"/>
      <c r="L132" s="181" t="s">
        <v>52</v>
      </c>
      <c r="M132" s="127" t="s">
        <v>53</v>
      </c>
    </row>
    <row r="133" spans="1:13" hidden="1">
      <c r="A133" s="8"/>
      <c r="L133" s="181" t="s">
        <v>54</v>
      </c>
      <c r="M133" s="127" t="s">
        <v>55</v>
      </c>
    </row>
    <row r="134" spans="1:13" hidden="1">
      <c r="A134" s="8"/>
      <c r="L134" s="181" t="s">
        <v>56</v>
      </c>
      <c r="M134" s="127" t="s">
        <v>57</v>
      </c>
    </row>
    <row r="135" spans="1:13" hidden="1">
      <c r="A135" s="8"/>
      <c r="L135" s="181" t="s">
        <v>58</v>
      </c>
      <c r="M135" s="127" t="s">
        <v>59</v>
      </c>
    </row>
    <row r="136" spans="1:13" hidden="1">
      <c r="A136" s="8"/>
      <c r="L136" s="181" t="s">
        <v>60</v>
      </c>
      <c r="M136" s="127" t="s">
        <v>61</v>
      </c>
    </row>
    <row r="137" spans="1:13" hidden="1">
      <c r="A137" s="8"/>
      <c r="L137" s="181" t="s">
        <v>62</v>
      </c>
      <c r="M137" s="127" t="s">
        <v>63</v>
      </c>
    </row>
    <row r="138" spans="1:13" hidden="1">
      <c r="A138" s="8"/>
      <c r="L138" s="181" t="s">
        <v>64</v>
      </c>
      <c r="M138" s="127" t="s">
        <v>65</v>
      </c>
    </row>
    <row r="139" spans="1:13" hidden="1">
      <c r="A139" s="8"/>
      <c r="L139" s="181" t="s">
        <v>66</v>
      </c>
      <c r="M139" s="127" t="s">
        <v>67</v>
      </c>
    </row>
    <row r="140" spans="1:13" hidden="1">
      <c r="A140" s="8"/>
      <c r="L140" s="52" t="s">
        <v>68</v>
      </c>
      <c r="M140" s="127" t="s">
        <v>69</v>
      </c>
    </row>
    <row r="141" spans="1:13" hidden="1">
      <c r="A141" s="8"/>
      <c r="L141" s="52" t="s">
        <v>70</v>
      </c>
      <c r="M141" s="127" t="s">
        <v>71</v>
      </c>
    </row>
    <row r="142" spans="1:13" hidden="1">
      <c r="A142" s="8"/>
      <c r="L142" s="52" t="s">
        <v>72</v>
      </c>
      <c r="M142" s="127" t="s">
        <v>73</v>
      </c>
    </row>
    <row r="143" spans="1:13" hidden="1">
      <c r="A143" s="8"/>
      <c r="L143" s="52" t="s">
        <v>74</v>
      </c>
      <c r="M143" s="127" t="s">
        <v>75</v>
      </c>
    </row>
    <row r="144" spans="1:13" hidden="1">
      <c r="A144" s="8"/>
      <c r="L144" s="52" t="s">
        <v>76</v>
      </c>
      <c r="M144" s="3" t="s">
        <v>77</v>
      </c>
    </row>
    <row r="145" spans="1:13" s="132" customFormat="1" hidden="1">
      <c r="A145" s="8"/>
      <c r="L145" s="181" t="s">
        <v>78</v>
      </c>
      <c r="M145" s="127" t="s">
        <v>79</v>
      </c>
    </row>
    <row r="146" spans="1:13" s="132" customFormat="1" hidden="1">
      <c r="A146" s="8"/>
      <c r="L146" s="181" t="s">
        <v>80</v>
      </c>
      <c r="M146" s="127" t="s">
        <v>81</v>
      </c>
    </row>
    <row r="147" spans="1:13" s="132" customFormat="1" hidden="1">
      <c r="A147" s="8"/>
      <c r="L147" s="128" t="s">
        <v>82</v>
      </c>
      <c r="M147" s="127" t="s">
        <v>83</v>
      </c>
    </row>
    <row r="148" spans="1:13" s="132" customFormat="1" hidden="1"/>
    <row r="149" spans="1:13" s="132" customFormat="1"/>
    <row r="150" spans="1:13" s="132" customFormat="1"/>
    <row r="151" spans="1:13" s="132" customFormat="1"/>
    <row r="152" spans="1:13" s="132" customFormat="1"/>
    <row r="153" spans="1:13" s="132" customFormat="1"/>
    <row r="154" spans="1:13" s="132" customFormat="1"/>
    <row r="155" spans="1:13" s="132" customFormat="1"/>
    <row r="156" spans="1:13" s="132" customFormat="1"/>
    <row r="157" spans="1:13" s="132" customFormat="1"/>
    <row r="158" spans="1:13" s="132" customFormat="1"/>
    <row r="159" spans="1:13" s="132" customFormat="1"/>
    <row r="160" spans="1:13"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row r="576" s="132" customFormat="1"/>
    <row r="577" s="132" customFormat="1"/>
    <row r="578" s="132" customFormat="1"/>
    <row r="579" s="132" customFormat="1"/>
    <row r="580" s="132" customFormat="1"/>
    <row r="581" s="132" customFormat="1"/>
    <row r="582" s="132" customFormat="1"/>
    <row r="583" s="132" customFormat="1"/>
    <row r="584" s="132" customFormat="1"/>
    <row r="585" s="132" customFormat="1"/>
    <row r="586" s="132" customFormat="1"/>
    <row r="587" s="132" customFormat="1"/>
    <row r="588" s="132" customFormat="1"/>
    <row r="589" s="132" customFormat="1"/>
    <row r="590" s="132" customFormat="1"/>
    <row r="591" s="132" customFormat="1"/>
    <row r="592" s="132" customFormat="1"/>
    <row r="593" s="132" customFormat="1"/>
    <row r="594" s="132" customFormat="1"/>
    <row r="595" s="132" customFormat="1"/>
    <row r="596" s="132" customFormat="1"/>
    <row r="597" s="132" customFormat="1"/>
    <row r="598" s="132" customFormat="1"/>
    <row r="599" s="132" customFormat="1"/>
    <row r="600" s="132" customFormat="1"/>
    <row r="601" s="132" customFormat="1"/>
    <row r="602" s="132" customFormat="1"/>
    <row r="603" s="132" customFormat="1"/>
    <row r="604" s="132" customFormat="1"/>
    <row r="605" s="132" customFormat="1"/>
    <row r="606" s="132" customFormat="1"/>
    <row r="607" s="132" customFormat="1"/>
    <row r="608" s="132" customFormat="1"/>
    <row r="609" s="132" customFormat="1"/>
    <row r="610" s="132" customFormat="1"/>
    <row r="611" s="132" customFormat="1"/>
    <row r="612" s="132" customFormat="1"/>
    <row r="613" s="132" customFormat="1"/>
    <row r="614" s="132" customFormat="1"/>
    <row r="615" s="132" customFormat="1"/>
    <row r="616" s="132" customFormat="1"/>
    <row r="617" s="132" customFormat="1"/>
    <row r="618" s="132" customFormat="1"/>
    <row r="619" s="132" customFormat="1"/>
    <row r="620" s="132" customFormat="1"/>
    <row r="621" s="132" customFormat="1"/>
    <row r="622" s="132" customFormat="1"/>
    <row r="623" s="132" customFormat="1"/>
    <row r="624" s="132" customFormat="1"/>
    <row r="625" s="132" customFormat="1"/>
    <row r="626" s="132" customFormat="1"/>
    <row r="627" s="132" customFormat="1"/>
    <row r="628" s="132" customFormat="1"/>
    <row r="629" s="132" customFormat="1"/>
    <row r="630" s="132" customFormat="1"/>
    <row r="631" s="132" customFormat="1"/>
    <row r="632" s="132" customFormat="1"/>
    <row r="633" s="132" customFormat="1"/>
    <row r="634" s="132" customFormat="1"/>
    <row r="635" s="132" customFormat="1"/>
    <row r="636" s="132" customFormat="1"/>
    <row r="637" s="132" customFormat="1"/>
    <row r="638" s="132" customFormat="1"/>
    <row r="639" s="132" customFormat="1"/>
    <row r="640" s="132" customFormat="1"/>
    <row r="641" s="132" customFormat="1"/>
    <row r="642" s="132" customFormat="1"/>
    <row r="643" s="132" customFormat="1"/>
    <row r="644" s="132" customFormat="1"/>
    <row r="645" s="132" customFormat="1"/>
    <row r="646" s="132" customFormat="1"/>
    <row r="647" s="132" customFormat="1"/>
    <row r="648" s="132" customFormat="1"/>
    <row r="649" s="132" customFormat="1"/>
    <row r="650" s="132" customFormat="1"/>
    <row r="651" s="132" customFormat="1"/>
    <row r="652" s="132" customFormat="1"/>
    <row r="653" s="132" customFormat="1"/>
    <row r="654" s="132" customFormat="1"/>
    <row r="655" s="132" customFormat="1"/>
    <row r="656" s="132" customFormat="1"/>
    <row r="657" s="132" customFormat="1"/>
    <row r="658" s="132" customFormat="1"/>
    <row r="659" s="132" customFormat="1"/>
    <row r="660" s="132" customFormat="1"/>
    <row r="661" s="132" customFormat="1"/>
    <row r="662" s="132" customFormat="1"/>
    <row r="663" s="132" customFormat="1"/>
    <row r="664" s="132" customFormat="1"/>
    <row r="665" s="132" customFormat="1"/>
    <row r="666" s="132" customFormat="1"/>
    <row r="667" s="132" customFormat="1"/>
    <row r="668" s="132" customFormat="1"/>
    <row r="669" s="132" customFormat="1"/>
    <row r="670" s="132" customFormat="1"/>
    <row r="671" s="132" customFormat="1"/>
    <row r="672" s="132" customFormat="1"/>
    <row r="673" s="132" customFormat="1"/>
    <row r="674" s="132" customFormat="1"/>
    <row r="675" s="132" customFormat="1"/>
    <row r="676" s="132" customFormat="1"/>
    <row r="677" s="132" customFormat="1"/>
    <row r="678" s="132" customFormat="1"/>
    <row r="679" s="132" customFormat="1"/>
    <row r="680" s="132" customFormat="1"/>
    <row r="681" s="132" customFormat="1"/>
    <row r="682" s="132" customFormat="1"/>
    <row r="683" s="132" customFormat="1"/>
    <row r="684" s="132" customFormat="1"/>
    <row r="685" s="132" customFormat="1"/>
    <row r="686" s="132" customFormat="1"/>
    <row r="687" s="132" customFormat="1"/>
    <row r="688" s="132" customFormat="1"/>
    <row r="689" s="132" customFormat="1"/>
    <row r="690" s="132" customFormat="1"/>
    <row r="691" s="132" customFormat="1"/>
    <row r="692" s="132" customFormat="1"/>
    <row r="693" s="132" customFormat="1"/>
    <row r="694" s="132" customFormat="1"/>
    <row r="695" s="132" customFormat="1"/>
    <row r="696" s="132" customFormat="1"/>
    <row r="697" s="132" customFormat="1"/>
    <row r="698" s="132" customFormat="1"/>
    <row r="699" s="132" customFormat="1"/>
    <row r="700" s="132" customFormat="1"/>
    <row r="701" s="132" customFormat="1"/>
    <row r="702" s="132" customFormat="1"/>
    <row r="703" s="132" customFormat="1"/>
    <row r="704" s="132" customFormat="1"/>
    <row r="705" s="132" customFormat="1"/>
    <row r="706" s="132" customFormat="1"/>
    <row r="707" s="132" customFormat="1"/>
    <row r="708" s="132" customFormat="1"/>
    <row r="709" s="132" customFormat="1"/>
    <row r="710" s="132" customFormat="1"/>
    <row r="711" s="132" customFormat="1"/>
    <row r="712" s="132" customFormat="1"/>
    <row r="713" s="132" customFormat="1"/>
    <row r="714" s="132" customFormat="1"/>
    <row r="715" s="132" customFormat="1"/>
    <row r="716" s="132" customFormat="1"/>
    <row r="717" s="132" customFormat="1"/>
    <row r="718" s="132" customFormat="1"/>
    <row r="719" s="132" customFormat="1"/>
    <row r="720" s="132" customFormat="1"/>
    <row r="721" s="132" customFormat="1"/>
    <row r="722" s="132" customFormat="1"/>
    <row r="723" s="132" customFormat="1"/>
    <row r="724" s="132" customFormat="1"/>
    <row r="725" s="132" customFormat="1"/>
    <row r="726" s="132" customFormat="1"/>
    <row r="727" s="132" customFormat="1"/>
    <row r="728" s="132" customFormat="1"/>
    <row r="729" s="132" customFormat="1"/>
    <row r="730" s="132" customFormat="1"/>
    <row r="731" s="132" customFormat="1"/>
    <row r="732" s="132" customFormat="1"/>
    <row r="733" s="132" customFormat="1"/>
    <row r="734" s="132" customFormat="1"/>
    <row r="735" s="132" customFormat="1"/>
    <row r="736" s="132" customFormat="1"/>
    <row r="737" s="132" customFormat="1"/>
    <row r="738" s="132" customFormat="1"/>
    <row r="739" s="132" customFormat="1"/>
    <row r="740" s="132" customFormat="1"/>
    <row r="741" s="132" customFormat="1"/>
    <row r="742" s="132" customFormat="1"/>
    <row r="743" s="132" customFormat="1"/>
    <row r="744" s="132" customFormat="1"/>
    <row r="745" s="132" customFormat="1"/>
    <row r="746" s="132" customFormat="1"/>
    <row r="747" s="132" customFormat="1"/>
    <row r="748" s="132" customFormat="1"/>
    <row r="749" s="132" customFormat="1"/>
    <row r="750" s="132" customFormat="1"/>
    <row r="751" s="132" customFormat="1"/>
    <row r="752" s="132" customFormat="1"/>
    <row r="753" s="132" customFormat="1"/>
    <row r="754" s="132" customFormat="1"/>
    <row r="755" s="132" customFormat="1"/>
    <row r="756" s="132" customFormat="1"/>
    <row r="757" s="132" customFormat="1"/>
    <row r="758" s="132" customFormat="1"/>
    <row r="759" s="132" customFormat="1"/>
    <row r="760" s="132" customFormat="1"/>
    <row r="761" s="132" customFormat="1"/>
    <row r="762" s="132" customFormat="1"/>
    <row r="763" s="132" customFormat="1"/>
    <row r="764" s="132" customFormat="1"/>
    <row r="765" s="132" customFormat="1"/>
    <row r="766" s="132" customFormat="1"/>
    <row r="767" s="132" customFormat="1"/>
    <row r="768" s="132" customFormat="1"/>
    <row r="769" s="132" customFormat="1"/>
    <row r="770" s="132" customFormat="1"/>
    <row r="771" s="132" customFormat="1"/>
    <row r="772" s="132" customFormat="1"/>
    <row r="773" s="132" customFormat="1"/>
    <row r="774" s="132" customFormat="1"/>
    <row r="775" s="132" customFormat="1"/>
    <row r="776" s="132" customFormat="1"/>
    <row r="777" s="132" customFormat="1"/>
    <row r="778" s="132" customFormat="1"/>
    <row r="779" s="132" customFormat="1"/>
    <row r="780" s="132" customFormat="1"/>
    <row r="781" s="132" customFormat="1"/>
    <row r="782" s="132" customFormat="1"/>
    <row r="783" s="132" customFormat="1"/>
    <row r="784" s="132" customFormat="1"/>
    <row r="785" s="132" customFormat="1"/>
    <row r="786" s="132" customFormat="1"/>
    <row r="787" s="132" customFormat="1"/>
    <row r="788" s="132" customFormat="1"/>
    <row r="789" s="132" customFormat="1"/>
    <row r="790" s="132" customFormat="1"/>
    <row r="791" s="132" customFormat="1"/>
    <row r="792" s="132" customFormat="1"/>
    <row r="793" s="132" customFormat="1"/>
    <row r="794" s="132" customFormat="1"/>
    <row r="795" s="132" customFormat="1"/>
    <row r="796" s="132" customFormat="1"/>
    <row r="797" s="132" customFormat="1"/>
    <row r="798" s="132" customFormat="1"/>
    <row r="799" s="132" customFormat="1"/>
    <row r="800" s="132" customFormat="1"/>
    <row r="801" s="132" customFormat="1"/>
    <row r="802" s="132" customFormat="1"/>
    <row r="803" s="132" customFormat="1"/>
    <row r="804" s="132" customFormat="1"/>
    <row r="805" s="132" customFormat="1"/>
    <row r="806" s="132" customFormat="1"/>
    <row r="807" s="132" customFormat="1"/>
    <row r="808" s="132" customFormat="1"/>
    <row r="809" s="132" customFormat="1"/>
    <row r="810" s="132" customFormat="1"/>
    <row r="811" s="132" customFormat="1"/>
    <row r="812" s="132" customFormat="1"/>
    <row r="813" s="132" customFormat="1"/>
    <row r="814" s="132" customFormat="1"/>
    <row r="815" s="132" customFormat="1"/>
    <row r="816" s="132" customFormat="1"/>
    <row r="817" s="132" customFormat="1"/>
    <row r="818" s="132" customFormat="1"/>
    <row r="819" s="132" customFormat="1"/>
    <row r="820" s="132" customFormat="1"/>
    <row r="821" s="132" customFormat="1"/>
    <row r="822" s="132" customFormat="1"/>
    <row r="823" s="132" customFormat="1"/>
    <row r="824" s="132" customFormat="1"/>
    <row r="825" s="132" customFormat="1"/>
    <row r="826" s="132" customFormat="1"/>
    <row r="827" s="132" customFormat="1"/>
    <row r="828" s="132" customFormat="1"/>
    <row r="829" s="132" customFormat="1"/>
    <row r="830" s="132" customFormat="1"/>
    <row r="831" s="132" customFormat="1"/>
    <row r="832" s="132" customFormat="1"/>
    <row r="833" s="132" customFormat="1"/>
    <row r="834" s="132" customFormat="1"/>
    <row r="835" s="132" customFormat="1"/>
    <row r="836" s="132" customFormat="1"/>
    <row r="837" s="132" customFormat="1"/>
    <row r="838" s="132" customFormat="1"/>
    <row r="839" s="132" customFormat="1"/>
    <row r="840" s="132" customFormat="1"/>
    <row r="841" s="132" customFormat="1"/>
    <row r="842" s="132" customFormat="1"/>
    <row r="843" s="132" customFormat="1"/>
    <row r="844" s="132" customFormat="1"/>
    <row r="845" s="132" customFormat="1"/>
    <row r="846" s="132" customFormat="1"/>
    <row r="847" s="132" customFormat="1"/>
    <row r="848" s="132" customFormat="1"/>
    <row r="849" s="132" customFormat="1"/>
    <row r="850" s="132" customFormat="1"/>
    <row r="851" s="132" customFormat="1"/>
    <row r="852" s="132" customFormat="1"/>
    <row r="853" s="132" customFormat="1"/>
    <row r="854" s="132" customFormat="1"/>
    <row r="855" s="132" customFormat="1"/>
    <row r="856" s="132" customFormat="1"/>
  </sheetData>
  <sheetProtection algorithmName="SHA-512" hashValue="SSLPF2ihk1yPp46bYOyk6IvrkAOVYWIUnW3IJncLtYWpU5qz4pk/fXw5/ouBeoBvpipwDP9hVwpuL2v2cNe0EQ==" saltValue="OJam/Pe6sfBTdWWVSoSOZw==" spinCount="100000" sheet="1" selectLockedCells="1"/>
  <mergeCells count="12">
    <mergeCell ref="C11:F11"/>
    <mergeCell ref="C12:F12"/>
    <mergeCell ref="B2:F2"/>
    <mergeCell ref="B4:F5"/>
    <mergeCell ref="B27:F27"/>
    <mergeCell ref="C7:F7"/>
    <mergeCell ref="C8:F8"/>
    <mergeCell ref="C9:F9"/>
    <mergeCell ref="C10:F10"/>
    <mergeCell ref="B14:C14"/>
    <mergeCell ref="B15:C15"/>
    <mergeCell ref="B16:C16"/>
  </mergeCells>
  <hyperlinks>
    <hyperlink ref="B19" location="Refrigerators!A1" display="Refrigerators" xr:uid="{00000000-0004-0000-0200-000000000000}"/>
    <hyperlink ref="B20" location="Freezers!A1" display="Freezers" xr:uid="{00000000-0004-0000-0200-000001000000}"/>
    <hyperlink ref="B21" location="'Clothes Washers'!A1" display="Clothes Washers" xr:uid="{00000000-0004-0000-0200-000002000000}"/>
    <hyperlink ref="B22" location="'Clothes Dryers'!A1" display="Clothes Dryers" xr:uid="{00000000-0004-0000-0200-000003000000}"/>
    <hyperlink ref="B23" location="'Water Heaters'!A1" display="Water Heaters" xr:uid="{00000000-0004-0000-0200-000004000000}"/>
    <hyperlink ref="B24" location="UPS!A1" display="Uninterruptible Power Supplies (UPS)" xr:uid="{00000000-0004-0000-0200-000005000000}"/>
    <hyperlink ref="B25" location="'Office Equipment'!A1" display="Computer Monitors" xr:uid="{00000000-0004-0000-0200-000006000000}"/>
  </hyperlink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L575"/>
  <sheetViews>
    <sheetView topLeftCell="B1" zoomScale="90" zoomScaleNormal="90" workbookViewId="0">
      <selection activeCell="B3" sqref="B3:C3"/>
    </sheetView>
  </sheetViews>
  <sheetFormatPr defaultRowHeight="15"/>
  <cols>
    <col min="1" max="1" width="3.7109375" customWidth="1"/>
    <col min="2" max="2" width="6.5703125" customWidth="1"/>
    <col min="3" max="3" width="19.140625" customWidth="1"/>
    <col min="4" max="4" width="21.140625" customWidth="1"/>
    <col min="5" max="5" width="19.28515625" customWidth="1"/>
    <col min="6" max="6" width="18.7109375" customWidth="1"/>
    <col min="7" max="7" width="37.140625" bestFit="1" customWidth="1"/>
    <col min="8" max="8" width="18.42578125" customWidth="1"/>
    <col min="9" max="9" width="14.7109375" customWidth="1"/>
    <col min="10" max="10" width="13.42578125" customWidth="1"/>
    <col min="11" max="11" width="20.7109375" bestFit="1" customWidth="1"/>
    <col min="12" max="12" width="18.140625" bestFit="1" customWidth="1"/>
    <col min="13" max="13" width="23.7109375" customWidth="1"/>
    <col min="14" max="15" width="15" customWidth="1"/>
    <col min="16" max="16" width="20.5703125" hidden="1" customWidth="1"/>
    <col min="17" max="17" width="32.140625" hidden="1" customWidth="1"/>
    <col min="18" max="18" width="41.42578125" hidden="1" customWidth="1"/>
    <col min="19" max="19" width="17.42578125" hidden="1" customWidth="1"/>
    <col min="20" max="20" width="12.42578125" hidden="1" customWidth="1"/>
    <col min="21" max="21" width="12.5703125" hidden="1" customWidth="1"/>
    <col min="22" max="22" width="12.42578125" hidden="1" customWidth="1"/>
    <col min="23" max="23" width="12.5703125" hidden="1" customWidth="1"/>
    <col min="24" max="24" width="12.42578125" hidden="1" customWidth="1"/>
    <col min="25" max="26" width="8.42578125" hidden="1" customWidth="1"/>
    <col min="27" max="27" width="12.5703125" hidden="1" customWidth="1"/>
    <col min="28" max="28" width="8.85546875" hidden="1" customWidth="1"/>
    <col min="29" max="29" width="21.140625" customWidth="1"/>
    <col min="30" max="30" width="15.140625" customWidth="1"/>
    <col min="31" max="31" width="15.28515625" customWidth="1"/>
    <col min="32" max="33" width="15.28515625" hidden="1" customWidth="1"/>
    <col min="34" max="34" width="16.140625" hidden="1" customWidth="1"/>
    <col min="35" max="35" width="13.5703125" hidden="1" customWidth="1"/>
    <col min="36" max="36" width="9.140625" hidden="1" customWidth="1"/>
    <col min="37" max="37" width="8.7109375" hidden="1" customWidth="1"/>
    <col min="38" max="38" width="6.85546875" customWidth="1"/>
    <col min="39" max="246" width="9.140625" style="132"/>
  </cols>
  <sheetData>
    <row r="1" spans="1:246" ht="19.5" customHeight="1">
      <c r="A1" s="1"/>
      <c r="B1" s="1"/>
      <c r="C1" s="1"/>
      <c r="D1" s="1"/>
      <c r="E1" s="1"/>
      <c r="F1" s="1"/>
      <c r="G1" s="1"/>
      <c r="H1" s="1"/>
      <c r="I1" s="1"/>
      <c r="J1" s="1"/>
      <c r="K1" s="1"/>
      <c r="L1" s="1"/>
      <c r="M1" s="1"/>
      <c r="N1" s="1"/>
      <c r="O1" s="1"/>
      <c r="P1" s="8"/>
      <c r="Q1" s="8"/>
      <c r="R1" s="8"/>
      <c r="S1" s="8"/>
      <c r="T1" s="8"/>
      <c r="U1" s="8"/>
      <c r="V1" s="8"/>
      <c r="W1" s="8"/>
      <c r="X1" s="8"/>
      <c r="Y1" s="8"/>
      <c r="Z1" s="8"/>
      <c r="AA1" s="8"/>
      <c r="AB1" s="8"/>
      <c r="AC1" s="1"/>
      <c r="AD1" s="1"/>
      <c r="AE1" s="1"/>
      <c r="AF1" s="8"/>
      <c r="AG1" s="8"/>
      <c r="AH1" s="219" t="s">
        <v>84</v>
      </c>
      <c r="AI1" s="219" t="s">
        <v>85</v>
      </c>
      <c r="AJ1" s="8"/>
      <c r="AK1" s="8"/>
      <c r="AL1" s="182"/>
    </row>
    <row r="2" spans="1:246" ht="27" customHeight="1">
      <c r="A2" s="1"/>
      <c r="B2" s="434" t="s">
        <v>86</v>
      </c>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8"/>
      <c r="AG2" s="8"/>
      <c r="AH2" s="8"/>
      <c r="AI2" s="8"/>
      <c r="AJ2" s="8"/>
      <c r="AK2" s="8"/>
      <c r="AL2" s="182"/>
    </row>
    <row r="3" spans="1:246" ht="23.25" customHeight="1">
      <c r="A3" s="1"/>
      <c r="B3" s="442" t="s">
        <v>87</v>
      </c>
      <c r="C3" s="443"/>
      <c r="D3" s="444" t="s">
        <v>88</v>
      </c>
      <c r="E3" s="444"/>
      <c r="F3" s="444"/>
      <c r="G3" s="444"/>
      <c r="H3" s="1"/>
      <c r="I3" s="1"/>
      <c r="J3" s="1"/>
      <c r="K3" s="1"/>
      <c r="L3" s="1"/>
      <c r="M3" s="1"/>
      <c r="N3" s="1"/>
      <c r="O3" s="1"/>
      <c r="P3" s="8"/>
      <c r="Q3" s="8"/>
      <c r="R3" s="8"/>
      <c r="S3" s="8"/>
      <c r="T3" s="8"/>
      <c r="U3" s="8"/>
      <c r="V3" s="8"/>
      <c r="W3" s="8"/>
      <c r="X3" s="8"/>
      <c r="Y3" s="8"/>
      <c r="Z3" s="8"/>
      <c r="AA3" s="8"/>
      <c r="AB3" s="8"/>
      <c r="AC3" s="1"/>
      <c r="AD3" s="1"/>
      <c r="AE3" s="1"/>
      <c r="AF3" s="8"/>
      <c r="AG3" s="8"/>
      <c r="AH3" s="8"/>
      <c r="AI3" s="8"/>
      <c r="AJ3" s="8"/>
      <c r="AK3" s="8"/>
      <c r="AL3" s="182"/>
    </row>
    <row r="4" spans="1:246" ht="12.75" customHeight="1">
      <c r="A4" s="1"/>
      <c r="B4" s="1"/>
      <c r="C4" s="1"/>
      <c r="D4" s="444"/>
      <c r="E4" s="444"/>
      <c r="F4" s="444"/>
      <c r="G4" s="444"/>
      <c r="H4" s="1"/>
      <c r="I4" s="1"/>
      <c r="J4" s="1"/>
      <c r="K4" s="1"/>
      <c r="L4" s="1"/>
      <c r="M4" s="1"/>
      <c r="N4" s="1"/>
      <c r="O4" s="1"/>
      <c r="P4" s="8"/>
      <c r="Q4" s="8"/>
      <c r="R4" s="8"/>
      <c r="S4" s="8"/>
      <c r="T4" s="8"/>
      <c r="U4" s="8"/>
      <c r="V4" s="8"/>
      <c r="W4" s="8"/>
      <c r="X4" s="8"/>
      <c r="Y4" s="8"/>
      <c r="Z4" s="8"/>
      <c r="AA4" s="8"/>
      <c r="AB4" s="8"/>
      <c r="AC4" s="1"/>
      <c r="AD4" s="1"/>
      <c r="AE4" s="1"/>
      <c r="AF4" s="8"/>
      <c r="AG4" s="8"/>
      <c r="AH4" s="8"/>
      <c r="AI4" s="8"/>
      <c r="AJ4" s="8"/>
      <c r="AK4" s="8"/>
      <c r="AL4" s="182"/>
    </row>
    <row r="5" spans="1:246" ht="12.75" customHeight="1">
      <c r="A5" s="1"/>
      <c r="B5" s="1"/>
      <c r="C5" s="1"/>
      <c r="D5" s="1"/>
      <c r="E5" s="1"/>
      <c r="F5" s="1"/>
      <c r="G5" s="1"/>
      <c r="H5" s="1"/>
      <c r="I5" s="1"/>
      <c r="J5" s="1"/>
      <c r="K5" s="1"/>
      <c r="L5" s="1"/>
      <c r="M5" s="1"/>
      <c r="N5" s="1"/>
      <c r="O5" s="1"/>
      <c r="P5" s="8"/>
      <c r="Q5" s="8"/>
      <c r="R5" s="8"/>
      <c r="S5" s="8"/>
      <c r="T5" s="8"/>
      <c r="U5" s="8"/>
      <c r="V5" s="8"/>
      <c r="W5" s="8"/>
      <c r="X5" s="8"/>
      <c r="Y5" s="8"/>
      <c r="Z5" s="8"/>
      <c r="AA5" s="8"/>
      <c r="AB5" s="8"/>
      <c r="AC5" s="1"/>
      <c r="AD5" s="1"/>
      <c r="AE5" s="1"/>
      <c r="AF5" s="8"/>
      <c r="AG5" s="8"/>
      <c r="AH5" s="8"/>
      <c r="AI5" s="8"/>
      <c r="AJ5" s="8"/>
      <c r="AK5" s="8"/>
      <c r="AL5" s="182"/>
    </row>
    <row r="6" spans="1:246" ht="45">
      <c r="A6" s="1"/>
      <c r="B6" s="23" t="s">
        <v>89</v>
      </c>
      <c r="C6" s="23" t="s">
        <v>90</v>
      </c>
      <c r="D6" s="23" t="s">
        <v>91</v>
      </c>
      <c r="E6" s="23" t="s">
        <v>92</v>
      </c>
      <c r="F6" s="23" t="s">
        <v>93</v>
      </c>
      <c r="G6" s="23" t="s">
        <v>94</v>
      </c>
      <c r="H6" s="23" t="s">
        <v>95</v>
      </c>
      <c r="I6" s="23" t="s">
        <v>96</v>
      </c>
      <c r="J6" s="23" t="s">
        <v>97</v>
      </c>
      <c r="K6" s="23" t="s">
        <v>98</v>
      </c>
      <c r="L6" s="23" t="s">
        <v>99</v>
      </c>
      <c r="M6" s="23" t="s">
        <v>100</v>
      </c>
      <c r="N6" s="23" t="s">
        <v>27</v>
      </c>
      <c r="O6" s="23" t="s">
        <v>101</v>
      </c>
      <c r="P6" s="23" t="s">
        <v>102</v>
      </c>
      <c r="Q6" s="23" t="s">
        <v>103</v>
      </c>
      <c r="R6" s="23" t="s">
        <v>104</v>
      </c>
      <c r="S6" s="23" t="s">
        <v>105</v>
      </c>
      <c r="T6" s="23" t="s">
        <v>106</v>
      </c>
      <c r="U6" s="23" t="s">
        <v>107</v>
      </c>
      <c r="V6" s="23" t="s">
        <v>108</v>
      </c>
      <c r="W6" s="23" t="s">
        <v>109</v>
      </c>
      <c r="X6" s="23" t="s">
        <v>110</v>
      </c>
      <c r="Y6" s="23" t="s">
        <v>111</v>
      </c>
      <c r="Z6" s="23" t="s">
        <v>112</v>
      </c>
      <c r="AA6" s="23" t="s">
        <v>113</v>
      </c>
      <c r="AB6" s="23" t="s">
        <v>114</v>
      </c>
      <c r="AC6" s="23" t="s">
        <v>115</v>
      </c>
      <c r="AD6" s="23" t="s">
        <v>116</v>
      </c>
      <c r="AE6" s="23" t="s">
        <v>30</v>
      </c>
      <c r="AF6" s="343" t="s">
        <v>117</v>
      </c>
      <c r="AG6" s="343" t="s">
        <v>118</v>
      </c>
      <c r="AH6" s="343" t="s">
        <v>119</v>
      </c>
      <c r="AI6" s="44" t="s">
        <v>120</v>
      </c>
      <c r="AJ6" s="44" t="s">
        <v>121</v>
      </c>
      <c r="AK6" s="9" t="s">
        <v>97</v>
      </c>
      <c r="AL6" s="182"/>
    </row>
    <row r="7" spans="1:246" s="338" customFormat="1" ht="21.75" customHeight="1">
      <c r="A7" s="337"/>
      <c r="B7" s="345" t="s">
        <v>122</v>
      </c>
      <c r="C7" s="345"/>
      <c r="D7" s="345" t="s">
        <v>123</v>
      </c>
      <c r="E7" s="345" t="s">
        <v>124</v>
      </c>
      <c r="F7" s="345" t="s">
        <v>125</v>
      </c>
      <c r="G7" s="345" t="s">
        <v>126</v>
      </c>
      <c r="H7" s="345" t="s">
        <v>127</v>
      </c>
      <c r="I7" s="345" t="s">
        <v>128</v>
      </c>
      <c r="J7" s="345" t="s">
        <v>129</v>
      </c>
      <c r="K7" s="345" t="s">
        <v>130</v>
      </c>
      <c r="L7" s="345" t="s">
        <v>131</v>
      </c>
      <c r="M7" s="345" t="s">
        <v>132</v>
      </c>
      <c r="N7" s="345" t="s">
        <v>27</v>
      </c>
      <c r="O7" s="345" t="s">
        <v>133</v>
      </c>
      <c r="P7" s="345"/>
      <c r="Q7" s="345" t="s">
        <v>134</v>
      </c>
      <c r="R7" s="345"/>
      <c r="S7" s="345"/>
      <c r="T7" s="345"/>
      <c r="U7" s="345"/>
      <c r="V7" s="345"/>
      <c r="W7" s="345"/>
      <c r="X7" s="345"/>
      <c r="Y7" s="345"/>
      <c r="Z7" s="345"/>
      <c r="AA7" s="345"/>
      <c r="AB7" s="345" t="s">
        <v>135</v>
      </c>
      <c r="AC7" s="345" t="s">
        <v>136</v>
      </c>
      <c r="AD7" s="345" t="s">
        <v>137</v>
      </c>
      <c r="AE7" s="345" t="s">
        <v>138</v>
      </c>
      <c r="AF7" s="346" t="s">
        <v>139</v>
      </c>
      <c r="AG7" s="346"/>
      <c r="AH7" s="346" t="s">
        <v>140</v>
      </c>
      <c r="AI7" s="339"/>
      <c r="AJ7" s="339"/>
      <c r="AK7" s="340"/>
      <c r="AL7" s="341"/>
      <c r="AM7" s="342"/>
      <c r="AN7" s="342"/>
      <c r="AO7" s="342"/>
      <c r="AP7" s="342"/>
      <c r="AQ7" s="342"/>
      <c r="AR7" s="342"/>
      <c r="AS7" s="342"/>
      <c r="AT7" s="342"/>
      <c r="AU7" s="342"/>
      <c r="AV7" s="342"/>
      <c r="AW7" s="342"/>
      <c r="AX7" s="342"/>
      <c r="AY7" s="342"/>
      <c r="AZ7" s="342"/>
      <c r="BA7" s="342"/>
      <c r="BB7" s="342"/>
      <c r="BC7" s="342"/>
      <c r="BD7" s="342"/>
      <c r="BE7" s="342"/>
      <c r="BF7" s="342"/>
      <c r="BG7" s="342"/>
      <c r="BH7" s="342"/>
      <c r="BI7" s="342"/>
      <c r="BJ7" s="342"/>
      <c r="BK7" s="342"/>
      <c r="BL7" s="342"/>
      <c r="BM7" s="342"/>
      <c r="BN7" s="342"/>
      <c r="BO7" s="342"/>
      <c r="BP7" s="342"/>
      <c r="BQ7" s="342"/>
      <c r="BR7" s="342"/>
      <c r="BS7" s="342"/>
      <c r="BT7" s="342"/>
      <c r="BU7" s="342"/>
      <c r="BV7" s="342"/>
      <c r="BW7" s="342"/>
      <c r="BX7" s="342"/>
      <c r="BY7" s="342"/>
      <c r="BZ7" s="342"/>
      <c r="CA7" s="342"/>
      <c r="CB7" s="342"/>
      <c r="CC7" s="342"/>
      <c r="CD7" s="342"/>
      <c r="CE7" s="342"/>
      <c r="CF7" s="342"/>
      <c r="CG7" s="342"/>
      <c r="CH7" s="342"/>
      <c r="CI7" s="342"/>
      <c r="CJ7" s="342"/>
      <c r="CK7" s="342"/>
      <c r="CL7" s="342"/>
      <c r="CM7" s="342"/>
      <c r="CN7" s="342"/>
      <c r="CO7" s="342"/>
      <c r="CP7" s="342"/>
      <c r="CQ7" s="342"/>
      <c r="CR7" s="342"/>
      <c r="CS7" s="342"/>
      <c r="CT7" s="342"/>
      <c r="CU7" s="342"/>
      <c r="CV7" s="342"/>
      <c r="CW7" s="342"/>
      <c r="CX7" s="342"/>
      <c r="CY7" s="342"/>
      <c r="CZ7" s="342"/>
      <c r="DA7" s="342"/>
      <c r="DB7" s="342"/>
      <c r="DC7" s="342"/>
      <c r="DD7" s="342"/>
      <c r="DE7" s="342"/>
      <c r="DF7" s="342"/>
      <c r="DG7" s="342"/>
      <c r="DH7" s="342"/>
      <c r="DI7" s="342"/>
      <c r="DJ7" s="342"/>
      <c r="DK7" s="342"/>
      <c r="DL7" s="342"/>
      <c r="DM7" s="342"/>
      <c r="DN7" s="342"/>
      <c r="DO7" s="342"/>
      <c r="DP7" s="342"/>
      <c r="DQ7" s="342"/>
      <c r="DR7" s="342"/>
      <c r="DS7" s="342"/>
      <c r="DT7" s="342"/>
      <c r="DU7" s="342"/>
      <c r="DV7" s="342"/>
      <c r="DW7" s="342"/>
      <c r="DX7" s="342"/>
      <c r="DY7" s="342"/>
      <c r="DZ7" s="342"/>
      <c r="EA7" s="342"/>
      <c r="EB7" s="342"/>
      <c r="EC7" s="342"/>
      <c r="ED7" s="342"/>
      <c r="EE7" s="342"/>
      <c r="EF7" s="342"/>
      <c r="EG7" s="342"/>
      <c r="EH7" s="342"/>
      <c r="EI7" s="342"/>
      <c r="EJ7" s="342"/>
      <c r="EK7" s="342"/>
      <c r="EL7" s="342"/>
      <c r="EM7" s="342"/>
      <c r="EN7" s="342"/>
      <c r="EO7" s="342"/>
      <c r="EP7" s="342"/>
      <c r="EQ7" s="342"/>
      <c r="ER7" s="342"/>
      <c r="ES7" s="342"/>
      <c r="ET7" s="342"/>
      <c r="EU7" s="342"/>
      <c r="EV7" s="342"/>
      <c r="EW7" s="342"/>
      <c r="EX7" s="342"/>
      <c r="EY7" s="342"/>
      <c r="EZ7" s="342"/>
      <c r="FA7" s="342"/>
      <c r="FB7" s="342"/>
      <c r="FC7" s="342"/>
      <c r="FD7" s="342"/>
      <c r="FE7" s="342"/>
      <c r="FF7" s="342"/>
      <c r="FG7" s="342"/>
      <c r="FH7" s="342"/>
      <c r="FI7" s="342"/>
      <c r="FJ7" s="342"/>
      <c r="FK7" s="342"/>
      <c r="FL7" s="342"/>
      <c r="FM7" s="342"/>
      <c r="FN7" s="342"/>
      <c r="FO7" s="342"/>
      <c r="FP7" s="342"/>
      <c r="FQ7" s="342"/>
      <c r="FR7" s="342"/>
      <c r="FS7" s="342"/>
      <c r="FT7" s="342"/>
      <c r="FU7" s="342"/>
      <c r="FV7" s="342"/>
      <c r="FW7" s="342"/>
      <c r="FX7" s="342"/>
      <c r="FY7" s="342"/>
      <c r="FZ7" s="342"/>
      <c r="GA7" s="342"/>
      <c r="GB7" s="342"/>
      <c r="GC7" s="342"/>
      <c r="GD7" s="342"/>
      <c r="GE7" s="342"/>
      <c r="GF7" s="342"/>
      <c r="GG7" s="342"/>
      <c r="GH7" s="342"/>
      <c r="GI7" s="342"/>
      <c r="GJ7" s="342"/>
      <c r="GK7" s="342"/>
      <c r="GL7" s="342"/>
      <c r="GM7" s="342"/>
      <c r="GN7" s="342"/>
      <c r="GO7" s="342"/>
      <c r="GP7" s="342"/>
      <c r="GQ7" s="342"/>
      <c r="GR7" s="342"/>
      <c r="GS7" s="342"/>
      <c r="GT7" s="342"/>
      <c r="GU7" s="342"/>
      <c r="GV7" s="342"/>
      <c r="GW7" s="342"/>
      <c r="GX7" s="342"/>
      <c r="GY7" s="342"/>
      <c r="GZ7" s="342"/>
      <c r="HA7" s="342"/>
      <c r="HB7" s="342"/>
      <c r="HC7" s="342"/>
      <c r="HD7" s="342"/>
      <c r="HE7" s="342"/>
      <c r="HF7" s="342"/>
      <c r="HG7" s="342"/>
      <c r="HH7" s="342"/>
      <c r="HI7" s="342"/>
      <c r="HJ7" s="342"/>
      <c r="HK7" s="342"/>
      <c r="HL7" s="342"/>
      <c r="HM7" s="342"/>
      <c r="HN7" s="342"/>
      <c r="HO7" s="342"/>
      <c r="HP7" s="342"/>
      <c r="HQ7" s="342"/>
      <c r="HR7" s="342"/>
      <c r="HS7" s="342"/>
      <c r="HT7" s="342"/>
      <c r="HU7" s="342"/>
      <c r="HV7" s="342"/>
      <c r="HW7" s="342"/>
      <c r="HX7" s="342"/>
      <c r="HY7" s="342"/>
      <c r="HZ7" s="342"/>
      <c r="IA7" s="342"/>
      <c r="IB7" s="342"/>
      <c r="IC7" s="342"/>
      <c r="ID7" s="342"/>
      <c r="IE7" s="342"/>
      <c r="IF7" s="342"/>
      <c r="IG7" s="342"/>
      <c r="IH7" s="342"/>
      <c r="II7" s="342"/>
      <c r="IJ7" s="342"/>
      <c r="IK7" s="342"/>
      <c r="IL7" s="342"/>
    </row>
    <row r="8" spans="1:246" ht="21.75" customHeight="1">
      <c r="A8" s="1"/>
      <c r="B8" s="34">
        <v>1</v>
      </c>
      <c r="C8" s="47" t="s">
        <v>31</v>
      </c>
      <c r="D8" s="92"/>
      <c r="E8" s="92"/>
      <c r="F8" s="92"/>
      <c r="G8" s="92"/>
      <c r="H8" s="92"/>
      <c r="I8" s="92"/>
      <c r="J8" s="92"/>
      <c r="K8" s="92"/>
      <c r="L8" s="92"/>
      <c r="M8" s="92"/>
      <c r="N8" s="93"/>
      <c r="O8" s="93"/>
      <c r="P8" s="24" t="str">
        <f t="shared" ref="P8:P15" si="0">IF(D8="", "", VLOOKUP(M8, $I$45:$K$47, 3, FALSE))</f>
        <v/>
      </c>
      <c r="Q8" s="24" t="str">
        <f>IF(D8="", "", VLOOKUP(M8, $I$45:$M$47, 4, FALSE))</f>
        <v/>
      </c>
      <c r="R8" s="24" t="str">
        <f>IF(D8="", "", VLOOKUP(M8, $I$45:$M$47, 5, FALSE))</f>
        <v/>
      </c>
      <c r="S8" s="24" t="str">
        <f t="shared" ref="S8:S15" si="1">IF(T8&lt;7.75,$C$24, $C$23)</f>
        <v>Compact &lt; 7.75 ft3</v>
      </c>
      <c r="T8" s="24">
        <f t="shared" ref="T8:T15" si="2">IF(AND(G8=$E$21,K8&gt;7.75),K8+L8,IF(AND(G8=$E$23,K8&gt;7.75),K8+L8,K8+1.76*L8))</f>
        <v>0</v>
      </c>
      <c r="U8" s="57" t="str">
        <f t="array" ref="U8">IFERROR(INDEX($E$21:$T$41,MATCH(1,($E$21:$E$41=G8)*($F$21:$F$41=S8)*($G$21:$G$41=H8)*($H$21:$H$41=I8)*($I$21:$I$41=J8),0),6), "ERROR")</f>
        <v>ERROR</v>
      </c>
      <c r="V8" s="56" t="str">
        <f t="array" ref="V8">IFERROR(INDEX($E$21:$T$41,MATCH(1,($E$21:$E$41=G8)*($F$21:$F$41=S8)*($G$21:$G$41=H8)*($H$21:$H$41=I8)*($I$21:$I$41=J8),0),7), "ERROR")</f>
        <v>ERROR</v>
      </c>
      <c r="W8" s="24" t="str">
        <f t="array" ref="W8">IFERROR(INDEX($E$21:$T$41,MATCH(1,($E$21:$E$41=G8)*($F$21:$F$41=S8)*($G$21:$G$41=H8)*($H$21:$H$41=I8)*($I$21:$I$41=J8),0),IF(M8=$I$45, 8, IF(M8=$I$46, 10, 12))), "ERROR")</f>
        <v>ERROR</v>
      </c>
      <c r="X8" s="24" t="str">
        <f t="array" ref="X8">IFERROR(INDEX($E$21:$T$41,MATCH(1,($E$21:$E$41=G8)*($F$21:$F$41=S8)*($G$21:$G$41=H8)*($H$21:$H$41=I8)*($I$21:$I$41=J8),0),IF(M8=$I$45, 9, IF(M8=$I$46, 11, 13))), "ERROR")</f>
        <v>ERROR</v>
      </c>
      <c r="Y8" s="24" t="e">
        <f>(U8*T8)+V8</f>
        <v>#VALUE!</v>
      </c>
      <c r="Z8" s="24" t="e">
        <f>(W8*T8)+X8</f>
        <v>#VALUE!</v>
      </c>
      <c r="AA8" s="91">
        <f>$C$30</f>
        <v>14</v>
      </c>
      <c r="AB8" s="57" t="str">
        <f>IFERROR(ROUND(AD8/8760,6),"")</f>
        <v/>
      </c>
      <c r="AC8" s="45" t="str">
        <f>IFERROR(ROUND(((Y8-Z8)*$C$27)*N8,6), "")</f>
        <v/>
      </c>
      <c r="AD8" s="45" t="str">
        <f>IFERROR(ROUND((Y8-Z8)*N8,4), "")</f>
        <v/>
      </c>
      <c r="AE8" s="46" t="str">
        <f t="shared" ref="AE8:AE15" si="3">IF(D8="","",IF(INDEX($J$45:$J$47,MATCH(P8,$K$45:$K$47,0))*N8&gt;N8*O8,N8*O8,INDEX($J$45:$J$47,MATCH(P8,$K$45:$K$47,0))*N8))</f>
        <v/>
      </c>
      <c r="AF8" s="344" t="e">
        <f>INDEX($J$45:$J$47,MATCH(P8,$K$45:$K$47,0))*N8</f>
        <v>#N/A</v>
      </c>
      <c r="AG8" s="344" t="str">
        <f t="shared" ref="AG8:AG15" si="4">IF(O8="","",O8*100%)</f>
        <v/>
      </c>
      <c r="AH8" s="344" t="str">
        <f>IF(AD8&gt;0,"Yes","No")</f>
        <v>Yes</v>
      </c>
      <c r="AI8" t="str">
        <f t="shared" ref="AI8:AI15" si="5">IF(G8=$E$21, "Fridge", IF(G8=$E$23, "Fridge_Freezer", "Auto"))</f>
        <v>Auto</v>
      </c>
      <c r="AJ8" t="str">
        <f t="shared" ref="AJ8:AJ15" si="6">IF(OR(G8=$E$21, G8=$E$23), "No", "Yes_No")</f>
        <v>Yes_No</v>
      </c>
      <c r="AK8" t="str">
        <f t="shared" ref="AK8:AK15" si="7">IF(OR(G8=$E$21, G8=$E$23), "No", "Yes_No")</f>
        <v>Yes_No</v>
      </c>
      <c r="AL8" s="182"/>
    </row>
    <row r="9" spans="1:246" ht="21.75" customHeight="1">
      <c r="A9" s="1"/>
      <c r="B9" s="34">
        <v>2</v>
      </c>
      <c r="C9" s="47" t="s">
        <v>31</v>
      </c>
      <c r="D9" s="92"/>
      <c r="E9" s="92"/>
      <c r="F9" s="92"/>
      <c r="G9" s="92"/>
      <c r="H9" s="92"/>
      <c r="I9" s="92"/>
      <c r="J9" s="92"/>
      <c r="K9" s="92"/>
      <c r="L9" s="92"/>
      <c r="M9" s="92"/>
      <c r="N9" s="93"/>
      <c r="O9" s="93"/>
      <c r="P9" s="24" t="str">
        <f t="shared" si="0"/>
        <v/>
      </c>
      <c r="Q9" s="24"/>
      <c r="R9" s="24"/>
      <c r="S9" s="24" t="str">
        <f t="shared" si="1"/>
        <v>Compact &lt; 7.75 ft3</v>
      </c>
      <c r="T9" s="24">
        <f t="shared" si="2"/>
        <v>0</v>
      </c>
      <c r="U9" s="57" t="str">
        <f t="array" ref="U9">IFERROR(INDEX($E$21:$T$41,MATCH(1,($E$21:$E$41=G9)*($F$21:$F$41=S9)*($G$21:$G$41=H9)*($H$21:$H$41=I9)*($I$21:$I$41=J9),0),6), "ERROR")</f>
        <v>ERROR</v>
      </c>
      <c r="V9" s="56" t="str">
        <f t="array" ref="V9">IFERROR(INDEX($E$21:$T$41,MATCH(1,($E$21:$E$41=G9)*($F$21:$F$41=S9)*($G$21:$G$41=H9)*($H$21:$H$41=I9)*($I$21:$I$41=J9),0),7), "ERROR")</f>
        <v>ERROR</v>
      </c>
      <c r="W9" s="24" t="str">
        <f t="array" ref="W9">IFERROR(INDEX($E$21:$T$41,MATCH(1,($E$21:$E$41=G9)*($F$21:$F$41=S9)*($G$21:$G$41=H9)*($H$21:$H$41=I9)*($I$21:$I$41=J9),0),IF(M9=$I$45, 8, IF(M9=$I$46, 10, 12))), "ERROR")</f>
        <v>ERROR</v>
      </c>
      <c r="X9" s="24" t="str">
        <f t="array" ref="X9">IFERROR(INDEX($E$21:$T$41,MATCH(1,($E$21:$E$41=G9)*($F$21:$F$41=S9)*($G$21:$G$41=H9)*($H$21:$H$41=I9)*($I$21:$I$41=J9),0),IF(M9=$I$45, 9, IF(M9=$I$46, 11, 13))), "ERROR")</f>
        <v>ERROR</v>
      </c>
      <c r="Y9" s="24" t="e">
        <f t="shared" ref="Y9:Y15" si="8">(U9*T9)+V9</f>
        <v>#VALUE!</v>
      </c>
      <c r="Z9" s="24" t="e">
        <f t="shared" ref="Z9:Z15" si="9">(W9*T9)+X9</f>
        <v>#VALUE!</v>
      </c>
      <c r="AA9" s="91">
        <f t="shared" ref="AA9:AA15" si="10">$C$30</f>
        <v>14</v>
      </c>
      <c r="AB9" s="57" t="str">
        <f t="shared" ref="AB9:AB15" si="11">IFERROR(ROUND(AD9/8760,6),"")</f>
        <v/>
      </c>
      <c r="AC9" s="45" t="str">
        <f t="shared" ref="AC9:AC15" si="12">IFERROR(ROUND(((Y9-Z9)*$C$27)*N9,6), "")</f>
        <v/>
      </c>
      <c r="AD9" s="45" t="str">
        <f t="shared" ref="AD9:AD15" si="13">IFERROR(ROUND((Y9-Z9)*N9,4), "")</f>
        <v/>
      </c>
      <c r="AE9" s="46" t="str">
        <f t="shared" si="3"/>
        <v/>
      </c>
      <c r="AF9" s="344" t="str">
        <f t="shared" ref="AF9:AF15" si="14">IF(O9="","",O9*100%)</f>
        <v/>
      </c>
      <c r="AG9" s="344" t="str">
        <f t="shared" si="4"/>
        <v/>
      </c>
      <c r="AH9" s="344" t="str">
        <f t="shared" ref="AH9:AH15" si="15">IF(AD9&gt;0,"Yes","No")</f>
        <v>Yes</v>
      </c>
      <c r="AI9" t="str">
        <f t="shared" si="5"/>
        <v>Auto</v>
      </c>
      <c r="AJ9" t="str">
        <f t="shared" si="6"/>
        <v>Yes_No</v>
      </c>
      <c r="AK9" t="str">
        <f t="shared" si="7"/>
        <v>Yes_No</v>
      </c>
      <c r="AL9" s="182"/>
    </row>
    <row r="10" spans="1:246" ht="21.75" customHeight="1">
      <c r="A10" s="1"/>
      <c r="B10" s="34">
        <v>3</v>
      </c>
      <c r="C10" s="47" t="s">
        <v>31</v>
      </c>
      <c r="D10" s="92"/>
      <c r="E10" s="92"/>
      <c r="F10" s="92"/>
      <c r="G10" s="92"/>
      <c r="H10" s="92"/>
      <c r="I10" s="92"/>
      <c r="J10" s="92"/>
      <c r="K10" s="92"/>
      <c r="L10" s="92"/>
      <c r="M10" s="92"/>
      <c r="N10" s="93"/>
      <c r="O10" s="93"/>
      <c r="P10" s="24" t="str">
        <f t="shared" si="0"/>
        <v/>
      </c>
      <c r="Q10" s="24"/>
      <c r="R10" s="24"/>
      <c r="S10" s="24" t="str">
        <f t="shared" si="1"/>
        <v>Compact &lt; 7.75 ft3</v>
      </c>
      <c r="T10" s="24">
        <f t="shared" si="2"/>
        <v>0</v>
      </c>
      <c r="U10" s="57" t="str">
        <f t="array" ref="U10">IFERROR(INDEX($E$21:$T$41,MATCH(1,($E$21:$E$41=G10)*($F$21:$F$41=S10)*($G$21:$G$41=H10)*($H$21:$H$41=I10)*($I$21:$I$41=J10),0),6), "ERROR")</f>
        <v>ERROR</v>
      </c>
      <c r="V10" s="56" t="str">
        <f t="array" ref="V10">IFERROR(INDEX($E$21:$T$41,MATCH(1,($E$21:$E$41=G10)*($F$21:$F$41=S10)*($G$21:$G$41=H10)*($H$21:$H$41=I10)*($I$21:$I$41=J10),0),7), "ERROR")</f>
        <v>ERROR</v>
      </c>
      <c r="W10" s="24" t="str">
        <f t="array" ref="W10">IFERROR(INDEX($E$21:$T$41,MATCH(1,($E$21:$E$41=G10)*($F$21:$F$41=S10)*($G$21:$G$41=H10)*($H$21:$H$41=I10)*($I$21:$I$41=J10),0),IF(M10=$I$45, 8, IF(M10=$I$46, 10, 12))), "ERROR")</f>
        <v>ERROR</v>
      </c>
      <c r="X10" s="24" t="str">
        <f t="array" ref="X10">IFERROR(INDEX($E$21:$T$41,MATCH(1,($E$21:$E$41=G10)*($F$21:$F$41=S10)*($G$21:$G$41=H10)*($H$21:$H$41=I10)*($I$21:$I$41=J10),0),IF(M10=$I$45, 9, IF(M10=$I$46, 11, 13))), "ERROR")</f>
        <v>ERROR</v>
      </c>
      <c r="Y10" s="24" t="e">
        <f t="shared" si="8"/>
        <v>#VALUE!</v>
      </c>
      <c r="Z10" s="24" t="e">
        <f>(W10*T10)+X10</f>
        <v>#VALUE!</v>
      </c>
      <c r="AA10" s="91">
        <f t="shared" si="10"/>
        <v>14</v>
      </c>
      <c r="AB10" s="57" t="str">
        <f t="shared" si="11"/>
        <v/>
      </c>
      <c r="AC10" s="45" t="str">
        <f t="shared" si="12"/>
        <v/>
      </c>
      <c r="AD10" s="45" t="str">
        <f t="shared" si="13"/>
        <v/>
      </c>
      <c r="AE10" s="46" t="str">
        <f t="shared" si="3"/>
        <v/>
      </c>
      <c r="AF10" s="344" t="str">
        <f t="shared" si="14"/>
        <v/>
      </c>
      <c r="AG10" s="344" t="str">
        <f t="shared" si="4"/>
        <v/>
      </c>
      <c r="AH10" s="344" t="str">
        <f t="shared" si="15"/>
        <v>Yes</v>
      </c>
      <c r="AI10" t="str">
        <f t="shared" si="5"/>
        <v>Auto</v>
      </c>
      <c r="AJ10" t="str">
        <f t="shared" si="6"/>
        <v>Yes_No</v>
      </c>
      <c r="AK10" t="str">
        <f t="shared" si="7"/>
        <v>Yes_No</v>
      </c>
      <c r="AL10" s="182"/>
    </row>
    <row r="11" spans="1:246" ht="21.75" customHeight="1">
      <c r="A11" s="1"/>
      <c r="B11" s="34">
        <v>4</v>
      </c>
      <c r="C11" s="47" t="s">
        <v>31</v>
      </c>
      <c r="D11" s="92"/>
      <c r="E11" s="92"/>
      <c r="F11" s="92"/>
      <c r="G11" s="92"/>
      <c r="H11" s="92"/>
      <c r="I11" s="92"/>
      <c r="J11" s="92"/>
      <c r="K11" s="92"/>
      <c r="L11" s="92"/>
      <c r="M11" s="92"/>
      <c r="N11" s="93"/>
      <c r="O11" s="93"/>
      <c r="P11" s="24" t="str">
        <f t="shared" si="0"/>
        <v/>
      </c>
      <c r="Q11" s="24"/>
      <c r="R11" s="24"/>
      <c r="S11" s="24" t="str">
        <f t="shared" si="1"/>
        <v>Compact &lt; 7.75 ft3</v>
      </c>
      <c r="T11" s="24">
        <f t="shared" si="2"/>
        <v>0</v>
      </c>
      <c r="U11" s="57" t="str">
        <f t="array" ref="U11">IFERROR(INDEX($E$21:$T$41,MATCH(1,($E$21:$E$41=G11)*($F$21:$F$41=S11)*($G$21:$G$41=H11)*($H$21:$H$41=I11)*($I$21:$I$41=J11),0),6), "ERROR")</f>
        <v>ERROR</v>
      </c>
      <c r="V11" s="56" t="str">
        <f t="array" ref="V11">IFERROR(INDEX($E$21:$T$41,MATCH(1,($E$21:$E$41=G11)*($F$21:$F$41=S11)*($G$21:$G$41=H11)*($H$21:$H$41=I11)*($I$21:$I$41=J11),0),7), "ERROR")</f>
        <v>ERROR</v>
      </c>
      <c r="W11" s="24" t="str">
        <f t="array" ref="W11">IFERROR(INDEX($E$21:$T$41,MATCH(1,($E$21:$E$41=G11)*($F$21:$F$41=S11)*($G$21:$G$41=H11)*($H$21:$H$41=I11)*($I$21:$I$41=J11),0),IF(M11=$I$45, 8, IF(M11=$I$46, 10, 12))), "ERROR")</f>
        <v>ERROR</v>
      </c>
      <c r="X11" s="24" t="str">
        <f t="array" ref="X11">IFERROR(INDEX($E$21:$T$41,MATCH(1,($E$21:$E$41=G11)*($F$21:$F$41=S11)*($G$21:$G$41=H11)*($H$21:$H$41=I11)*($I$21:$I$41=J11),0),IF(M11=$I$45, 9, IF(M11=$I$46, 11, 13))), "ERROR")</f>
        <v>ERROR</v>
      </c>
      <c r="Y11" s="24" t="e">
        <f t="shared" si="8"/>
        <v>#VALUE!</v>
      </c>
      <c r="Z11" s="24" t="e">
        <f t="shared" si="9"/>
        <v>#VALUE!</v>
      </c>
      <c r="AA11" s="91">
        <f t="shared" si="10"/>
        <v>14</v>
      </c>
      <c r="AB11" s="57" t="str">
        <f t="shared" si="11"/>
        <v/>
      </c>
      <c r="AC11" s="45" t="str">
        <f t="shared" si="12"/>
        <v/>
      </c>
      <c r="AD11" s="45" t="str">
        <f t="shared" si="13"/>
        <v/>
      </c>
      <c r="AE11" s="46" t="str">
        <f t="shared" si="3"/>
        <v/>
      </c>
      <c r="AF11" s="344" t="str">
        <f t="shared" si="14"/>
        <v/>
      </c>
      <c r="AG11" s="344" t="str">
        <f t="shared" si="4"/>
        <v/>
      </c>
      <c r="AH11" s="344" t="str">
        <f t="shared" si="15"/>
        <v>Yes</v>
      </c>
      <c r="AI11" t="str">
        <f t="shared" si="5"/>
        <v>Auto</v>
      </c>
      <c r="AJ11" t="str">
        <f t="shared" si="6"/>
        <v>Yes_No</v>
      </c>
      <c r="AK11" t="str">
        <f t="shared" si="7"/>
        <v>Yes_No</v>
      </c>
      <c r="AL11" s="182"/>
    </row>
    <row r="12" spans="1:246" ht="21.75" customHeight="1">
      <c r="A12" s="1"/>
      <c r="B12" s="34">
        <v>5</v>
      </c>
      <c r="C12" s="47" t="s">
        <v>31</v>
      </c>
      <c r="D12" s="92"/>
      <c r="E12" s="92"/>
      <c r="F12" s="92"/>
      <c r="G12" s="92"/>
      <c r="H12" s="92"/>
      <c r="I12" s="92"/>
      <c r="J12" s="92"/>
      <c r="K12" s="92"/>
      <c r="L12" s="92"/>
      <c r="M12" s="92"/>
      <c r="N12" s="93"/>
      <c r="O12" s="93"/>
      <c r="P12" s="24" t="str">
        <f t="shared" si="0"/>
        <v/>
      </c>
      <c r="Q12" s="24"/>
      <c r="R12" s="24"/>
      <c r="S12" s="24" t="str">
        <f t="shared" si="1"/>
        <v>Compact &lt; 7.75 ft3</v>
      </c>
      <c r="T12" s="24">
        <f t="shared" si="2"/>
        <v>0</v>
      </c>
      <c r="U12" s="57" t="str">
        <f t="array" ref="U12">IFERROR(INDEX($E$21:$T$41,MATCH(1,($E$21:$E$41=G12)*($F$21:$F$41=S12)*($G$21:$G$41=H12)*($H$21:$H$41=I12)*($I$21:$I$41=J12),0),6), "ERROR")</f>
        <v>ERROR</v>
      </c>
      <c r="V12" s="56" t="str">
        <f t="array" ref="V12">IFERROR(INDEX($E$21:$T$41,MATCH(1,($E$21:$E$41=G12)*($F$21:$F$41=S12)*($G$21:$G$41=H12)*($H$21:$H$41=I12)*($I$21:$I$41=J12),0),7), "ERROR")</f>
        <v>ERROR</v>
      </c>
      <c r="W12" s="24" t="str">
        <f t="array" ref="W12">IFERROR(INDEX($E$21:$T$41,MATCH(1,($E$21:$E$41=G12)*($F$21:$F$41=S12)*($G$21:$G$41=H12)*($H$21:$H$41=I12)*($I$21:$I$41=J12),0),IF(M12=$I$45, 8, IF(M12=$I$46, 10, 12))), "ERROR")</f>
        <v>ERROR</v>
      </c>
      <c r="X12" s="24" t="str">
        <f t="array" ref="X12">IFERROR(INDEX($E$21:$T$41,MATCH(1,($E$21:$E$41=G12)*($F$21:$F$41=S12)*($G$21:$G$41=H12)*($H$21:$H$41=I12)*($I$21:$I$41=J12),0),IF(M12=$I$45, 9, IF(M12=$I$46, 11, 13))), "ERROR")</f>
        <v>ERROR</v>
      </c>
      <c r="Y12" s="24" t="e">
        <f t="shared" si="8"/>
        <v>#VALUE!</v>
      </c>
      <c r="Z12" s="24" t="e">
        <f t="shared" si="9"/>
        <v>#VALUE!</v>
      </c>
      <c r="AA12" s="91">
        <f t="shared" si="10"/>
        <v>14</v>
      </c>
      <c r="AB12" s="57" t="str">
        <f t="shared" si="11"/>
        <v/>
      </c>
      <c r="AC12" s="45" t="str">
        <f t="shared" si="12"/>
        <v/>
      </c>
      <c r="AD12" s="45" t="str">
        <f t="shared" si="13"/>
        <v/>
      </c>
      <c r="AE12" s="46" t="str">
        <f t="shared" si="3"/>
        <v/>
      </c>
      <c r="AF12" s="344" t="str">
        <f t="shared" si="14"/>
        <v/>
      </c>
      <c r="AG12" s="344" t="str">
        <f t="shared" si="4"/>
        <v/>
      </c>
      <c r="AH12" s="344" t="str">
        <f t="shared" si="15"/>
        <v>Yes</v>
      </c>
      <c r="AI12" t="str">
        <f t="shared" si="5"/>
        <v>Auto</v>
      </c>
      <c r="AJ12" t="str">
        <f t="shared" si="6"/>
        <v>Yes_No</v>
      </c>
      <c r="AK12" t="str">
        <f t="shared" si="7"/>
        <v>Yes_No</v>
      </c>
      <c r="AL12" s="182"/>
    </row>
    <row r="13" spans="1:246" ht="21.75" customHeight="1">
      <c r="A13" s="1"/>
      <c r="B13" s="34">
        <v>6</v>
      </c>
      <c r="C13" s="47" t="s">
        <v>31</v>
      </c>
      <c r="D13" s="92"/>
      <c r="E13" s="92"/>
      <c r="F13" s="92"/>
      <c r="G13" s="92"/>
      <c r="H13" s="92"/>
      <c r="I13" s="92"/>
      <c r="J13" s="92"/>
      <c r="K13" s="92"/>
      <c r="L13" s="92"/>
      <c r="M13" s="92"/>
      <c r="N13" s="93"/>
      <c r="O13" s="93"/>
      <c r="P13" s="24" t="str">
        <f t="shared" si="0"/>
        <v/>
      </c>
      <c r="Q13" s="24"/>
      <c r="R13" s="24"/>
      <c r="S13" s="24" t="str">
        <f t="shared" si="1"/>
        <v>Compact &lt; 7.75 ft3</v>
      </c>
      <c r="T13" s="24">
        <f t="shared" si="2"/>
        <v>0</v>
      </c>
      <c r="U13" s="57" t="str">
        <f t="array" ref="U13">IFERROR(INDEX($E$21:$T$41,MATCH(1,($E$21:$E$41=G13)*($F$21:$F$41=S13)*($G$21:$G$41=H13)*($H$21:$H$41=I13)*($I$21:$I$41=J13),0),6), "ERROR")</f>
        <v>ERROR</v>
      </c>
      <c r="V13" s="56" t="str">
        <f t="array" ref="V13">IFERROR(INDEX($E$21:$T$41,MATCH(1,($E$21:$E$41=G13)*($F$21:$F$41=S13)*($G$21:$G$41=H13)*($H$21:$H$41=I13)*($I$21:$I$41=J13),0),7), "ERROR")</f>
        <v>ERROR</v>
      </c>
      <c r="W13" s="24" t="str">
        <f t="array" ref="W13">IFERROR(INDEX($E$21:$T$41,MATCH(1,($E$21:$E$41=G13)*($F$21:$F$41=S13)*($G$21:$G$41=H13)*($H$21:$H$41=I13)*($I$21:$I$41=J13),0),IF(M13=$I$45, 8, IF(M13=$I$46, 10, 12))), "ERROR")</f>
        <v>ERROR</v>
      </c>
      <c r="X13" s="24" t="str">
        <f t="array" ref="X13">IFERROR(INDEX($E$21:$T$41,MATCH(1,($E$21:$E$41=G13)*($F$21:$F$41=S13)*($G$21:$G$41=H13)*($H$21:$H$41=I13)*($I$21:$I$41=J13),0),IF(M13=$I$45, 9, IF(M13=$I$46, 11, 13))), "ERROR")</f>
        <v>ERROR</v>
      </c>
      <c r="Y13" s="24" t="e">
        <f t="shared" si="8"/>
        <v>#VALUE!</v>
      </c>
      <c r="Z13" s="24" t="e">
        <f t="shared" si="9"/>
        <v>#VALUE!</v>
      </c>
      <c r="AA13" s="91">
        <f t="shared" si="10"/>
        <v>14</v>
      </c>
      <c r="AB13" s="57" t="str">
        <f t="shared" si="11"/>
        <v/>
      </c>
      <c r="AC13" s="45" t="str">
        <f t="shared" si="12"/>
        <v/>
      </c>
      <c r="AD13" s="45" t="str">
        <f t="shared" si="13"/>
        <v/>
      </c>
      <c r="AE13" s="46" t="str">
        <f t="shared" si="3"/>
        <v/>
      </c>
      <c r="AF13" s="344" t="str">
        <f t="shared" si="14"/>
        <v/>
      </c>
      <c r="AG13" s="344" t="str">
        <f t="shared" si="4"/>
        <v/>
      </c>
      <c r="AH13" s="344" t="str">
        <f t="shared" si="15"/>
        <v>Yes</v>
      </c>
      <c r="AI13" t="str">
        <f t="shared" si="5"/>
        <v>Auto</v>
      </c>
      <c r="AJ13" t="str">
        <f t="shared" si="6"/>
        <v>Yes_No</v>
      </c>
      <c r="AK13" t="str">
        <f t="shared" si="7"/>
        <v>Yes_No</v>
      </c>
      <c r="AL13" s="182"/>
    </row>
    <row r="14" spans="1:246" ht="21.75" customHeight="1">
      <c r="A14" s="1"/>
      <c r="B14" s="34">
        <v>7</v>
      </c>
      <c r="C14" s="47" t="s">
        <v>31</v>
      </c>
      <c r="D14" s="92"/>
      <c r="E14" s="92"/>
      <c r="F14" s="92"/>
      <c r="G14" s="92"/>
      <c r="H14" s="92"/>
      <c r="I14" s="92"/>
      <c r="J14" s="92"/>
      <c r="K14" s="92"/>
      <c r="L14" s="92"/>
      <c r="M14" s="92"/>
      <c r="N14" s="93"/>
      <c r="O14" s="93"/>
      <c r="P14" s="24" t="str">
        <f t="shared" si="0"/>
        <v/>
      </c>
      <c r="Q14" s="24"/>
      <c r="R14" s="24"/>
      <c r="S14" s="24" t="str">
        <f t="shared" si="1"/>
        <v>Compact &lt; 7.75 ft3</v>
      </c>
      <c r="T14" s="24">
        <f t="shared" si="2"/>
        <v>0</v>
      </c>
      <c r="U14" s="57" t="str">
        <f t="array" ref="U14">IFERROR(INDEX($E$21:$T$41,MATCH(1,($E$21:$E$41=G14)*($F$21:$F$41=S14)*($G$21:$G$41=H14)*($H$21:$H$41=I14)*($I$21:$I$41=J14),0),6), "ERROR")</f>
        <v>ERROR</v>
      </c>
      <c r="V14" s="56" t="str">
        <f t="array" ref="V14">IFERROR(INDEX($E$21:$T$41,MATCH(1,($E$21:$E$41=G14)*($F$21:$F$41=S14)*($G$21:$G$41=H14)*($H$21:$H$41=I14)*($I$21:$I$41=J14),0),7), "ERROR")</f>
        <v>ERROR</v>
      </c>
      <c r="W14" s="24" t="str">
        <f t="array" ref="W14">IFERROR(INDEX($E$21:$T$41,MATCH(1,($E$21:$E$41=G14)*($F$21:$F$41=S14)*($G$21:$G$41=H14)*($H$21:$H$41=I14)*($I$21:$I$41=J14),0),IF(M14=$I$45, 8, IF(M14=$I$46, 10, 12))), "ERROR")</f>
        <v>ERROR</v>
      </c>
      <c r="X14" s="24" t="str">
        <f t="array" ref="X14">IFERROR(INDEX($E$21:$T$41,MATCH(1,($E$21:$E$41=G14)*($F$21:$F$41=S14)*($G$21:$G$41=H14)*($H$21:$H$41=I14)*($I$21:$I$41=J14),0),IF(M14=$I$45, 9, IF(M14=$I$46, 11, 13))), "ERROR")</f>
        <v>ERROR</v>
      </c>
      <c r="Y14" s="24" t="e">
        <f t="shared" si="8"/>
        <v>#VALUE!</v>
      </c>
      <c r="Z14" s="24" t="e">
        <f t="shared" si="9"/>
        <v>#VALUE!</v>
      </c>
      <c r="AA14" s="91">
        <f t="shared" si="10"/>
        <v>14</v>
      </c>
      <c r="AB14" s="57" t="str">
        <f t="shared" si="11"/>
        <v/>
      </c>
      <c r="AC14" s="45" t="str">
        <f t="shared" si="12"/>
        <v/>
      </c>
      <c r="AD14" s="45" t="str">
        <f t="shared" si="13"/>
        <v/>
      </c>
      <c r="AE14" s="46" t="str">
        <f t="shared" si="3"/>
        <v/>
      </c>
      <c r="AF14" s="344" t="str">
        <f t="shared" si="14"/>
        <v/>
      </c>
      <c r="AG14" s="344" t="str">
        <f t="shared" si="4"/>
        <v/>
      </c>
      <c r="AH14" s="344" t="str">
        <f t="shared" si="15"/>
        <v>Yes</v>
      </c>
      <c r="AI14" t="str">
        <f t="shared" si="5"/>
        <v>Auto</v>
      </c>
      <c r="AJ14" t="str">
        <f t="shared" si="6"/>
        <v>Yes_No</v>
      </c>
      <c r="AK14" t="str">
        <f t="shared" si="7"/>
        <v>Yes_No</v>
      </c>
      <c r="AL14" s="182"/>
    </row>
    <row r="15" spans="1:246" ht="21.75" customHeight="1">
      <c r="A15" s="1"/>
      <c r="B15" s="34">
        <v>8</v>
      </c>
      <c r="C15" s="47" t="s">
        <v>31</v>
      </c>
      <c r="D15" s="92"/>
      <c r="E15" s="92"/>
      <c r="F15" s="92"/>
      <c r="G15" s="92"/>
      <c r="H15" s="92"/>
      <c r="I15" s="92"/>
      <c r="J15" s="92"/>
      <c r="K15" s="92"/>
      <c r="L15" s="92"/>
      <c r="M15" s="92"/>
      <c r="N15" s="93"/>
      <c r="O15" s="93"/>
      <c r="P15" s="24" t="str">
        <f t="shared" si="0"/>
        <v/>
      </c>
      <c r="Q15" s="24"/>
      <c r="R15" s="24"/>
      <c r="S15" s="24" t="str">
        <f t="shared" si="1"/>
        <v>Compact &lt; 7.75 ft3</v>
      </c>
      <c r="T15" s="24">
        <f t="shared" si="2"/>
        <v>0</v>
      </c>
      <c r="U15" s="57" t="str">
        <f t="array" ref="U15">IFERROR(INDEX($E$21:$T$41,MATCH(1,($E$21:$E$41=G15)*($F$21:$F$41=S15)*($G$21:$G$41=H15)*($H$21:$H$41=I15)*($I$21:$I$41=J15),0),6), "ERROR")</f>
        <v>ERROR</v>
      </c>
      <c r="V15" s="56" t="str">
        <f t="array" ref="V15">IFERROR(INDEX($E$21:$T$41,MATCH(1,($E$21:$E$41=G15)*($F$21:$F$41=S15)*($G$21:$G$41=H15)*($H$21:$H$41=I15)*($I$21:$I$41=J15),0),7), "ERROR")</f>
        <v>ERROR</v>
      </c>
      <c r="W15" s="24" t="str">
        <f t="array" ref="W15">IFERROR(INDEX($E$21:$T$41,MATCH(1,($E$21:$E$41=G15)*($F$21:$F$41=S15)*($G$21:$G$41=H15)*($H$21:$H$41=I15)*($I$21:$I$41=J15),0),IF(M15=$I$45, 8, IF(M15=$I$46, 10, 12))), "ERROR")</f>
        <v>ERROR</v>
      </c>
      <c r="X15" s="24" t="str">
        <f t="array" ref="X15">IFERROR(INDEX($E$21:$T$41,MATCH(1,($E$21:$E$41=G15)*($F$21:$F$41=S15)*($G$21:$G$41=H15)*($H$21:$H$41=I15)*($I$21:$I$41=J15),0),IF(M15=$I$45, 9, IF(M15=$I$46, 11, 13))), "ERROR")</f>
        <v>ERROR</v>
      </c>
      <c r="Y15" s="24" t="e">
        <f t="shared" si="8"/>
        <v>#VALUE!</v>
      </c>
      <c r="Z15" s="24" t="e">
        <f t="shared" si="9"/>
        <v>#VALUE!</v>
      </c>
      <c r="AA15" s="91">
        <f t="shared" si="10"/>
        <v>14</v>
      </c>
      <c r="AB15" s="57" t="str">
        <f t="shared" si="11"/>
        <v/>
      </c>
      <c r="AC15" s="45" t="str">
        <f t="shared" si="12"/>
        <v/>
      </c>
      <c r="AD15" s="45" t="str">
        <f t="shared" si="13"/>
        <v/>
      </c>
      <c r="AE15" s="46" t="str">
        <f t="shared" si="3"/>
        <v/>
      </c>
      <c r="AF15" s="344" t="str">
        <f t="shared" si="14"/>
        <v/>
      </c>
      <c r="AG15" s="344" t="str">
        <f t="shared" si="4"/>
        <v/>
      </c>
      <c r="AH15" s="344" t="str">
        <f t="shared" si="15"/>
        <v>Yes</v>
      </c>
      <c r="AI15" t="str">
        <f t="shared" si="5"/>
        <v>Auto</v>
      </c>
      <c r="AJ15" t="str">
        <f t="shared" si="6"/>
        <v>Yes_No</v>
      </c>
      <c r="AK15" t="str">
        <f t="shared" si="7"/>
        <v>Yes_No</v>
      </c>
      <c r="AL15" s="182"/>
    </row>
    <row r="16" spans="1:246" hidden="1">
      <c r="A16" s="8"/>
    </row>
    <row r="17" spans="1:20" hidden="1">
      <c r="A17" s="8"/>
    </row>
    <row r="18" spans="1:20" ht="15" hidden="1" customHeight="1">
      <c r="A18" s="8"/>
      <c r="C18" s="49" t="s">
        <v>91</v>
      </c>
      <c r="E18" s="436" t="s">
        <v>141</v>
      </c>
      <c r="F18" s="437"/>
      <c r="G18" s="437"/>
      <c r="H18" s="437"/>
      <c r="I18" s="438"/>
      <c r="J18" s="436" t="s">
        <v>142</v>
      </c>
      <c r="K18" s="437"/>
      <c r="L18" s="436" t="s">
        <v>143</v>
      </c>
      <c r="M18" s="438"/>
      <c r="N18" s="445" t="s">
        <v>144</v>
      </c>
      <c r="O18" s="446"/>
      <c r="P18" s="446"/>
      <c r="Q18" s="327"/>
      <c r="R18" s="327"/>
      <c r="S18" s="445" t="s">
        <v>145</v>
      </c>
      <c r="T18" s="449"/>
    </row>
    <row r="19" spans="1:20" ht="16.5" hidden="1" customHeight="1">
      <c r="A19" s="8"/>
      <c r="C19" s="58" t="s">
        <v>146</v>
      </c>
      <c r="E19" s="439"/>
      <c r="F19" s="440"/>
      <c r="G19" s="440"/>
      <c r="H19" s="440"/>
      <c r="I19" s="441"/>
      <c r="J19" s="439"/>
      <c r="K19" s="440"/>
      <c r="L19" s="439"/>
      <c r="M19" s="441"/>
      <c r="N19" s="447"/>
      <c r="O19" s="448"/>
      <c r="P19" s="448"/>
      <c r="Q19" s="328"/>
      <c r="R19" s="328"/>
      <c r="S19" s="447"/>
      <c r="T19" s="450"/>
    </row>
    <row r="20" spans="1:20" ht="30" hidden="1">
      <c r="A20" s="8"/>
      <c r="C20" s="58" t="s">
        <v>147</v>
      </c>
      <c r="E20" s="13" t="s">
        <v>148</v>
      </c>
      <c r="F20" s="13" t="s">
        <v>149</v>
      </c>
      <c r="G20" s="13" t="s">
        <v>95</v>
      </c>
      <c r="H20" s="14" t="s">
        <v>96</v>
      </c>
      <c r="I20" s="14" t="s">
        <v>97</v>
      </c>
      <c r="J20" s="13" t="s">
        <v>150</v>
      </c>
      <c r="K20" s="13" t="s">
        <v>151</v>
      </c>
      <c r="L20" s="13" t="s">
        <v>150</v>
      </c>
      <c r="M20" s="13" t="s">
        <v>151</v>
      </c>
      <c r="N20" s="13" t="s">
        <v>150</v>
      </c>
      <c r="O20" s="13"/>
      <c r="P20" s="13" t="s">
        <v>151</v>
      </c>
      <c r="Q20" s="13"/>
      <c r="R20" s="13"/>
      <c r="S20" s="13" t="s">
        <v>150</v>
      </c>
      <c r="T20" s="13" t="s">
        <v>151</v>
      </c>
    </row>
    <row r="21" spans="1:20" ht="16.5" hidden="1" customHeight="1">
      <c r="A21" s="8"/>
      <c r="E21" s="3" t="s">
        <v>152</v>
      </c>
      <c r="F21" s="3" t="s">
        <v>153</v>
      </c>
      <c r="G21" s="3" t="s">
        <v>154</v>
      </c>
      <c r="H21" s="3" t="s">
        <v>155</v>
      </c>
      <c r="I21" s="3" t="s">
        <v>155</v>
      </c>
      <c r="J21" s="54">
        <v>6.79</v>
      </c>
      <c r="K21" s="55">
        <v>193.6</v>
      </c>
      <c r="L21" s="54">
        <v>6.11</v>
      </c>
      <c r="M21" s="55">
        <v>174.2</v>
      </c>
      <c r="N21" s="54">
        <f>L21*0.85</f>
        <v>5.1935000000000002</v>
      </c>
      <c r="O21" s="54"/>
      <c r="P21" s="55">
        <f>M21*0.85</f>
        <v>148.07</v>
      </c>
      <c r="Q21" s="55"/>
      <c r="R21" s="55"/>
      <c r="S21" s="54">
        <f t="shared" ref="S21:S41" si="16">L21*0.8</f>
        <v>4.8880000000000008</v>
      </c>
      <c r="T21" s="55">
        <f t="shared" ref="T21:T41" si="17">M21*0.8</f>
        <v>139.35999999999999</v>
      </c>
    </row>
    <row r="22" spans="1:20" ht="16.5" hidden="1" customHeight="1">
      <c r="A22" s="8"/>
      <c r="C22" s="51" t="s">
        <v>149</v>
      </c>
      <c r="E22" s="3" t="s">
        <v>152</v>
      </c>
      <c r="F22" s="3" t="s">
        <v>153</v>
      </c>
      <c r="G22" s="3" t="s">
        <v>156</v>
      </c>
      <c r="H22" s="3" t="s">
        <v>155</v>
      </c>
      <c r="I22" s="3" t="s">
        <v>155</v>
      </c>
      <c r="J22" s="209">
        <v>7.99</v>
      </c>
      <c r="K22" s="210">
        <v>225</v>
      </c>
      <c r="L22" s="209">
        <v>7.19</v>
      </c>
      <c r="M22" s="210">
        <v>202.5</v>
      </c>
      <c r="N22" s="54">
        <f t="shared" ref="N22:N41" si="18">L22*0.85</f>
        <v>6.1115000000000004</v>
      </c>
      <c r="O22" s="54"/>
      <c r="P22" s="55">
        <f t="shared" ref="P22:P41" si="19">M22*0.85</f>
        <v>172.125</v>
      </c>
      <c r="Q22" s="55"/>
      <c r="R22" s="55"/>
      <c r="S22" s="54">
        <f t="shared" si="16"/>
        <v>5.7520000000000007</v>
      </c>
      <c r="T22" s="55">
        <f t="shared" si="17"/>
        <v>162</v>
      </c>
    </row>
    <row r="23" spans="1:20" ht="16.5" hidden="1" customHeight="1">
      <c r="A23" s="8"/>
      <c r="C23" s="48" t="s">
        <v>153</v>
      </c>
      <c r="E23" s="3" t="s">
        <v>157</v>
      </c>
      <c r="F23" s="3" t="s">
        <v>153</v>
      </c>
      <c r="G23" s="3" t="s">
        <v>158</v>
      </c>
      <c r="H23" s="3" t="s">
        <v>155</v>
      </c>
      <c r="I23" s="3" t="s">
        <v>155</v>
      </c>
      <c r="J23" s="54">
        <v>7.99</v>
      </c>
      <c r="K23" s="55">
        <v>225</v>
      </c>
      <c r="L23" s="54">
        <v>7.19</v>
      </c>
      <c r="M23" s="55">
        <v>202.5</v>
      </c>
      <c r="N23" s="54">
        <f>L23*0.85</f>
        <v>6.1115000000000004</v>
      </c>
      <c r="O23" s="54"/>
      <c r="P23" s="55">
        <f t="shared" si="19"/>
        <v>172.125</v>
      </c>
      <c r="Q23" s="55"/>
      <c r="R23" s="55"/>
      <c r="S23" s="54">
        <f t="shared" si="16"/>
        <v>5.7520000000000007</v>
      </c>
      <c r="T23" s="55">
        <f t="shared" si="17"/>
        <v>162</v>
      </c>
    </row>
    <row r="24" spans="1:20" ht="16.5" hidden="1" customHeight="1">
      <c r="A24" s="8"/>
      <c r="C24" s="48" t="s">
        <v>159</v>
      </c>
      <c r="E24" s="3" t="s">
        <v>160</v>
      </c>
      <c r="F24" s="3" t="s">
        <v>153</v>
      </c>
      <c r="G24" s="3" t="s">
        <v>156</v>
      </c>
      <c r="H24" s="3" t="s">
        <v>155</v>
      </c>
      <c r="I24" s="3" t="s">
        <v>155</v>
      </c>
      <c r="J24" s="54">
        <v>8.07</v>
      </c>
      <c r="K24" s="55">
        <v>233.7</v>
      </c>
      <c r="L24" s="54">
        <v>7.26</v>
      </c>
      <c r="M24" s="55">
        <v>210.3</v>
      </c>
      <c r="N24" s="54">
        <f t="shared" si="18"/>
        <v>6.1709999999999994</v>
      </c>
      <c r="O24" s="54"/>
      <c r="P24" s="55">
        <f t="shared" si="19"/>
        <v>178.755</v>
      </c>
      <c r="Q24" s="55"/>
      <c r="R24" s="55"/>
      <c r="S24" s="54">
        <f t="shared" si="16"/>
        <v>5.8079999999999998</v>
      </c>
      <c r="T24" s="55">
        <f t="shared" si="17"/>
        <v>168.24</v>
      </c>
    </row>
    <row r="25" spans="1:20" ht="16.5" hidden="1" customHeight="1">
      <c r="A25" s="8"/>
      <c r="E25" s="3" t="s">
        <v>160</v>
      </c>
      <c r="F25" s="3" t="s">
        <v>153</v>
      </c>
      <c r="G25" s="3" t="s">
        <v>156</v>
      </c>
      <c r="H25" s="3" t="s">
        <v>161</v>
      </c>
      <c r="I25" s="3" t="s">
        <v>155</v>
      </c>
      <c r="J25" s="54">
        <v>8.07</v>
      </c>
      <c r="K25" s="55">
        <v>317.7</v>
      </c>
      <c r="L25" s="54">
        <v>7.26</v>
      </c>
      <c r="M25" s="55">
        <v>294.3</v>
      </c>
      <c r="N25" s="54">
        <f t="shared" si="18"/>
        <v>6.1709999999999994</v>
      </c>
      <c r="O25" s="54"/>
      <c r="P25" s="55">
        <f t="shared" si="19"/>
        <v>250.155</v>
      </c>
      <c r="Q25" s="55"/>
      <c r="R25" s="55"/>
      <c r="S25" s="54">
        <f t="shared" si="16"/>
        <v>5.8079999999999998</v>
      </c>
      <c r="T25" s="55">
        <f t="shared" si="17"/>
        <v>235.44000000000003</v>
      </c>
    </row>
    <row r="26" spans="1:20" ht="16.5" hidden="1" customHeight="1">
      <c r="A26" s="8"/>
      <c r="C26" s="50" t="s">
        <v>162</v>
      </c>
      <c r="E26" s="3" t="s">
        <v>163</v>
      </c>
      <c r="F26" s="3" t="s">
        <v>153</v>
      </c>
      <c r="G26" s="3" t="s">
        <v>156</v>
      </c>
      <c r="H26" s="3" t="s">
        <v>155</v>
      </c>
      <c r="I26" s="3" t="s">
        <v>155</v>
      </c>
      <c r="J26" s="54">
        <v>8.51</v>
      </c>
      <c r="K26" s="55">
        <v>297.8</v>
      </c>
      <c r="L26" s="54">
        <v>7.66</v>
      </c>
      <c r="M26" s="55">
        <v>268</v>
      </c>
      <c r="N26" s="54">
        <f t="shared" si="18"/>
        <v>6.5110000000000001</v>
      </c>
      <c r="O26" s="54"/>
      <c r="P26" s="55">
        <f t="shared" si="19"/>
        <v>227.79999999999998</v>
      </c>
      <c r="Q26" s="55"/>
      <c r="R26" s="55"/>
      <c r="S26" s="54">
        <f t="shared" si="16"/>
        <v>6.1280000000000001</v>
      </c>
      <c r="T26" s="55">
        <f t="shared" si="17"/>
        <v>214.4</v>
      </c>
    </row>
    <row r="27" spans="1:20" ht="16.5" hidden="1" customHeight="1">
      <c r="A27" s="8"/>
      <c r="C27" s="211">
        <v>1.6139999999999999E-4</v>
      </c>
      <c r="E27" s="3" t="s">
        <v>163</v>
      </c>
      <c r="F27" s="3" t="s">
        <v>153</v>
      </c>
      <c r="G27" s="3" t="s">
        <v>156</v>
      </c>
      <c r="H27" s="3" t="s">
        <v>161</v>
      </c>
      <c r="I27" s="3" t="s">
        <v>155</v>
      </c>
      <c r="J27" s="54">
        <v>8.51</v>
      </c>
      <c r="K27" s="55">
        <v>381.8</v>
      </c>
      <c r="L27" s="54">
        <v>7.66</v>
      </c>
      <c r="M27" s="55">
        <v>352</v>
      </c>
      <c r="N27" s="54">
        <f t="shared" si="18"/>
        <v>6.5110000000000001</v>
      </c>
      <c r="O27" s="54"/>
      <c r="P27" s="55">
        <f t="shared" si="19"/>
        <v>299.2</v>
      </c>
      <c r="Q27" s="55"/>
      <c r="R27" s="55"/>
      <c r="S27" s="54">
        <f t="shared" si="16"/>
        <v>6.1280000000000001</v>
      </c>
      <c r="T27" s="55">
        <f t="shared" si="17"/>
        <v>281.60000000000002</v>
      </c>
    </row>
    <row r="28" spans="1:20" ht="16.5" hidden="1" customHeight="1">
      <c r="A28" s="8"/>
      <c r="E28" s="3" t="s">
        <v>164</v>
      </c>
      <c r="F28" s="3" t="s">
        <v>153</v>
      </c>
      <c r="G28" s="3" t="s">
        <v>156</v>
      </c>
      <c r="H28" s="3" t="s">
        <v>155</v>
      </c>
      <c r="I28" s="3" t="s">
        <v>155</v>
      </c>
      <c r="J28" s="54">
        <v>8.85</v>
      </c>
      <c r="K28" s="55">
        <v>317</v>
      </c>
      <c r="L28" s="54">
        <v>7.97</v>
      </c>
      <c r="M28" s="55">
        <v>285.3</v>
      </c>
      <c r="N28" s="54">
        <f t="shared" si="18"/>
        <v>6.7744999999999997</v>
      </c>
      <c r="O28" s="54"/>
      <c r="P28" s="55">
        <f t="shared" si="19"/>
        <v>242.505</v>
      </c>
      <c r="Q28" s="55"/>
      <c r="R28" s="55"/>
      <c r="S28" s="54">
        <f t="shared" si="16"/>
        <v>6.3760000000000003</v>
      </c>
      <c r="T28" s="55">
        <f t="shared" si="17"/>
        <v>228.24</v>
      </c>
    </row>
    <row r="29" spans="1:20" ht="16.5" hidden="1" customHeight="1">
      <c r="A29" s="8"/>
      <c r="C29" s="51" t="s">
        <v>113</v>
      </c>
      <c r="E29" s="3" t="s">
        <v>164</v>
      </c>
      <c r="F29" s="3" t="s">
        <v>153</v>
      </c>
      <c r="G29" s="3" t="s">
        <v>156</v>
      </c>
      <c r="H29" s="3" t="s">
        <v>161</v>
      </c>
      <c r="I29" s="3" t="s">
        <v>155</v>
      </c>
      <c r="J29" s="54">
        <v>8.85</v>
      </c>
      <c r="K29" s="55">
        <v>401</v>
      </c>
      <c r="L29" s="54">
        <v>7.97</v>
      </c>
      <c r="M29" s="55">
        <v>369.3</v>
      </c>
      <c r="N29" s="54">
        <f t="shared" si="18"/>
        <v>6.7744999999999997</v>
      </c>
      <c r="O29" s="54"/>
      <c r="P29" s="55">
        <f t="shared" si="19"/>
        <v>313.90500000000003</v>
      </c>
      <c r="Q29" s="55"/>
      <c r="R29" s="55"/>
      <c r="S29" s="54">
        <f t="shared" si="16"/>
        <v>6.3760000000000003</v>
      </c>
      <c r="T29" s="55">
        <f t="shared" si="17"/>
        <v>295.44</v>
      </c>
    </row>
    <row r="30" spans="1:20" ht="16.5" hidden="1" customHeight="1">
      <c r="A30" s="8"/>
      <c r="C30" s="314">
        <v>14</v>
      </c>
      <c r="E30" s="3" t="s">
        <v>164</v>
      </c>
      <c r="F30" s="3" t="s">
        <v>153</v>
      </c>
      <c r="G30" s="3" t="s">
        <v>156</v>
      </c>
      <c r="H30" s="3" t="s">
        <v>161</v>
      </c>
      <c r="I30" s="3" t="s">
        <v>161</v>
      </c>
      <c r="J30" s="54">
        <v>9.25</v>
      </c>
      <c r="K30" s="55">
        <v>475.4</v>
      </c>
      <c r="L30" s="54">
        <v>8.33</v>
      </c>
      <c r="M30" s="55">
        <v>436.3</v>
      </c>
      <c r="N30" s="54">
        <f t="shared" si="18"/>
        <v>7.0804999999999998</v>
      </c>
      <c r="O30" s="54"/>
      <c r="P30" s="55">
        <f t="shared" si="19"/>
        <v>370.85500000000002</v>
      </c>
      <c r="Q30" s="55"/>
      <c r="R30" s="55"/>
      <c r="S30" s="54">
        <f t="shared" si="16"/>
        <v>6.6640000000000006</v>
      </c>
      <c r="T30" s="55">
        <f t="shared" si="17"/>
        <v>349.04</v>
      </c>
    </row>
    <row r="31" spans="1:20" ht="16.5" hidden="1" customHeight="1">
      <c r="A31" s="8"/>
      <c r="E31" s="3" t="s">
        <v>160</v>
      </c>
      <c r="F31" s="3" t="s">
        <v>153</v>
      </c>
      <c r="G31" s="3" t="s">
        <v>156</v>
      </c>
      <c r="H31" s="3" t="s">
        <v>161</v>
      </c>
      <c r="I31" s="3" t="s">
        <v>161</v>
      </c>
      <c r="J31" s="54">
        <v>8.4</v>
      </c>
      <c r="K31" s="55">
        <v>385.4</v>
      </c>
      <c r="L31" s="54">
        <v>7.56</v>
      </c>
      <c r="M31" s="55">
        <v>355.3</v>
      </c>
      <c r="N31" s="54">
        <f t="shared" si="18"/>
        <v>6.4259999999999993</v>
      </c>
      <c r="O31" s="54"/>
      <c r="P31" s="55">
        <f t="shared" si="19"/>
        <v>302.005</v>
      </c>
      <c r="Q31" s="55"/>
      <c r="R31" s="55"/>
      <c r="S31" s="54">
        <f t="shared" si="16"/>
        <v>6.048</v>
      </c>
      <c r="T31" s="55">
        <f t="shared" si="17"/>
        <v>284.24</v>
      </c>
    </row>
    <row r="32" spans="1:20" ht="16.5" hidden="1" customHeight="1">
      <c r="A32" s="8"/>
      <c r="E32" s="3" t="s">
        <v>163</v>
      </c>
      <c r="F32" s="3" t="s">
        <v>153</v>
      </c>
      <c r="G32" s="3" t="s">
        <v>156</v>
      </c>
      <c r="H32" s="3" t="s">
        <v>161</v>
      </c>
      <c r="I32" s="3" t="s">
        <v>161</v>
      </c>
      <c r="J32" s="54">
        <v>8.5399999999999991</v>
      </c>
      <c r="K32" s="55">
        <v>432.8</v>
      </c>
      <c r="L32" s="54">
        <v>7.69</v>
      </c>
      <c r="M32" s="55">
        <v>397.9</v>
      </c>
      <c r="N32" s="54">
        <f t="shared" si="18"/>
        <v>6.5365000000000002</v>
      </c>
      <c r="O32" s="54"/>
      <c r="P32" s="55">
        <f t="shared" si="19"/>
        <v>338.21499999999997</v>
      </c>
      <c r="Q32" s="55"/>
      <c r="R32" s="55"/>
      <c r="S32" s="54">
        <f t="shared" si="16"/>
        <v>6.152000000000001</v>
      </c>
      <c r="T32" s="55">
        <f t="shared" si="17"/>
        <v>318.32</v>
      </c>
    </row>
    <row r="33" spans="1:20" ht="16.5" hidden="1" customHeight="1">
      <c r="A33" s="8"/>
      <c r="E33" s="3" t="s">
        <v>152</v>
      </c>
      <c r="F33" s="3" t="s">
        <v>159</v>
      </c>
      <c r="G33" s="3" t="s">
        <v>154</v>
      </c>
      <c r="H33" s="3" t="s">
        <v>155</v>
      </c>
      <c r="I33" s="3" t="s">
        <v>155</v>
      </c>
      <c r="J33" s="54">
        <v>7.84</v>
      </c>
      <c r="K33" s="55">
        <v>219.1</v>
      </c>
      <c r="L33" s="54">
        <v>7.06</v>
      </c>
      <c r="M33" s="55">
        <v>197.2</v>
      </c>
      <c r="N33" s="54">
        <f t="shared" si="18"/>
        <v>6.0009999999999994</v>
      </c>
      <c r="O33" s="54"/>
      <c r="P33" s="55">
        <f t="shared" si="19"/>
        <v>167.61999999999998</v>
      </c>
      <c r="Q33" s="55"/>
      <c r="R33" s="55"/>
      <c r="S33" s="54">
        <f t="shared" si="16"/>
        <v>5.6479999999999997</v>
      </c>
      <c r="T33" s="55">
        <f t="shared" si="17"/>
        <v>157.76</v>
      </c>
    </row>
    <row r="34" spans="1:20" ht="16.5" hidden="1" customHeight="1">
      <c r="A34" s="8"/>
      <c r="E34" s="3" t="s">
        <v>157</v>
      </c>
      <c r="F34" s="3" t="s">
        <v>159</v>
      </c>
      <c r="G34" s="3" t="s">
        <v>158</v>
      </c>
      <c r="H34" s="3" t="s">
        <v>155</v>
      </c>
      <c r="I34" s="3" t="s">
        <v>155</v>
      </c>
      <c r="J34" s="54">
        <v>5.91</v>
      </c>
      <c r="K34" s="55">
        <v>335.8</v>
      </c>
      <c r="L34" s="54">
        <v>5.32</v>
      </c>
      <c r="M34" s="55">
        <v>302.2</v>
      </c>
      <c r="N34" s="54">
        <f t="shared" si="18"/>
        <v>4.5220000000000002</v>
      </c>
      <c r="O34" s="54"/>
      <c r="P34" s="55">
        <f t="shared" si="19"/>
        <v>256.87</v>
      </c>
      <c r="Q34" s="55"/>
      <c r="R34" s="55"/>
      <c r="S34" s="54">
        <f t="shared" si="16"/>
        <v>4.2560000000000002</v>
      </c>
      <c r="T34" s="55">
        <f t="shared" si="17"/>
        <v>241.76</v>
      </c>
    </row>
    <row r="35" spans="1:20" ht="16.5" hidden="1" customHeight="1">
      <c r="A35" s="8"/>
      <c r="E35" s="3" t="s">
        <v>160</v>
      </c>
      <c r="F35" s="3" t="s">
        <v>159</v>
      </c>
      <c r="G35" s="3" t="s">
        <v>156</v>
      </c>
      <c r="H35" s="3" t="s">
        <v>155</v>
      </c>
      <c r="I35" s="3" t="s">
        <v>155</v>
      </c>
      <c r="J35" s="54">
        <v>11.8</v>
      </c>
      <c r="K35" s="55">
        <v>339.2</v>
      </c>
      <c r="L35" s="54">
        <v>10.62</v>
      </c>
      <c r="M35" s="55">
        <v>305.3</v>
      </c>
      <c r="N35" s="54">
        <f t="shared" si="18"/>
        <v>9.0269999999999992</v>
      </c>
      <c r="O35" s="54"/>
      <c r="P35" s="55">
        <f t="shared" si="19"/>
        <v>259.505</v>
      </c>
      <c r="Q35" s="55"/>
      <c r="R35" s="55"/>
      <c r="S35" s="54">
        <f t="shared" si="16"/>
        <v>8.4960000000000004</v>
      </c>
      <c r="T35" s="55">
        <f t="shared" si="17"/>
        <v>244.24</v>
      </c>
    </row>
    <row r="36" spans="1:20" ht="16.5" hidden="1" customHeight="1">
      <c r="A36" s="8"/>
      <c r="E36" s="3" t="s">
        <v>160</v>
      </c>
      <c r="F36" s="3" t="s">
        <v>159</v>
      </c>
      <c r="G36" s="3" t="s">
        <v>156</v>
      </c>
      <c r="H36" s="3" t="s">
        <v>161</v>
      </c>
      <c r="I36" s="3" t="s">
        <v>155</v>
      </c>
      <c r="J36" s="54">
        <v>11.8</v>
      </c>
      <c r="K36" s="55">
        <v>423.2</v>
      </c>
      <c r="L36" s="54">
        <v>10.62</v>
      </c>
      <c r="M36" s="55">
        <v>389.3</v>
      </c>
      <c r="N36" s="54">
        <f t="shared" si="18"/>
        <v>9.0269999999999992</v>
      </c>
      <c r="O36" s="54"/>
      <c r="P36" s="55">
        <f t="shared" si="19"/>
        <v>330.90499999999997</v>
      </c>
      <c r="Q36" s="55"/>
      <c r="R36" s="55"/>
      <c r="S36" s="54">
        <f t="shared" si="16"/>
        <v>8.4960000000000004</v>
      </c>
      <c r="T36" s="55">
        <f t="shared" si="17"/>
        <v>311.44000000000005</v>
      </c>
    </row>
    <row r="37" spans="1:20" ht="16.5" hidden="1" customHeight="1">
      <c r="A37" s="8"/>
      <c r="E37" s="3" t="s">
        <v>152</v>
      </c>
      <c r="F37" s="3" t="s">
        <v>159</v>
      </c>
      <c r="G37" s="3" t="s">
        <v>156</v>
      </c>
      <c r="H37" s="3" t="s">
        <v>155</v>
      </c>
      <c r="I37" s="3" t="s">
        <v>155</v>
      </c>
      <c r="J37" s="54">
        <v>9.17</v>
      </c>
      <c r="K37" s="55">
        <v>259.3</v>
      </c>
      <c r="L37" s="54">
        <v>8.25</v>
      </c>
      <c r="M37" s="55">
        <v>233.4</v>
      </c>
      <c r="N37" s="54">
        <f t="shared" si="18"/>
        <v>7.0125000000000002</v>
      </c>
      <c r="O37" s="54"/>
      <c r="P37" s="55">
        <f t="shared" si="19"/>
        <v>198.39</v>
      </c>
      <c r="Q37" s="55"/>
      <c r="R37" s="55"/>
      <c r="S37" s="54">
        <f t="shared" si="16"/>
        <v>6.6000000000000005</v>
      </c>
      <c r="T37" s="55">
        <f t="shared" si="17"/>
        <v>186.72000000000003</v>
      </c>
    </row>
    <row r="38" spans="1:20" ht="16.5" hidden="1" customHeight="1">
      <c r="A38" s="8"/>
      <c r="E38" s="3" t="s">
        <v>163</v>
      </c>
      <c r="F38" s="3" t="s">
        <v>159</v>
      </c>
      <c r="G38" s="3" t="s">
        <v>156</v>
      </c>
      <c r="H38" s="3" t="s">
        <v>155</v>
      </c>
      <c r="I38" s="3" t="s">
        <v>155</v>
      </c>
      <c r="J38" s="54">
        <v>6.82</v>
      </c>
      <c r="K38" s="55">
        <v>456.9</v>
      </c>
      <c r="L38" s="54">
        <v>6.14</v>
      </c>
      <c r="M38" s="55">
        <v>411.2</v>
      </c>
      <c r="N38" s="54">
        <f t="shared" si="18"/>
        <v>5.2189999999999994</v>
      </c>
      <c r="O38" s="54"/>
      <c r="P38" s="55">
        <f t="shared" si="19"/>
        <v>349.52</v>
      </c>
      <c r="Q38" s="55"/>
      <c r="R38" s="55"/>
      <c r="S38" s="54">
        <f t="shared" si="16"/>
        <v>4.9119999999999999</v>
      </c>
      <c r="T38" s="55">
        <f t="shared" si="17"/>
        <v>328.96000000000004</v>
      </c>
    </row>
    <row r="39" spans="1:20" ht="16.5" hidden="1" customHeight="1">
      <c r="A39" s="8"/>
      <c r="E39" s="3" t="s">
        <v>163</v>
      </c>
      <c r="F39" s="3" t="s">
        <v>159</v>
      </c>
      <c r="G39" s="3" t="s">
        <v>156</v>
      </c>
      <c r="H39" s="3" t="s">
        <v>161</v>
      </c>
      <c r="I39" s="3" t="s">
        <v>155</v>
      </c>
      <c r="J39" s="54">
        <v>6.82</v>
      </c>
      <c r="K39" s="55">
        <v>540.9</v>
      </c>
      <c r="L39" s="54">
        <v>6.14</v>
      </c>
      <c r="M39" s="55">
        <v>495.2</v>
      </c>
      <c r="N39" s="54">
        <f t="shared" si="18"/>
        <v>5.2189999999999994</v>
      </c>
      <c r="O39" s="54"/>
      <c r="P39" s="55">
        <f t="shared" si="19"/>
        <v>420.91999999999996</v>
      </c>
      <c r="Q39" s="55"/>
      <c r="R39" s="55"/>
      <c r="S39" s="54">
        <f t="shared" si="16"/>
        <v>4.9119999999999999</v>
      </c>
      <c r="T39" s="55">
        <f t="shared" si="17"/>
        <v>396.16</v>
      </c>
    </row>
    <row r="40" spans="1:20" ht="16.5" hidden="1" customHeight="1">
      <c r="A40" s="8"/>
      <c r="E40" s="3" t="s">
        <v>164</v>
      </c>
      <c r="F40" s="3" t="s">
        <v>159</v>
      </c>
      <c r="G40" s="3" t="s">
        <v>156</v>
      </c>
      <c r="H40" s="3" t="s">
        <v>155</v>
      </c>
      <c r="I40" s="3" t="s">
        <v>155</v>
      </c>
      <c r="J40" s="54">
        <v>11.8</v>
      </c>
      <c r="K40" s="55">
        <v>339.2</v>
      </c>
      <c r="L40" s="54">
        <v>10.62</v>
      </c>
      <c r="M40" s="55">
        <v>305.3</v>
      </c>
      <c r="N40" s="54">
        <f t="shared" si="18"/>
        <v>9.0269999999999992</v>
      </c>
      <c r="O40" s="54"/>
      <c r="P40" s="55">
        <f t="shared" si="19"/>
        <v>259.505</v>
      </c>
      <c r="Q40" s="55"/>
      <c r="R40" s="55"/>
      <c r="S40" s="54">
        <f t="shared" si="16"/>
        <v>8.4960000000000004</v>
      </c>
      <c r="T40" s="55">
        <f t="shared" si="17"/>
        <v>244.24</v>
      </c>
    </row>
    <row r="41" spans="1:20" ht="16.5" hidden="1" customHeight="1">
      <c r="A41" s="8"/>
      <c r="E41" s="3" t="s">
        <v>164</v>
      </c>
      <c r="F41" s="3" t="s">
        <v>159</v>
      </c>
      <c r="G41" s="3" t="s">
        <v>156</v>
      </c>
      <c r="H41" s="3" t="s">
        <v>161</v>
      </c>
      <c r="I41" s="3" t="s">
        <v>155</v>
      </c>
      <c r="J41" s="54">
        <v>11.8</v>
      </c>
      <c r="K41" s="55">
        <v>423.2</v>
      </c>
      <c r="L41" s="54">
        <v>10.62</v>
      </c>
      <c r="M41" s="55">
        <v>389.3</v>
      </c>
      <c r="N41" s="54">
        <f t="shared" si="18"/>
        <v>9.0269999999999992</v>
      </c>
      <c r="O41" s="54"/>
      <c r="P41" s="55">
        <f t="shared" si="19"/>
        <v>330.90499999999997</v>
      </c>
      <c r="Q41" s="55"/>
      <c r="R41" s="55"/>
      <c r="S41" s="54">
        <f t="shared" si="16"/>
        <v>8.4960000000000004</v>
      </c>
      <c r="T41" s="55">
        <f t="shared" si="17"/>
        <v>311.44000000000005</v>
      </c>
    </row>
    <row r="42" spans="1:20" hidden="1">
      <c r="A42" s="8"/>
      <c r="I42" s="10"/>
      <c r="J42" s="10"/>
      <c r="K42" s="10"/>
    </row>
    <row r="43" spans="1:20" hidden="1">
      <c r="A43" s="8"/>
      <c r="G43" s="10"/>
      <c r="H43" s="10"/>
      <c r="I43" s="10"/>
      <c r="J43" s="10"/>
      <c r="K43" s="10"/>
    </row>
    <row r="44" spans="1:20" hidden="1">
      <c r="A44" s="8"/>
      <c r="E44" s="10" t="s">
        <v>152</v>
      </c>
      <c r="G44" s="10" t="s">
        <v>156</v>
      </c>
      <c r="H44" s="10"/>
      <c r="I44" s="59" t="s">
        <v>165</v>
      </c>
      <c r="J44" s="146" t="s">
        <v>30</v>
      </c>
      <c r="K44" s="147" t="s">
        <v>102</v>
      </c>
      <c r="L44" s="147" t="s">
        <v>103</v>
      </c>
      <c r="M44" s="147" t="s">
        <v>104</v>
      </c>
    </row>
    <row r="45" spans="1:20" hidden="1">
      <c r="A45" s="8"/>
      <c r="E45" s="10" t="s">
        <v>157</v>
      </c>
      <c r="G45" s="10" t="s">
        <v>154</v>
      </c>
      <c r="H45" s="10"/>
      <c r="I45" s="58" t="s">
        <v>166</v>
      </c>
      <c r="J45" s="40">
        <v>25</v>
      </c>
      <c r="K45" s="25" t="s">
        <v>45</v>
      </c>
      <c r="L45" s="25" t="s">
        <v>167</v>
      </c>
      <c r="M45" s="25" t="s">
        <v>168</v>
      </c>
    </row>
    <row r="46" spans="1:20" hidden="1">
      <c r="A46" s="8"/>
      <c r="E46" s="10" t="s">
        <v>160</v>
      </c>
      <c r="G46" s="10" t="s">
        <v>158</v>
      </c>
      <c r="H46" s="10"/>
      <c r="I46" s="48" t="s">
        <v>169</v>
      </c>
      <c r="J46" s="40">
        <v>35</v>
      </c>
      <c r="K46" s="25" t="s">
        <v>47</v>
      </c>
      <c r="L46" s="25" t="s">
        <v>167</v>
      </c>
      <c r="M46" s="25" t="s">
        <v>168</v>
      </c>
    </row>
    <row r="47" spans="1:20" hidden="1">
      <c r="A47" s="8"/>
      <c r="E47" s="10" t="s">
        <v>163</v>
      </c>
      <c r="G47" s="10"/>
      <c r="H47" s="10"/>
      <c r="I47" s="48" t="s">
        <v>170</v>
      </c>
      <c r="J47" s="40">
        <v>35</v>
      </c>
      <c r="K47" s="25" t="s">
        <v>49</v>
      </c>
      <c r="L47" s="25" t="s">
        <v>171</v>
      </c>
      <c r="M47" s="25" t="s">
        <v>172</v>
      </c>
    </row>
    <row r="48" spans="1:20" hidden="1">
      <c r="A48" s="8"/>
      <c r="E48" s="10" t="s">
        <v>164</v>
      </c>
      <c r="I48" s="53"/>
      <c r="J48" s="53"/>
      <c r="K48" s="53"/>
    </row>
    <row r="49" spans="1:38">
      <c r="A49" s="182"/>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row>
    <row r="50" spans="1:38">
      <c r="A50" s="182"/>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row>
    <row r="51" spans="1:38" s="132" customFormat="1"/>
    <row r="52" spans="1:38" s="132" customFormat="1"/>
    <row r="53" spans="1:38" s="132" customFormat="1" ht="15" customHeight="1"/>
    <row r="54" spans="1:38" s="132" customFormat="1"/>
    <row r="55" spans="1:38" s="132" customFormat="1"/>
    <row r="56" spans="1:38" s="132" customFormat="1"/>
    <row r="57" spans="1:38" s="132" customFormat="1"/>
    <row r="58" spans="1:38" s="132" customFormat="1"/>
    <row r="59" spans="1:38" s="132" customFormat="1"/>
    <row r="60" spans="1:38" s="132" customFormat="1"/>
    <row r="61" spans="1:38" s="132" customFormat="1"/>
    <row r="62" spans="1:38" s="132" customFormat="1"/>
    <row r="63" spans="1:38" s="132" customFormat="1"/>
    <row r="64" spans="1:38"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sheetData>
  <sheetProtection algorithmName="SHA-512" hashValue="2jeZLC4WDps1FyW7TK1nqBOrL7FZfNTe6CU2evVapPRprl0VaijMpVCas+1f48UKEmoxA6kqbJ5E61wJL1l4Rg==" saltValue="N3P0UY5OR4aFvAaEtHzE9Q==" spinCount="100000" sheet="1" selectLockedCells="1"/>
  <mergeCells count="8">
    <mergeCell ref="B2:AE2"/>
    <mergeCell ref="E18:I19"/>
    <mergeCell ref="J18:K19"/>
    <mergeCell ref="L18:M19"/>
    <mergeCell ref="B3:C3"/>
    <mergeCell ref="D3:G4"/>
    <mergeCell ref="N18:P19"/>
    <mergeCell ref="S18:T19"/>
  </mergeCells>
  <conditionalFormatting sqref="T6:AB7">
    <cfRule type="containsText" dxfId="12" priority="3" operator="containsText" text="#N/A">
      <formula>NOT(ISERROR(SEARCH("#N/A",T6)))</formula>
    </cfRule>
  </conditionalFormatting>
  <conditionalFormatting sqref="S6:S7">
    <cfRule type="containsText" dxfId="11" priority="2" operator="containsText" text="#N/A">
      <formula>NOT(ISERROR(SEARCH("#N/A",S6)))</formula>
    </cfRule>
  </conditionalFormatting>
  <dataValidations count="6">
    <dataValidation type="list" allowBlank="1" showInputMessage="1" showErrorMessage="1" sqref="D8:D15" xr:uid="{00000000-0002-0000-0300-000000000000}">
      <formula1>$C$19:$C$20</formula1>
    </dataValidation>
    <dataValidation type="list" allowBlank="1" showInputMessage="1" showErrorMessage="1" sqref="G8:G15" xr:uid="{00000000-0002-0000-0300-000001000000}">
      <formula1>$E$44:$E$48</formula1>
    </dataValidation>
    <dataValidation type="list" allowBlank="1" showInputMessage="1" showErrorMessage="1" sqref="M8:M15" xr:uid="{00000000-0002-0000-0300-000002000000}">
      <formula1>$I$45:$I$47</formula1>
    </dataValidation>
    <dataValidation type="list" allowBlank="1" showInputMessage="1" showErrorMessage="1" sqref="H8:H15" xr:uid="{00000000-0002-0000-0300-000003000000}">
      <formula1>INDIRECT($AI8)</formula1>
    </dataValidation>
    <dataValidation type="list" allowBlank="1" showInputMessage="1" showErrorMessage="1" sqref="I8:I15" xr:uid="{00000000-0002-0000-0300-000004000000}">
      <formula1>INDIRECT($AJ8)</formula1>
    </dataValidation>
    <dataValidation type="list" allowBlank="1" showInputMessage="1" showErrorMessage="1" sqref="J8:J15" xr:uid="{00000000-0002-0000-0300-000005000000}">
      <formula1>INDIRECT($AK8)</formula1>
    </dataValidation>
  </dataValidations>
  <hyperlinks>
    <hyperlink ref="B3" location="'Calculator Index'!A1" display="Return to Index" xr:uid="{00000000-0004-0000-0300-000000000000}"/>
    <hyperlink ref="B3:C3" location="'Project Summary'!A1" display="Return to Index" xr:uid="{00000000-0004-0000-0300-000001000000}"/>
  </hyperlink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W586"/>
  <sheetViews>
    <sheetView zoomScale="90" zoomScaleNormal="90" workbookViewId="0">
      <selection activeCell="B3" sqref="B3:C3"/>
    </sheetView>
  </sheetViews>
  <sheetFormatPr defaultRowHeight="15"/>
  <cols>
    <col min="1" max="1" width="3.7109375" customWidth="1"/>
    <col min="2" max="2" width="7" customWidth="1"/>
    <col min="3" max="3" width="19.28515625" customWidth="1"/>
    <col min="4" max="4" width="20.7109375" customWidth="1"/>
    <col min="5" max="5" width="17.85546875" customWidth="1"/>
    <col min="6" max="6" width="42.140625" customWidth="1"/>
    <col min="7" max="7" width="14.42578125" customWidth="1"/>
    <col min="8" max="8" width="30.7109375" bestFit="1" customWidth="1"/>
    <col min="9" max="9" width="13.5703125" customWidth="1"/>
    <col min="10" max="11" width="14" customWidth="1"/>
    <col min="12" max="12" width="14.42578125" hidden="1" customWidth="1"/>
    <col min="13" max="13" width="14" hidden="1" customWidth="1"/>
    <col min="14" max="14" width="13.140625" hidden="1" customWidth="1"/>
    <col min="15" max="16" width="17" hidden="1" customWidth="1"/>
    <col min="17" max="17" width="13.28515625" hidden="1" customWidth="1"/>
    <col min="18" max="18" width="18.140625" hidden="1" customWidth="1"/>
    <col min="19" max="22" width="16.140625" hidden="1" customWidth="1"/>
    <col min="23" max="23" width="18" customWidth="1"/>
    <col min="24" max="24" width="15.42578125" customWidth="1"/>
    <col min="25" max="25" width="13" bestFit="1" customWidth="1"/>
    <col min="26" max="26" width="19" hidden="1" customWidth="1"/>
    <col min="27" max="27" width="18.42578125" hidden="1" customWidth="1"/>
    <col min="28" max="28" width="16.140625" hidden="1" customWidth="1"/>
    <col min="29" max="29" width="17" hidden="1" customWidth="1"/>
    <col min="30" max="30" width="6.5703125" customWidth="1"/>
    <col min="31" max="257" width="9.140625" style="132"/>
  </cols>
  <sheetData>
    <row r="1" spans="1:30" ht="19.5" customHeight="1">
      <c r="A1" s="1"/>
      <c r="B1" s="1"/>
      <c r="C1" s="1"/>
      <c r="D1" s="1"/>
      <c r="E1" s="1"/>
      <c r="F1" s="1"/>
      <c r="G1" s="1"/>
      <c r="H1" s="1"/>
      <c r="I1" s="1"/>
      <c r="J1" s="1"/>
      <c r="K1" s="1"/>
      <c r="L1" s="8"/>
      <c r="M1" s="8"/>
      <c r="N1" s="8"/>
      <c r="O1" s="8"/>
      <c r="P1" s="8"/>
      <c r="Q1" s="8"/>
      <c r="R1" s="8"/>
      <c r="S1" s="8"/>
      <c r="T1" s="8"/>
      <c r="U1" s="8"/>
      <c r="V1" s="8"/>
      <c r="W1" s="1"/>
      <c r="X1" s="1"/>
      <c r="Y1" s="1"/>
      <c r="Z1" s="8"/>
      <c r="AA1" s="8"/>
      <c r="AB1" s="219" t="s">
        <v>84</v>
      </c>
      <c r="AC1" s="218" t="s">
        <v>173</v>
      </c>
      <c r="AD1" s="182"/>
    </row>
    <row r="2" spans="1:30" ht="27" customHeight="1">
      <c r="A2" s="1"/>
      <c r="B2" s="455" t="s">
        <v>174</v>
      </c>
      <c r="C2" s="456"/>
      <c r="D2" s="456"/>
      <c r="E2" s="456"/>
      <c r="F2" s="456"/>
      <c r="G2" s="456"/>
      <c r="H2" s="456"/>
      <c r="I2" s="456"/>
      <c r="J2" s="456"/>
      <c r="K2" s="456"/>
      <c r="L2" s="456"/>
      <c r="M2" s="456"/>
      <c r="N2" s="456"/>
      <c r="O2" s="456"/>
      <c r="P2" s="456"/>
      <c r="Q2" s="456"/>
      <c r="R2" s="456"/>
      <c r="S2" s="456"/>
      <c r="T2" s="456"/>
      <c r="U2" s="456"/>
      <c r="V2" s="456"/>
      <c r="W2" s="456"/>
      <c r="X2" s="456"/>
      <c r="Y2" s="456"/>
      <c r="Z2" s="8"/>
      <c r="AA2" s="8"/>
      <c r="AB2" s="8"/>
      <c r="AC2" s="8"/>
      <c r="AD2" s="182"/>
    </row>
    <row r="3" spans="1:30" ht="23.25" customHeight="1">
      <c r="A3" s="1"/>
      <c r="B3" s="442" t="s">
        <v>87</v>
      </c>
      <c r="C3" s="443"/>
      <c r="D3" s="444" t="s">
        <v>175</v>
      </c>
      <c r="E3" s="444"/>
      <c r="F3" s="444"/>
      <c r="G3" s="444"/>
      <c r="H3" s="444"/>
      <c r="I3" s="1"/>
      <c r="J3" s="1"/>
      <c r="K3" s="1"/>
      <c r="L3" s="8"/>
      <c r="M3" s="8"/>
      <c r="N3" s="8"/>
      <c r="O3" s="8"/>
      <c r="P3" s="8"/>
      <c r="Q3" s="8"/>
      <c r="R3" s="8"/>
      <c r="S3" s="8"/>
      <c r="T3" s="8"/>
      <c r="U3" s="8"/>
      <c r="V3" s="8"/>
      <c r="W3" s="1"/>
      <c r="X3" s="1"/>
      <c r="Y3" s="1"/>
      <c r="Z3" s="8"/>
      <c r="AA3" s="8"/>
      <c r="AB3" s="8"/>
      <c r="AC3" s="8"/>
      <c r="AD3" s="182"/>
    </row>
    <row r="4" spans="1:30" ht="12.75" customHeight="1">
      <c r="A4" s="1"/>
      <c r="B4" s="1"/>
      <c r="C4" s="1"/>
      <c r="D4" s="444"/>
      <c r="E4" s="444"/>
      <c r="F4" s="444"/>
      <c r="G4" s="444"/>
      <c r="H4" s="444"/>
      <c r="I4" s="1"/>
      <c r="J4" s="1"/>
      <c r="K4" s="1"/>
      <c r="L4" s="8"/>
      <c r="M4" s="8"/>
      <c r="N4" s="8"/>
      <c r="O4" s="8"/>
      <c r="P4" s="8"/>
      <c r="Q4" s="8"/>
      <c r="R4" s="8"/>
      <c r="S4" s="8"/>
      <c r="T4" s="8"/>
      <c r="U4" s="8"/>
      <c r="V4" s="8"/>
      <c r="W4" s="1"/>
      <c r="X4" s="1"/>
      <c r="Y4" s="1"/>
      <c r="Z4" s="8"/>
      <c r="AA4" s="8"/>
      <c r="AB4" s="8"/>
      <c r="AC4" s="8"/>
      <c r="AD4" s="182"/>
    </row>
    <row r="5" spans="1:30" ht="12.75" customHeight="1">
      <c r="A5" s="1"/>
      <c r="B5" s="1"/>
      <c r="C5" s="1"/>
      <c r="D5" s="1"/>
      <c r="E5" s="1"/>
      <c r="F5" s="1"/>
      <c r="G5" s="1"/>
      <c r="H5" s="1"/>
      <c r="I5" s="1"/>
      <c r="J5" s="1"/>
      <c r="K5" s="1"/>
      <c r="L5" s="8"/>
      <c r="M5" s="8"/>
      <c r="N5" s="8"/>
      <c r="O5" s="8"/>
      <c r="P5" s="8"/>
      <c r="Q5" s="8"/>
      <c r="R5" s="8"/>
      <c r="S5" s="8"/>
      <c r="T5" s="8"/>
      <c r="U5" s="8"/>
      <c r="V5" s="8"/>
      <c r="W5" s="1"/>
      <c r="X5" s="1"/>
      <c r="Y5" s="1"/>
      <c r="Z5" s="8"/>
      <c r="AA5" s="8"/>
      <c r="AB5" s="8"/>
      <c r="AC5" s="8"/>
      <c r="AD5" s="182"/>
    </row>
    <row r="6" spans="1:30" ht="32.25" customHeight="1">
      <c r="A6" s="1"/>
      <c r="B6" s="23" t="s">
        <v>89</v>
      </c>
      <c r="C6" s="23" t="s">
        <v>90</v>
      </c>
      <c r="D6" s="23" t="s">
        <v>91</v>
      </c>
      <c r="E6" s="23" t="s">
        <v>92</v>
      </c>
      <c r="F6" s="23" t="s">
        <v>93</v>
      </c>
      <c r="G6" s="23" t="s">
        <v>176</v>
      </c>
      <c r="H6" s="23" t="s">
        <v>177</v>
      </c>
      <c r="I6" s="23" t="s">
        <v>99</v>
      </c>
      <c r="J6" s="23" t="s">
        <v>27</v>
      </c>
      <c r="K6" s="23" t="s">
        <v>101</v>
      </c>
      <c r="L6" s="23" t="s">
        <v>106</v>
      </c>
      <c r="M6" s="23" t="s">
        <v>107</v>
      </c>
      <c r="N6" s="23" t="s">
        <v>108</v>
      </c>
      <c r="O6" s="23" t="s">
        <v>109</v>
      </c>
      <c r="P6" s="23" t="s">
        <v>110</v>
      </c>
      <c r="Q6" s="23" t="s">
        <v>111</v>
      </c>
      <c r="R6" s="23" t="s">
        <v>112</v>
      </c>
      <c r="S6" s="23" t="s">
        <v>113</v>
      </c>
      <c r="T6" s="23" t="s">
        <v>103</v>
      </c>
      <c r="U6" s="23" t="s">
        <v>104</v>
      </c>
      <c r="V6" s="23" t="s">
        <v>114</v>
      </c>
      <c r="W6" s="23" t="s">
        <v>115</v>
      </c>
      <c r="X6" s="23" t="s">
        <v>116</v>
      </c>
      <c r="Y6" s="23" t="s">
        <v>30</v>
      </c>
      <c r="Z6" s="343" t="s">
        <v>117</v>
      </c>
      <c r="AA6" s="343" t="s">
        <v>118</v>
      </c>
      <c r="AC6" s="44" t="s">
        <v>178</v>
      </c>
      <c r="AD6" s="182"/>
    </row>
    <row r="7" spans="1:30" ht="21.75" customHeight="1">
      <c r="A7" s="1"/>
      <c r="B7" s="345" t="s">
        <v>122</v>
      </c>
      <c r="C7" s="345"/>
      <c r="D7" s="345" t="s">
        <v>179</v>
      </c>
      <c r="E7" s="345" t="s">
        <v>124</v>
      </c>
      <c r="F7" s="345" t="s">
        <v>180</v>
      </c>
      <c r="G7" s="345" t="s">
        <v>181</v>
      </c>
      <c r="H7" s="345" t="s">
        <v>182</v>
      </c>
      <c r="I7" s="345" t="s">
        <v>131</v>
      </c>
      <c r="J7" s="345" t="s">
        <v>27</v>
      </c>
      <c r="K7" s="345" t="s">
        <v>133</v>
      </c>
      <c r="L7" s="345"/>
      <c r="M7" s="345"/>
      <c r="N7" s="345"/>
      <c r="O7" s="345"/>
      <c r="P7" s="345"/>
      <c r="Q7" s="345"/>
      <c r="R7" s="345"/>
      <c r="S7" s="345"/>
      <c r="T7" s="345" t="s">
        <v>134</v>
      </c>
      <c r="U7" s="345"/>
      <c r="V7" s="345" t="s">
        <v>135</v>
      </c>
      <c r="W7" s="345" t="s">
        <v>136</v>
      </c>
      <c r="X7" s="345" t="s">
        <v>137</v>
      </c>
      <c r="Y7" s="345" t="s">
        <v>138</v>
      </c>
      <c r="Z7" s="346" t="s">
        <v>139</v>
      </c>
      <c r="AA7" s="346"/>
      <c r="AC7" s="44"/>
      <c r="AD7" s="182"/>
    </row>
    <row r="8" spans="1:30" ht="24" customHeight="1">
      <c r="A8" s="1"/>
      <c r="B8" s="34">
        <v>1</v>
      </c>
      <c r="C8" s="47" t="s">
        <v>32</v>
      </c>
      <c r="D8" s="92"/>
      <c r="E8" s="92"/>
      <c r="F8" s="92"/>
      <c r="G8" s="92"/>
      <c r="H8" s="92"/>
      <c r="I8" s="92"/>
      <c r="J8" s="93"/>
      <c r="K8" s="93"/>
      <c r="L8" s="183">
        <f t="shared" ref="L8:L15" si="0">1.76*I8</f>
        <v>0</v>
      </c>
      <c r="M8" s="184" t="str">
        <f t="array" ref="M8">IFERROR(INDEX($E$22:$J$31,MATCH(1,($E$22:$E$31=G8)*($F$22:$F$31=H8), 0), 3), "ERROR")</f>
        <v>ERROR</v>
      </c>
      <c r="N8" s="185" t="str">
        <f t="array" ref="N8">IFERROR(INDEX($E$22:$J$31,MATCH(1,($E$22:$E$31=G8)*($F$22:$F$31=H8), 0), 4), "ERROR")</f>
        <v>ERROR</v>
      </c>
      <c r="O8" s="183" t="str">
        <f t="array" ref="O8">IFERROR(INDEX($E$22:$J$31,MATCH(1,($E$22:$E$31=G8)*($F$22:$F$31=H8), 0), 5), "ERROR")</f>
        <v>ERROR</v>
      </c>
      <c r="P8" s="183" t="str">
        <f t="array" ref="P8">IFERROR(INDEX($E$22:$J$31,MATCH(1,($E$22:$E$31=G8)*($F$22:$F$31=H8), 0), 6), "ERROR")</f>
        <v>ERROR</v>
      </c>
      <c r="Q8" s="183" t="str">
        <f t="shared" ref="Q8:Q15" si="1">IF(I8="", "", (M8*L8)+N8)</f>
        <v/>
      </c>
      <c r="R8" s="183" t="str">
        <f t="shared" ref="R8:R15" si="2">IF(I8="", "", (O8*L8)+P8)</f>
        <v/>
      </c>
      <c r="S8" s="186">
        <f>$C$31</f>
        <v>11</v>
      </c>
      <c r="T8" s="186" t="str">
        <f t="shared" ref="T8:T15" si="3">IF(G8="","",INDEX($K$22:$K$31,MATCH(G8,$E$22:$E$31,0)))</f>
        <v/>
      </c>
      <c r="U8" s="186" t="str">
        <f t="shared" ref="U8:U15" si="4">IF(G8="","",INDEX($L$22:$L$31,MATCH(G8,$E$22:$E$31,0)))</f>
        <v/>
      </c>
      <c r="V8" s="186" t="str">
        <f>IFERROR(ROUND(X8/8760,6),"")</f>
        <v/>
      </c>
      <c r="W8" s="45" t="str">
        <f>IFERROR(ROUND(((Q8-R8)*$C$28)*J8,6),"")</f>
        <v/>
      </c>
      <c r="X8" s="45" t="str">
        <f>IFERROR(ROUND((Q8-R8)*J8,4),"")</f>
        <v/>
      </c>
      <c r="Y8" s="187" t="str">
        <f t="shared" ref="Y8:Y15" si="5">IF(J8="","",IF(J8*$C$34&gt;K8*J8,J8*K8,J8*$C$34))</f>
        <v/>
      </c>
      <c r="Z8" s="347" t="str">
        <f>IF(J8="","",IF(J8*$C$34&gt;K8*J8,J8*K8,J8*$C$34))</f>
        <v/>
      </c>
      <c r="AA8" s="347" t="str">
        <f t="shared" ref="AA8:AA15" si="6">IF(J8="","",J8*K8)</f>
        <v/>
      </c>
      <c r="AC8" s="53" t="str">
        <f t="shared" ref="AC8:AC15" si="7">IF(G8=$E$22,"Up",IF(G8=$E$27,"Chest",IF(G8=E25,"Built","Compact")))</f>
        <v>Compact</v>
      </c>
      <c r="AD8" s="182"/>
    </row>
    <row r="9" spans="1:30" ht="24" customHeight="1">
      <c r="A9" s="1"/>
      <c r="B9" s="34">
        <v>2</v>
      </c>
      <c r="C9" s="47" t="s">
        <v>32</v>
      </c>
      <c r="D9" s="92"/>
      <c r="E9" s="92"/>
      <c r="F9" s="92"/>
      <c r="G9" s="92"/>
      <c r="H9" s="92"/>
      <c r="I9" s="92"/>
      <c r="J9" s="93"/>
      <c r="K9" s="93"/>
      <c r="L9" s="183">
        <f t="shared" si="0"/>
        <v>0</v>
      </c>
      <c r="M9" s="184" t="str">
        <f t="array" ref="M9">IFERROR(INDEX($E$22:$J$31,MATCH(1,($E$22:$E$31=G9)*($F$22:$F$31=H9), 0), 3), "ERROR")</f>
        <v>ERROR</v>
      </c>
      <c r="N9" s="185" t="str">
        <f t="array" ref="N9">IFERROR(INDEX($E$22:$J$31,MATCH(1,($E$22:$E$31=G9)*($F$22:$F$31=H9), 0), 4), "ERROR")</f>
        <v>ERROR</v>
      </c>
      <c r="O9" s="183" t="str">
        <f t="array" ref="O9">IFERROR(INDEX($E$22:$J$31,MATCH(1,($E$22:$E$31=G9)*($F$22:$F$31=H9), 0), 5), "ERROR")</f>
        <v>ERROR</v>
      </c>
      <c r="P9" s="183" t="str">
        <f t="array" ref="P9">IFERROR(INDEX($E$22:$J$31,MATCH(1,($E$22:$E$31=G9)*($F$22:$F$31=H9), 0), 6), "ERROR")</f>
        <v>ERROR</v>
      </c>
      <c r="Q9" s="183" t="str">
        <f t="shared" si="1"/>
        <v/>
      </c>
      <c r="R9" s="183" t="str">
        <f t="shared" si="2"/>
        <v/>
      </c>
      <c r="S9" s="186">
        <f t="shared" ref="S9:S15" si="8">$C$31</f>
        <v>11</v>
      </c>
      <c r="T9" s="186" t="str">
        <f t="shared" si="3"/>
        <v/>
      </c>
      <c r="U9" s="186" t="str">
        <f t="shared" si="4"/>
        <v/>
      </c>
      <c r="V9" s="186" t="str">
        <f t="shared" ref="V9:V15" si="9">IFERROR(ROUND(X9/8760,6),"")</f>
        <v/>
      </c>
      <c r="W9" s="45" t="str">
        <f t="shared" ref="W9:W15" si="10">IFERROR(ROUND(((Q9-R9)*$C$28)*J9,6),"")</f>
        <v/>
      </c>
      <c r="X9" s="45" t="str">
        <f t="shared" ref="X9:X15" si="11">IFERROR(ROUND((Q9-R9)*J9,4),"")</f>
        <v/>
      </c>
      <c r="Y9" s="187" t="str">
        <f t="shared" si="5"/>
        <v/>
      </c>
      <c r="Z9" s="347" t="str">
        <f t="shared" ref="Z9:Z15" si="12">IF(J9="","",IF(J9*$C$34&gt;K9*J9,J9*K9,J9*$C$34))</f>
        <v/>
      </c>
      <c r="AA9" s="347" t="str">
        <f t="shared" si="6"/>
        <v/>
      </c>
      <c r="AC9" s="53" t="str">
        <f t="shared" si="7"/>
        <v>Compact</v>
      </c>
      <c r="AD9" s="182"/>
    </row>
    <row r="10" spans="1:30" ht="24" customHeight="1">
      <c r="A10" s="1"/>
      <c r="B10" s="34">
        <v>3</v>
      </c>
      <c r="C10" s="47" t="s">
        <v>32</v>
      </c>
      <c r="D10" s="92"/>
      <c r="E10" s="92"/>
      <c r="F10" s="92"/>
      <c r="G10" s="92"/>
      <c r="H10" s="92"/>
      <c r="I10" s="92"/>
      <c r="J10" s="93"/>
      <c r="K10" s="93"/>
      <c r="L10" s="183">
        <f t="shared" si="0"/>
        <v>0</v>
      </c>
      <c r="M10" s="184" t="str">
        <f t="array" ref="M10">IFERROR(INDEX($E$22:$J$31,MATCH(1,($E$22:$E$31=G10)*($F$22:$F$31=H10), 0), 3), "ERROR")</f>
        <v>ERROR</v>
      </c>
      <c r="N10" s="185" t="str">
        <f t="array" ref="N10">IFERROR(INDEX($E$22:$J$31,MATCH(1,($E$22:$E$31=G10)*($F$22:$F$31=H10), 0), 4), "ERROR")</f>
        <v>ERROR</v>
      </c>
      <c r="O10" s="183" t="str">
        <f t="array" ref="O10">IFERROR(INDEX($E$22:$J$31,MATCH(1,($E$22:$E$31=G10)*($F$22:$F$31=H10), 0), 5), "ERROR")</f>
        <v>ERROR</v>
      </c>
      <c r="P10" s="183" t="str">
        <f t="array" ref="P10">IFERROR(INDEX($E$22:$J$31,MATCH(1,($E$22:$E$31=G10)*($F$22:$F$31=H10), 0), 6), "ERROR")</f>
        <v>ERROR</v>
      </c>
      <c r="Q10" s="183" t="str">
        <f t="shared" si="1"/>
        <v/>
      </c>
      <c r="R10" s="183" t="str">
        <f t="shared" si="2"/>
        <v/>
      </c>
      <c r="S10" s="186">
        <f t="shared" si="8"/>
        <v>11</v>
      </c>
      <c r="T10" s="186" t="str">
        <f t="shared" si="3"/>
        <v/>
      </c>
      <c r="U10" s="186" t="str">
        <f t="shared" si="4"/>
        <v/>
      </c>
      <c r="V10" s="186" t="str">
        <f t="shared" si="9"/>
        <v/>
      </c>
      <c r="W10" s="45" t="str">
        <f t="shared" si="10"/>
        <v/>
      </c>
      <c r="X10" s="45" t="str">
        <f t="shared" si="11"/>
        <v/>
      </c>
      <c r="Y10" s="187" t="str">
        <f t="shared" si="5"/>
        <v/>
      </c>
      <c r="Z10" s="347" t="str">
        <f t="shared" si="12"/>
        <v/>
      </c>
      <c r="AA10" s="347" t="str">
        <f t="shared" si="6"/>
        <v/>
      </c>
      <c r="AC10" s="53" t="str">
        <f t="shared" si="7"/>
        <v>Compact</v>
      </c>
      <c r="AD10" s="182"/>
    </row>
    <row r="11" spans="1:30" ht="24" customHeight="1">
      <c r="A11" s="1"/>
      <c r="B11" s="34">
        <v>4</v>
      </c>
      <c r="C11" s="47" t="s">
        <v>32</v>
      </c>
      <c r="D11" s="92"/>
      <c r="E11" s="92"/>
      <c r="F11" s="92"/>
      <c r="G11" s="92"/>
      <c r="H11" s="92"/>
      <c r="I11" s="92"/>
      <c r="J11" s="93"/>
      <c r="K11" s="93"/>
      <c r="L11" s="183">
        <f t="shared" si="0"/>
        <v>0</v>
      </c>
      <c r="M11" s="184" t="str">
        <f t="array" ref="M11">IFERROR(INDEX($E$22:$J$31,MATCH(1,($E$22:$E$31=G11)*($F$22:$F$31=H11), 0), 3), "ERROR")</f>
        <v>ERROR</v>
      </c>
      <c r="N11" s="185" t="str">
        <f t="array" ref="N11">IFERROR(INDEX($E$22:$J$31,MATCH(1,($E$22:$E$31=G11)*($F$22:$F$31=H11), 0), 4), "ERROR")</f>
        <v>ERROR</v>
      </c>
      <c r="O11" s="183" t="str">
        <f t="array" ref="O11">IFERROR(INDEX($E$22:$J$31,MATCH(1,($E$22:$E$31=G11)*($F$22:$F$31=H11), 0), 5), "ERROR")</f>
        <v>ERROR</v>
      </c>
      <c r="P11" s="183" t="str">
        <f t="array" ref="P11">IFERROR(INDEX($E$22:$J$31,MATCH(1,($E$22:$E$31=G11)*($F$22:$F$31=H11), 0), 6), "ERROR")</f>
        <v>ERROR</v>
      </c>
      <c r="Q11" s="183" t="str">
        <f t="shared" si="1"/>
        <v/>
      </c>
      <c r="R11" s="183" t="str">
        <f t="shared" si="2"/>
        <v/>
      </c>
      <c r="S11" s="186">
        <f t="shared" si="8"/>
        <v>11</v>
      </c>
      <c r="T11" s="186" t="str">
        <f t="shared" si="3"/>
        <v/>
      </c>
      <c r="U11" s="186" t="str">
        <f t="shared" si="4"/>
        <v/>
      </c>
      <c r="V11" s="186" t="str">
        <f t="shared" si="9"/>
        <v/>
      </c>
      <c r="W11" s="45" t="str">
        <f t="shared" si="10"/>
        <v/>
      </c>
      <c r="X11" s="45" t="str">
        <f t="shared" si="11"/>
        <v/>
      </c>
      <c r="Y11" s="187" t="str">
        <f t="shared" si="5"/>
        <v/>
      </c>
      <c r="Z11" s="347" t="str">
        <f t="shared" si="12"/>
        <v/>
      </c>
      <c r="AA11" s="347" t="str">
        <f t="shared" si="6"/>
        <v/>
      </c>
      <c r="AC11" s="53" t="str">
        <f t="shared" si="7"/>
        <v>Compact</v>
      </c>
      <c r="AD11" s="182"/>
    </row>
    <row r="12" spans="1:30" ht="24" customHeight="1">
      <c r="A12" s="1"/>
      <c r="B12" s="34">
        <v>5</v>
      </c>
      <c r="C12" s="47" t="s">
        <v>32</v>
      </c>
      <c r="D12" s="92"/>
      <c r="E12" s="92"/>
      <c r="F12" s="92"/>
      <c r="G12" s="92"/>
      <c r="H12" s="92"/>
      <c r="I12" s="92"/>
      <c r="J12" s="93"/>
      <c r="K12" s="93"/>
      <c r="L12" s="183">
        <f t="shared" si="0"/>
        <v>0</v>
      </c>
      <c r="M12" s="184" t="str">
        <f t="array" ref="M12">IFERROR(INDEX($E$22:$J$31,MATCH(1,($E$22:$E$31=G12)*($F$22:$F$31=H12), 0), 3), "ERROR")</f>
        <v>ERROR</v>
      </c>
      <c r="N12" s="185" t="str">
        <f t="array" ref="N12">IFERROR(INDEX($E$22:$J$31,MATCH(1,($E$22:$E$31=G12)*($F$22:$F$31=H12), 0), 4), "ERROR")</f>
        <v>ERROR</v>
      </c>
      <c r="O12" s="183" t="str">
        <f t="array" ref="O12">IFERROR(INDEX($E$22:$J$31,MATCH(1,($E$22:$E$31=G12)*($F$22:$F$31=H12), 0), 5), "ERROR")</f>
        <v>ERROR</v>
      </c>
      <c r="P12" s="183" t="str">
        <f t="array" ref="P12">IFERROR(INDEX($E$22:$J$31,MATCH(1,($E$22:$E$31=G12)*($F$22:$F$31=H12), 0), 6), "ERROR")</f>
        <v>ERROR</v>
      </c>
      <c r="Q12" s="183" t="str">
        <f t="shared" si="1"/>
        <v/>
      </c>
      <c r="R12" s="183" t="str">
        <f t="shared" si="2"/>
        <v/>
      </c>
      <c r="S12" s="186">
        <f t="shared" si="8"/>
        <v>11</v>
      </c>
      <c r="T12" s="186" t="str">
        <f t="shared" si="3"/>
        <v/>
      </c>
      <c r="U12" s="186" t="str">
        <f t="shared" si="4"/>
        <v/>
      </c>
      <c r="V12" s="186" t="str">
        <f t="shared" si="9"/>
        <v/>
      </c>
      <c r="W12" s="45" t="str">
        <f t="shared" si="10"/>
        <v/>
      </c>
      <c r="X12" s="45" t="str">
        <f t="shared" si="11"/>
        <v/>
      </c>
      <c r="Y12" s="187" t="str">
        <f t="shared" si="5"/>
        <v/>
      </c>
      <c r="Z12" s="347" t="str">
        <f t="shared" si="12"/>
        <v/>
      </c>
      <c r="AA12" s="347" t="str">
        <f t="shared" si="6"/>
        <v/>
      </c>
      <c r="AC12" s="53" t="str">
        <f t="shared" si="7"/>
        <v>Compact</v>
      </c>
      <c r="AD12" s="182"/>
    </row>
    <row r="13" spans="1:30" ht="24" customHeight="1">
      <c r="A13" s="1"/>
      <c r="B13" s="34">
        <v>6</v>
      </c>
      <c r="C13" s="47" t="s">
        <v>32</v>
      </c>
      <c r="D13" s="92"/>
      <c r="E13" s="92"/>
      <c r="F13" s="92"/>
      <c r="G13" s="92"/>
      <c r="H13" s="92"/>
      <c r="I13" s="92"/>
      <c r="J13" s="93"/>
      <c r="K13" s="93"/>
      <c r="L13" s="183">
        <f t="shared" si="0"/>
        <v>0</v>
      </c>
      <c r="M13" s="184" t="str">
        <f t="array" ref="M13">IFERROR(INDEX($E$22:$J$31,MATCH(1,($E$22:$E$31=G13)*($F$22:$F$31=H13), 0), 3), "ERROR")</f>
        <v>ERROR</v>
      </c>
      <c r="N13" s="185" t="str">
        <f t="array" ref="N13">IFERROR(INDEX($E$22:$J$31,MATCH(1,($E$22:$E$31=G13)*($F$22:$F$31=H13), 0), 4), "ERROR")</f>
        <v>ERROR</v>
      </c>
      <c r="O13" s="183" t="str">
        <f t="array" ref="O13">IFERROR(INDEX($E$22:$J$31,MATCH(1,($E$22:$E$31=G13)*($F$22:$F$31=H13), 0), 5), "ERROR")</f>
        <v>ERROR</v>
      </c>
      <c r="P13" s="183" t="str">
        <f t="array" ref="P13">IFERROR(INDEX($E$22:$J$31,MATCH(1,($E$22:$E$31=G13)*($F$22:$F$31=H13), 0), 6), "ERROR")</f>
        <v>ERROR</v>
      </c>
      <c r="Q13" s="183" t="str">
        <f t="shared" si="1"/>
        <v/>
      </c>
      <c r="R13" s="183" t="str">
        <f t="shared" si="2"/>
        <v/>
      </c>
      <c r="S13" s="186">
        <f t="shared" si="8"/>
        <v>11</v>
      </c>
      <c r="T13" s="186" t="str">
        <f t="shared" si="3"/>
        <v/>
      </c>
      <c r="U13" s="186" t="str">
        <f t="shared" si="4"/>
        <v/>
      </c>
      <c r="V13" s="186" t="str">
        <f t="shared" si="9"/>
        <v/>
      </c>
      <c r="W13" s="45" t="str">
        <f t="shared" si="10"/>
        <v/>
      </c>
      <c r="X13" s="45" t="str">
        <f t="shared" si="11"/>
        <v/>
      </c>
      <c r="Y13" s="187" t="str">
        <f t="shared" si="5"/>
        <v/>
      </c>
      <c r="Z13" s="347" t="str">
        <f t="shared" si="12"/>
        <v/>
      </c>
      <c r="AA13" s="347" t="str">
        <f t="shared" si="6"/>
        <v/>
      </c>
      <c r="AC13" s="53" t="str">
        <f t="shared" si="7"/>
        <v>Compact</v>
      </c>
      <c r="AD13" s="182"/>
    </row>
    <row r="14" spans="1:30" ht="24" customHeight="1">
      <c r="A14" s="1"/>
      <c r="B14" s="34">
        <v>7</v>
      </c>
      <c r="C14" s="47" t="s">
        <v>32</v>
      </c>
      <c r="D14" s="92"/>
      <c r="E14" s="92"/>
      <c r="F14" s="92"/>
      <c r="G14" s="92"/>
      <c r="H14" s="92"/>
      <c r="I14" s="92"/>
      <c r="J14" s="93"/>
      <c r="K14" s="93"/>
      <c r="L14" s="183">
        <f t="shared" si="0"/>
        <v>0</v>
      </c>
      <c r="M14" s="184" t="str">
        <f t="array" ref="M14">IFERROR(INDEX($E$22:$J$31,MATCH(1,($E$22:$E$31=G14)*($F$22:$F$31=H14), 0), 3), "ERROR")</f>
        <v>ERROR</v>
      </c>
      <c r="N14" s="185" t="str">
        <f t="array" ref="N14">IFERROR(INDEX($E$22:$J$31,MATCH(1,($E$22:$E$31=G14)*($F$22:$F$31=H14), 0), 4), "ERROR")</f>
        <v>ERROR</v>
      </c>
      <c r="O14" s="183" t="str">
        <f t="array" ref="O14">IFERROR(INDEX($E$22:$J$31,MATCH(1,($E$22:$E$31=G14)*($F$22:$F$31=H14), 0), 5), "ERROR")</f>
        <v>ERROR</v>
      </c>
      <c r="P14" s="183" t="str">
        <f t="array" ref="P14">IFERROR(INDEX($E$22:$J$31,MATCH(1,($E$22:$E$31=G14)*($F$22:$F$31=H14), 0), 6), "ERROR")</f>
        <v>ERROR</v>
      </c>
      <c r="Q14" s="183" t="str">
        <f t="shared" si="1"/>
        <v/>
      </c>
      <c r="R14" s="183" t="str">
        <f t="shared" si="2"/>
        <v/>
      </c>
      <c r="S14" s="186">
        <f t="shared" si="8"/>
        <v>11</v>
      </c>
      <c r="T14" s="186" t="str">
        <f t="shared" si="3"/>
        <v/>
      </c>
      <c r="U14" s="186" t="str">
        <f t="shared" si="4"/>
        <v/>
      </c>
      <c r="V14" s="186" t="str">
        <f t="shared" si="9"/>
        <v/>
      </c>
      <c r="W14" s="45" t="str">
        <f t="shared" si="10"/>
        <v/>
      </c>
      <c r="X14" s="45" t="str">
        <f t="shared" si="11"/>
        <v/>
      </c>
      <c r="Y14" s="187" t="str">
        <f t="shared" si="5"/>
        <v/>
      </c>
      <c r="Z14" s="347" t="str">
        <f t="shared" si="12"/>
        <v/>
      </c>
      <c r="AA14" s="347" t="str">
        <f t="shared" si="6"/>
        <v/>
      </c>
      <c r="AC14" s="53" t="str">
        <f t="shared" si="7"/>
        <v>Compact</v>
      </c>
      <c r="AD14" s="182"/>
    </row>
    <row r="15" spans="1:30" ht="24" customHeight="1">
      <c r="A15" s="1"/>
      <c r="B15" s="34">
        <v>8</v>
      </c>
      <c r="C15" s="47" t="s">
        <v>32</v>
      </c>
      <c r="D15" s="92"/>
      <c r="E15" s="92"/>
      <c r="F15" s="92"/>
      <c r="G15" s="92"/>
      <c r="H15" s="92"/>
      <c r="I15" s="92"/>
      <c r="J15" s="93"/>
      <c r="K15" s="93"/>
      <c r="L15" s="183">
        <f t="shared" si="0"/>
        <v>0</v>
      </c>
      <c r="M15" s="184" t="str">
        <f t="array" ref="M15">IFERROR(INDEX($E$22:$J$31,MATCH(1,($E$22:$E$31=G15)*($F$22:$F$31=H15), 0), 3), "ERROR")</f>
        <v>ERROR</v>
      </c>
      <c r="N15" s="185" t="str">
        <f t="array" ref="N15">IFERROR(INDEX($E$22:$J$31,MATCH(1,($E$22:$E$31=G15)*($F$22:$F$31=H15), 0), 4), "ERROR")</f>
        <v>ERROR</v>
      </c>
      <c r="O15" s="183" t="str">
        <f t="array" ref="O15">IFERROR(INDEX($E$22:$J$31,MATCH(1,($E$22:$E$31=G15)*($F$22:$F$31=H15), 0), 5), "ERROR")</f>
        <v>ERROR</v>
      </c>
      <c r="P15" s="183" t="str">
        <f t="array" ref="P15">IFERROR(INDEX($E$22:$J$31,MATCH(1,($E$22:$E$31=G15)*($F$22:$F$31=H15), 0), 6), "ERROR")</f>
        <v>ERROR</v>
      </c>
      <c r="Q15" s="183" t="str">
        <f t="shared" si="1"/>
        <v/>
      </c>
      <c r="R15" s="183" t="str">
        <f t="shared" si="2"/>
        <v/>
      </c>
      <c r="S15" s="186">
        <f t="shared" si="8"/>
        <v>11</v>
      </c>
      <c r="T15" s="186" t="str">
        <f t="shared" si="3"/>
        <v/>
      </c>
      <c r="U15" s="186" t="str">
        <f t="shared" si="4"/>
        <v/>
      </c>
      <c r="V15" s="186" t="str">
        <f t="shared" si="9"/>
        <v/>
      </c>
      <c r="W15" s="45" t="str">
        <f t="shared" si="10"/>
        <v/>
      </c>
      <c r="X15" s="45" t="str">
        <f t="shared" si="11"/>
        <v/>
      </c>
      <c r="Y15" s="187" t="str">
        <f t="shared" si="5"/>
        <v/>
      </c>
      <c r="Z15" s="347" t="str">
        <f t="shared" si="12"/>
        <v/>
      </c>
      <c r="AA15" s="347" t="str">
        <f t="shared" si="6"/>
        <v/>
      </c>
      <c r="AC15" s="53" t="str">
        <f t="shared" si="7"/>
        <v>Built</v>
      </c>
      <c r="AD15" s="182"/>
    </row>
    <row r="16" spans="1:30" hidden="1">
      <c r="A16" s="8"/>
      <c r="AD16" s="182"/>
    </row>
    <row r="17" spans="1:30" hidden="1">
      <c r="A17" s="8"/>
      <c r="J17" s="153">
        <f>SUM(J8:J15)</f>
        <v>0</v>
      </c>
      <c r="K17" s="153"/>
      <c r="L17" s="10"/>
      <c r="M17" s="10"/>
      <c r="N17" s="10"/>
      <c r="O17" s="10"/>
      <c r="P17" s="10"/>
      <c r="Q17" s="10"/>
      <c r="R17" s="10"/>
      <c r="S17" s="10"/>
      <c r="T17" s="10"/>
      <c r="U17" s="10"/>
      <c r="V17" s="10"/>
      <c r="W17" s="144">
        <f>SUM(W8:W15)</f>
        <v>0</v>
      </c>
      <c r="X17" s="144">
        <f>SUM(X8:X15)</f>
        <v>0</v>
      </c>
      <c r="Y17" s="64">
        <f>SUM(Y8:Y15)</f>
        <v>0</v>
      </c>
      <c r="Z17" s="64"/>
      <c r="AA17" s="64"/>
      <c r="AD17" s="182"/>
    </row>
    <row r="18" spans="1:30" hidden="1">
      <c r="A18" s="8"/>
      <c r="AD18" s="182"/>
    </row>
    <row r="19" spans="1:30" hidden="1">
      <c r="A19" s="8"/>
      <c r="C19" s="188" t="s">
        <v>91</v>
      </c>
      <c r="E19" s="189"/>
      <c r="F19" s="190"/>
      <c r="G19" s="451" t="s">
        <v>142</v>
      </c>
      <c r="H19" s="452"/>
      <c r="I19" s="451" t="s">
        <v>183</v>
      </c>
      <c r="J19" s="452"/>
      <c r="K19" s="333"/>
      <c r="AD19" s="182"/>
    </row>
    <row r="20" spans="1:30" hidden="1">
      <c r="A20" s="8"/>
      <c r="C20" s="48" t="s">
        <v>146</v>
      </c>
      <c r="E20" s="191"/>
      <c r="F20" s="192"/>
      <c r="G20" s="453"/>
      <c r="H20" s="454"/>
      <c r="I20" s="453"/>
      <c r="J20" s="454"/>
      <c r="K20" s="333"/>
      <c r="AD20" s="182"/>
    </row>
    <row r="21" spans="1:30" hidden="1">
      <c r="A21" s="8"/>
      <c r="C21" s="48" t="s">
        <v>147</v>
      </c>
      <c r="E21" s="193" t="s">
        <v>184</v>
      </c>
      <c r="F21" s="193" t="s">
        <v>177</v>
      </c>
      <c r="G21" s="193" t="s">
        <v>150</v>
      </c>
      <c r="H21" s="193" t="s">
        <v>151</v>
      </c>
      <c r="I21" s="193" t="s">
        <v>150</v>
      </c>
      <c r="J21" s="193" t="s">
        <v>151</v>
      </c>
      <c r="K21" s="333" t="s">
        <v>103</v>
      </c>
      <c r="L21" s="333" t="s">
        <v>104</v>
      </c>
      <c r="AD21" s="182"/>
    </row>
    <row r="22" spans="1:30" hidden="1">
      <c r="A22" s="8"/>
      <c r="E22" s="3" t="s">
        <v>185</v>
      </c>
      <c r="F22" s="3" t="s">
        <v>186</v>
      </c>
      <c r="G22" s="54">
        <v>5.57</v>
      </c>
      <c r="H22" s="55">
        <v>193.7</v>
      </c>
      <c r="I22" s="54">
        <v>5.01</v>
      </c>
      <c r="J22" s="55">
        <v>174.3</v>
      </c>
      <c r="K22" s="3" t="s">
        <v>187</v>
      </c>
      <c r="L22" s="3" t="s">
        <v>188</v>
      </c>
      <c r="AD22" s="182"/>
    </row>
    <row r="23" spans="1:30" hidden="1">
      <c r="A23" s="8"/>
      <c r="C23" s="188" t="s">
        <v>189</v>
      </c>
      <c r="E23" s="3" t="s">
        <v>185</v>
      </c>
      <c r="F23" s="3" t="s">
        <v>190</v>
      </c>
      <c r="G23" s="54">
        <v>8.6199999999999992</v>
      </c>
      <c r="H23" s="55">
        <v>228.3</v>
      </c>
      <c r="I23" s="54">
        <v>7.76</v>
      </c>
      <c r="J23" s="55">
        <v>205.5</v>
      </c>
      <c r="K23" s="3" t="s">
        <v>187</v>
      </c>
      <c r="L23" s="3" t="s">
        <v>188</v>
      </c>
      <c r="AD23" s="182"/>
    </row>
    <row r="24" spans="1:30" hidden="1">
      <c r="A24" s="8"/>
      <c r="C24" s="48" t="s">
        <v>153</v>
      </c>
      <c r="E24" s="3" t="s">
        <v>185</v>
      </c>
      <c r="F24" s="3" t="s">
        <v>191</v>
      </c>
      <c r="G24" s="54">
        <v>8.6199999999999992</v>
      </c>
      <c r="H24" s="55">
        <v>312.3</v>
      </c>
      <c r="I24" s="54">
        <v>7.76</v>
      </c>
      <c r="J24" s="55">
        <v>289.5</v>
      </c>
      <c r="K24" s="3" t="s">
        <v>187</v>
      </c>
      <c r="L24" s="3" t="s">
        <v>188</v>
      </c>
      <c r="AD24" s="182"/>
    </row>
    <row r="25" spans="1:30" hidden="1">
      <c r="A25" s="8"/>
      <c r="C25" s="48" t="s">
        <v>159</v>
      </c>
      <c r="E25" s="3" t="s">
        <v>192</v>
      </c>
      <c r="F25" s="3" t="s">
        <v>190</v>
      </c>
      <c r="G25" s="54">
        <v>9.86</v>
      </c>
      <c r="H25" s="55">
        <v>260.89999999999998</v>
      </c>
      <c r="I25" s="54">
        <v>8.8699999999999992</v>
      </c>
      <c r="J25" s="55">
        <v>234.8</v>
      </c>
      <c r="K25" s="3" t="s">
        <v>187</v>
      </c>
      <c r="L25" s="3" t="s">
        <v>188</v>
      </c>
      <c r="AD25" s="182"/>
    </row>
    <row r="26" spans="1:30" hidden="1">
      <c r="A26" s="8"/>
      <c r="E26" s="3" t="s">
        <v>192</v>
      </c>
      <c r="F26" s="3" t="s">
        <v>191</v>
      </c>
      <c r="G26" s="54">
        <v>9.86</v>
      </c>
      <c r="H26" s="55">
        <v>344.9</v>
      </c>
      <c r="I26" s="54">
        <v>8.8699999999999992</v>
      </c>
      <c r="J26" s="55">
        <v>318.8</v>
      </c>
      <c r="K26" s="3" t="s">
        <v>187</v>
      </c>
      <c r="L26" s="3" t="s">
        <v>188</v>
      </c>
      <c r="AD26" s="182"/>
    </row>
    <row r="27" spans="1:30" hidden="1">
      <c r="A27" s="8"/>
      <c r="C27" s="188" t="s">
        <v>162</v>
      </c>
      <c r="E27" s="3" t="s">
        <v>193</v>
      </c>
      <c r="F27" s="3" t="s">
        <v>186</v>
      </c>
      <c r="G27" s="54">
        <v>7.29</v>
      </c>
      <c r="H27" s="55">
        <v>107.8</v>
      </c>
      <c r="I27" s="54">
        <v>6.56</v>
      </c>
      <c r="J27" s="55">
        <v>97</v>
      </c>
      <c r="K27" s="3" t="s">
        <v>187</v>
      </c>
      <c r="L27" s="3" t="s">
        <v>188</v>
      </c>
      <c r="AD27" s="182"/>
    </row>
    <row r="28" spans="1:30" hidden="1">
      <c r="A28" s="8"/>
      <c r="C28" s="212">
        <v>1.6139999999999999E-4</v>
      </c>
      <c r="E28" s="3" t="s">
        <v>193</v>
      </c>
      <c r="F28" s="3" t="s">
        <v>190</v>
      </c>
      <c r="G28" s="54">
        <v>10.24</v>
      </c>
      <c r="H28" s="55">
        <v>148.1</v>
      </c>
      <c r="I28" s="54">
        <v>9.2200000000000006</v>
      </c>
      <c r="J28" s="55">
        <v>133.30000000000001</v>
      </c>
      <c r="K28" s="3" t="s">
        <v>187</v>
      </c>
      <c r="L28" s="3" t="s">
        <v>188</v>
      </c>
      <c r="AD28" s="182"/>
    </row>
    <row r="29" spans="1:30" hidden="1">
      <c r="A29" s="8"/>
      <c r="E29" s="3" t="s">
        <v>194</v>
      </c>
      <c r="F29" s="3" t="s">
        <v>195</v>
      </c>
      <c r="G29" s="54">
        <v>8.65</v>
      </c>
      <c r="H29" s="55">
        <v>225.7</v>
      </c>
      <c r="I29" s="54">
        <v>7.79</v>
      </c>
      <c r="J29" s="55">
        <v>203.1</v>
      </c>
      <c r="K29" s="3" t="s">
        <v>187</v>
      </c>
      <c r="L29" s="3" t="s">
        <v>188</v>
      </c>
      <c r="AD29" s="182"/>
    </row>
    <row r="30" spans="1:30" hidden="1">
      <c r="A30" s="8"/>
      <c r="C30" s="188" t="s">
        <v>113</v>
      </c>
      <c r="E30" s="3" t="s">
        <v>194</v>
      </c>
      <c r="F30" s="3" t="s">
        <v>196</v>
      </c>
      <c r="G30" s="54">
        <v>10.17</v>
      </c>
      <c r="H30" s="55">
        <v>351.9</v>
      </c>
      <c r="I30" s="54">
        <v>9.15</v>
      </c>
      <c r="J30" s="55">
        <v>316.7</v>
      </c>
      <c r="K30" s="3" t="s">
        <v>187</v>
      </c>
      <c r="L30" s="3" t="s">
        <v>188</v>
      </c>
      <c r="AD30" s="182"/>
    </row>
    <row r="31" spans="1:30" hidden="1">
      <c r="A31" s="8"/>
      <c r="C31" s="315">
        <v>11</v>
      </c>
      <c r="E31" s="3" t="s">
        <v>194</v>
      </c>
      <c r="F31" s="3" t="s">
        <v>197</v>
      </c>
      <c r="G31" s="54">
        <v>9.25</v>
      </c>
      <c r="H31" s="55">
        <v>136.80000000000001</v>
      </c>
      <c r="I31" s="54">
        <v>8.33</v>
      </c>
      <c r="J31" s="55">
        <v>123.1</v>
      </c>
      <c r="K31" s="3" t="s">
        <v>187</v>
      </c>
      <c r="L31" s="3" t="s">
        <v>188</v>
      </c>
      <c r="AD31" s="182"/>
    </row>
    <row r="32" spans="1:30" hidden="1">
      <c r="A32" s="8"/>
      <c r="AD32" s="182"/>
    </row>
    <row r="33" spans="1:30" hidden="1">
      <c r="A33" s="8"/>
      <c r="C33" s="59" t="s">
        <v>30</v>
      </c>
      <c r="E33" t="s">
        <v>185</v>
      </c>
      <c r="AD33" s="182"/>
    </row>
    <row r="34" spans="1:30" hidden="1">
      <c r="A34" s="8"/>
      <c r="C34" s="194">
        <v>25</v>
      </c>
      <c r="E34" t="s">
        <v>192</v>
      </c>
      <c r="AD34" s="182"/>
    </row>
    <row r="35" spans="1:30" hidden="1">
      <c r="A35" s="8"/>
      <c r="C35" s="316"/>
      <c r="E35" t="s">
        <v>193</v>
      </c>
      <c r="AD35" s="182"/>
    </row>
    <row r="36" spans="1:30" hidden="1">
      <c r="A36" s="8"/>
      <c r="C36" s="316"/>
      <c r="E36" t="s">
        <v>194</v>
      </c>
      <c r="AD36" s="182"/>
    </row>
    <row r="37" spans="1:30" hidden="1">
      <c r="A37" s="8"/>
      <c r="C37" s="316"/>
      <c r="AD37" s="182"/>
    </row>
    <row r="38" spans="1:30">
      <c r="A38" s="182"/>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182"/>
      <c r="Z38" s="182"/>
      <c r="AA38" s="182"/>
      <c r="AD38" s="182"/>
    </row>
    <row r="39" spans="1:30">
      <c r="A39" s="182"/>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c r="AD39" s="182"/>
    </row>
    <row r="40" spans="1:30" s="132" customFormat="1"/>
    <row r="41" spans="1:30" s="132" customFormat="1"/>
    <row r="42" spans="1:30" s="132" customFormat="1"/>
    <row r="43" spans="1:30" s="132" customFormat="1"/>
    <row r="44" spans="1:30" s="132" customFormat="1"/>
    <row r="45" spans="1:30" s="132" customFormat="1"/>
    <row r="46" spans="1:30" s="132" customFormat="1"/>
    <row r="47" spans="1:30" s="132" customFormat="1"/>
    <row r="48" spans="1:30" s="132" customFormat="1"/>
    <row r="49" s="132" customFormat="1"/>
    <row r="50" s="132" customFormat="1"/>
    <row r="51" s="132" customFormat="1"/>
    <row r="52" s="132" customFormat="1"/>
    <row r="53" s="132" customFormat="1"/>
    <row r="54" s="132" customFormat="1"/>
    <row r="55" s="132" customFormat="1"/>
    <row r="56" s="132" customFormat="1"/>
    <row r="57" s="132" customFormat="1"/>
    <row r="58" s="132" customFormat="1"/>
    <row r="59" s="132" customFormat="1"/>
    <row r="60" s="132" customFormat="1"/>
    <row r="61" s="132" customFormat="1"/>
    <row r="62" s="132" customFormat="1"/>
    <row r="63" s="132" customFormat="1"/>
    <row r="64"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row r="576" s="132" customFormat="1"/>
    <row r="577" s="132" customFormat="1"/>
    <row r="578" s="132" customFormat="1"/>
    <row r="579" s="132" customFormat="1"/>
    <row r="580" s="132" customFormat="1"/>
    <row r="581" s="132" customFormat="1"/>
    <row r="582" s="132" customFormat="1"/>
    <row r="583" s="132" customFormat="1"/>
    <row r="584" s="132" customFormat="1"/>
    <row r="585" s="132" customFormat="1"/>
    <row r="586" s="132" customFormat="1"/>
  </sheetData>
  <sheetProtection algorithmName="SHA-512" hashValue="ogB0Hh67QyZ6qPeYTFWzcX8ZBAOCDmpB3RzZxIA/I1bAcm3wSvvKweDmt9OiU4qrCk8DwC7uiCD71AxVgptJ7Q==" saltValue="Bw31WjnMAxTyD9jxsI/OvA==" spinCount="100000" sheet="1" selectLockedCells="1"/>
  <mergeCells count="5">
    <mergeCell ref="I19:J20"/>
    <mergeCell ref="G19:H20"/>
    <mergeCell ref="B3:C3"/>
    <mergeCell ref="D3:H4"/>
    <mergeCell ref="B2:Y2"/>
  </mergeCells>
  <dataValidations count="3">
    <dataValidation type="list" allowBlank="1" showInputMessage="1" showErrorMessage="1" sqref="D8:D15" xr:uid="{00000000-0002-0000-0400-000000000000}">
      <formula1>$C$20:$C$21</formula1>
    </dataValidation>
    <dataValidation type="list" allowBlank="1" showInputMessage="1" showErrorMessage="1" sqref="H8:H15" xr:uid="{00000000-0002-0000-0400-000002000000}">
      <formula1>INDIRECT($AC8)</formula1>
    </dataValidation>
    <dataValidation type="list" allowBlank="1" showInputMessage="1" showErrorMessage="1" sqref="G8:G15" xr:uid="{00000000-0002-0000-0400-000001000000}">
      <formula1>$E$33:$E$36</formula1>
    </dataValidation>
  </dataValidations>
  <hyperlinks>
    <hyperlink ref="B3" location="'Calculator Index'!A1" display="Return to Index" xr:uid="{00000000-0004-0000-0400-000000000000}"/>
    <hyperlink ref="B3:C3" location="'Project Summary'!A1" display="Return to Index" xr:uid="{00000000-0004-0000-0400-000001000000}"/>
  </hyperlink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V605"/>
  <sheetViews>
    <sheetView zoomScale="90" zoomScaleNormal="90" workbookViewId="0">
      <selection activeCell="B3" sqref="B3:C3"/>
    </sheetView>
  </sheetViews>
  <sheetFormatPr defaultRowHeight="15"/>
  <cols>
    <col min="1" max="1" width="3.7109375" customWidth="1"/>
    <col min="2" max="2" width="6.28515625" customWidth="1"/>
    <col min="3" max="3" width="28.7109375" customWidth="1"/>
    <col min="4" max="4" width="21.5703125" customWidth="1"/>
    <col min="5" max="5" width="20.140625" customWidth="1"/>
    <col min="6" max="6" width="20.7109375" customWidth="1"/>
    <col min="7" max="7" width="17.140625" customWidth="1"/>
    <col min="8" max="8" width="32.42578125" customWidth="1"/>
    <col min="9" max="9" width="15.140625" customWidth="1"/>
    <col min="10" max="10" width="17.7109375" customWidth="1"/>
    <col min="11" max="11" width="9.7109375" customWidth="1"/>
    <col min="12" max="12" width="15.5703125" customWidth="1"/>
    <col min="13" max="13" width="22.140625" hidden="1" customWidth="1"/>
    <col min="14" max="14" width="32.140625" hidden="1" customWidth="1"/>
    <col min="15" max="15" width="44.28515625" hidden="1" customWidth="1"/>
    <col min="16" max="16" width="14" hidden="1" customWidth="1"/>
    <col min="17" max="17" width="13.5703125" hidden="1" customWidth="1"/>
    <col min="18" max="19" width="9.140625" hidden="1" customWidth="1"/>
    <col min="20" max="20" width="19" hidden="1" customWidth="1"/>
    <col min="21" max="21" width="20.140625" hidden="1" customWidth="1"/>
    <col min="22" max="22" width="16.140625" hidden="1" customWidth="1"/>
    <col min="23" max="23" width="20" hidden="1" customWidth="1"/>
    <col min="24" max="25" width="17.5703125" hidden="1" customWidth="1"/>
    <col min="26" max="26" width="18.42578125" customWidth="1"/>
    <col min="27" max="27" width="17.42578125" customWidth="1"/>
    <col min="28" max="28" width="14.85546875" customWidth="1"/>
    <col min="29" max="29" width="14.85546875" hidden="1" customWidth="1"/>
    <col min="30" max="30" width="16.85546875" hidden="1" customWidth="1"/>
    <col min="31" max="31" width="16.28515625" hidden="1" customWidth="1"/>
    <col min="32" max="32" width="9.7109375" hidden="1" customWidth="1"/>
    <col min="33" max="33" width="7.42578125" customWidth="1"/>
    <col min="34" max="256" width="9.140625" style="132"/>
  </cols>
  <sheetData>
    <row r="1" spans="1:33" ht="19.5" customHeight="1">
      <c r="A1" s="1"/>
      <c r="B1" s="1"/>
      <c r="C1" s="1"/>
      <c r="D1" s="1"/>
      <c r="E1" s="1"/>
      <c r="F1" s="1"/>
      <c r="G1" s="1"/>
      <c r="H1" s="1"/>
      <c r="I1" s="1"/>
      <c r="J1" s="1"/>
      <c r="K1" s="1"/>
      <c r="L1" s="1"/>
      <c r="M1" s="8"/>
      <c r="N1" s="8"/>
      <c r="O1" s="8"/>
      <c r="P1" s="8"/>
      <c r="Q1" s="8"/>
      <c r="R1" s="8"/>
      <c r="S1" s="8"/>
      <c r="T1" s="8"/>
      <c r="U1" s="8"/>
      <c r="V1" s="8"/>
      <c r="W1" s="8"/>
      <c r="X1" s="8"/>
      <c r="Y1" s="8"/>
      <c r="Z1" s="1"/>
      <c r="AA1" s="1"/>
      <c r="AB1" s="1"/>
      <c r="AC1" s="8"/>
      <c r="AD1" s="8"/>
      <c r="AE1" s="217" t="s">
        <v>198</v>
      </c>
      <c r="AF1" s="217" t="s">
        <v>199</v>
      </c>
      <c r="AG1" s="182"/>
    </row>
    <row r="2" spans="1:33" ht="27" customHeight="1">
      <c r="A2" s="1"/>
      <c r="B2" s="434" t="s">
        <v>200</v>
      </c>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8"/>
      <c r="AD2" s="8"/>
      <c r="AE2" s="8"/>
      <c r="AF2" s="8"/>
      <c r="AG2" s="182"/>
    </row>
    <row r="3" spans="1:33" ht="23.25" customHeight="1">
      <c r="A3" s="1"/>
      <c r="B3" s="442" t="s">
        <v>87</v>
      </c>
      <c r="C3" s="443"/>
      <c r="D3" s="444" t="s">
        <v>201</v>
      </c>
      <c r="E3" s="444"/>
      <c r="F3" s="444"/>
      <c r="G3" s="444"/>
      <c r="H3" s="444"/>
      <c r="I3" s="1"/>
      <c r="J3" s="1"/>
      <c r="K3" s="1"/>
      <c r="L3" s="1"/>
      <c r="M3" s="8"/>
      <c r="N3" s="8"/>
      <c r="O3" s="8"/>
      <c r="P3" s="8"/>
      <c r="Q3" s="8"/>
      <c r="R3" s="8"/>
      <c r="S3" s="8"/>
      <c r="T3" s="8"/>
      <c r="U3" s="8"/>
      <c r="V3" s="8"/>
      <c r="W3" s="8"/>
      <c r="X3" s="8"/>
      <c r="Y3" s="8"/>
      <c r="Z3" s="1"/>
      <c r="AA3" s="1"/>
      <c r="AB3" s="1"/>
      <c r="AC3" s="8"/>
      <c r="AD3" s="8"/>
      <c r="AE3" s="8"/>
      <c r="AF3" s="8"/>
      <c r="AG3" s="182"/>
    </row>
    <row r="4" spans="1:33" ht="27.75" customHeight="1">
      <c r="A4" s="1"/>
      <c r="B4" s="1"/>
      <c r="C4" s="1"/>
      <c r="D4" s="444"/>
      <c r="E4" s="444"/>
      <c r="F4" s="444"/>
      <c r="G4" s="444"/>
      <c r="H4" s="444"/>
      <c r="I4" s="1"/>
      <c r="J4" s="1"/>
      <c r="K4" s="1"/>
      <c r="L4" s="1"/>
      <c r="M4" s="8"/>
      <c r="N4" s="8"/>
      <c r="O4" s="8"/>
      <c r="P4" s="8"/>
      <c r="Q4" s="8"/>
      <c r="R4" s="8"/>
      <c r="S4" s="8"/>
      <c r="T4" s="8"/>
      <c r="U4" s="8"/>
      <c r="V4" s="8"/>
      <c r="W4" s="8"/>
      <c r="X4" s="8"/>
      <c r="Y4" s="8"/>
      <c r="Z4" s="1"/>
      <c r="AA4" s="1"/>
      <c r="AB4" s="1"/>
      <c r="AC4" s="8"/>
      <c r="AD4" s="8"/>
      <c r="AE4" s="8"/>
      <c r="AF4" s="8"/>
      <c r="AG4" s="182"/>
    </row>
    <row r="5" spans="1:33" ht="12.75" customHeight="1">
      <c r="A5" s="1"/>
      <c r="B5" s="1"/>
      <c r="C5" s="1"/>
      <c r="D5" s="1"/>
      <c r="E5" s="1"/>
      <c r="F5" s="1"/>
      <c r="G5" s="1"/>
      <c r="H5" s="1"/>
      <c r="I5" s="1"/>
      <c r="J5" s="1"/>
      <c r="K5" s="1"/>
      <c r="L5" s="1"/>
      <c r="M5" s="8"/>
      <c r="N5" s="8"/>
      <c r="O5" s="8"/>
      <c r="P5" s="8"/>
      <c r="Q5" s="8"/>
      <c r="R5" s="8"/>
      <c r="S5" s="8"/>
      <c r="T5" s="8"/>
      <c r="U5" s="8"/>
      <c r="V5" s="8"/>
      <c r="W5" s="8"/>
      <c r="X5" s="8"/>
      <c r="Y5" s="8"/>
      <c r="Z5" s="1"/>
      <c r="AA5" s="1"/>
      <c r="AB5" s="1"/>
      <c r="AC5" s="8"/>
      <c r="AD5" s="8"/>
      <c r="AE5" s="8"/>
      <c r="AF5" s="8"/>
      <c r="AG5" s="182"/>
    </row>
    <row r="6" spans="1:33" ht="33" customHeight="1">
      <c r="A6" s="1"/>
      <c r="B6" s="23" t="s">
        <v>89</v>
      </c>
      <c r="C6" s="23" t="s">
        <v>90</v>
      </c>
      <c r="D6" s="23" t="s">
        <v>91</v>
      </c>
      <c r="E6" s="23" t="s">
        <v>92</v>
      </c>
      <c r="F6" s="23" t="s">
        <v>93</v>
      </c>
      <c r="G6" s="23" t="s">
        <v>202</v>
      </c>
      <c r="H6" s="23" t="s">
        <v>203</v>
      </c>
      <c r="I6" s="23" t="s">
        <v>204</v>
      </c>
      <c r="J6" s="23" t="s">
        <v>205</v>
      </c>
      <c r="K6" s="23" t="s">
        <v>27</v>
      </c>
      <c r="L6" s="23" t="s">
        <v>101</v>
      </c>
      <c r="M6" s="23" t="s">
        <v>102</v>
      </c>
      <c r="N6" s="23" t="s">
        <v>103</v>
      </c>
      <c r="O6" s="23" t="s">
        <v>206</v>
      </c>
      <c r="P6" s="23" t="s">
        <v>207</v>
      </c>
      <c r="Q6" s="23" t="s">
        <v>208</v>
      </c>
      <c r="R6" s="23" t="s">
        <v>209</v>
      </c>
      <c r="S6" s="23" t="s">
        <v>210</v>
      </c>
      <c r="T6" s="23" t="s">
        <v>211</v>
      </c>
      <c r="U6" s="23" t="s">
        <v>212</v>
      </c>
      <c r="V6" s="23" t="s">
        <v>213</v>
      </c>
      <c r="W6" s="23" t="s">
        <v>214</v>
      </c>
      <c r="X6" s="23" t="s">
        <v>113</v>
      </c>
      <c r="Y6" s="23" t="s">
        <v>114</v>
      </c>
      <c r="Z6" s="23" t="s">
        <v>115</v>
      </c>
      <c r="AA6" s="23" t="s">
        <v>116</v>
      </c>
      <c r="AB6" s="23" t="s">
        <v>30</v>
      </c>
      <c r="AC6" s="343" t="s">
        <v>117</v>
      </c>
      <c r="AD6" s="343" t="s">
        <v>118</v>
      </c>
      <c r="AG6" s="182"/>
    </row>
    <row r="7" spans="1:33" ht="18.75" hidden="1" customHeight="1">
      <c r="A7" s="1"/>
      <c r="B7" s="345" t="s">
        <v>122</v>
      </c>
      <c r="C7" s="345"/>
      <c r="D7" s="345" t="s">
        <v>179</v>
      </c>
      <c r="E7" s="345" t="s">
        <v>124</v>
      </c>
      <c r="F7" s="345" t="s">
        <v>180</v>
      </c>
      <c r="G7" s="345" t="s">
        <v>215</v>
      </c>
      <c r="H7" s="345" t="s">
        <v>216</v>
      </c>
      <c r="I7" s="345" t="s">
        <v>217</v>
      </c>
      <c r="J7" s="345" t="s">
        <v>218</v>
      </c>
      <c r="K7" s="345" t="s">
        <v>27</v>
      </c>
      <c r="L7" s="345" t="s">
        <v>133</v>
      </c>
      <c r="M7" s="345"/>
      <c r="N7" s="345" t="s">
        <v>134</v>
      </c>
      <c r="O7" s="345"/>
      <c r="P7" s="345"/>
      <c r="Q7" s="345"/>
      <c r="R7" s="345"/>
      <c r="S7" s="345"/>
      <c r="T7" s="345"/>
      <c r="U7" s="345"/>
      <c r="V7" s="345"/>
      <c r="W7" s="345"/>
      <c r="X7" s="345"/>
      <c r="Y7" s="345" t="s">
        <v>135</v>
      </c>
      <c r="Z7" s="345" t="s">
        <v>136</v>
      </c>
      <c r="AA7" s="345" t="s">
        <v>137</v>
      </c>
      <c r="AB7" s="345" t="s">
        <v>138</v>
      </c>
      <c r="AC7" s="346"/>
      <c r="AD7" s="346" t="s">
        <v>139</v>
      </c>
      <c r="AG7" s="182"/>
    </row>
    <row r="8" spans="1:33" ht="21.75" customHeight="1">
      <c r="A8" s="1"/>
      <c r="B8" s="34">
        <v>1</v>
      </c>
      <c r="C8" s="47" t="s">
        <v>219</v>
      </c>
      <c r="D8" s="92"/>
      <c r="E8" s="92"/>
      <c r="F8" s="92"/>
      <c r="G8" s="92"/>
      <c r="H8" s="97"/>
      <c r="I8" s="92"/>
      <c r="J8" s="102"/>
      <c r="K8" s="93"/>
      <c r="L8" s="93"/>
      <c r="M8" s="24" t="str">
        <f>IF(D8="", "", IF(H8=$D$21, 'Project Summary'!$L$132, IF(H8=$D$23, 'Project Summary'!$L$133, 'Project Summary'!$L$134)))</f>
        <v/>
      </c>
      <c r="N8" s="24" t="str">
        <f t="shared" ref="N8:N15" si="0">IFERROR(INDEX($K$21:$K$26,MATCH(H8,$D$21:$D$26,0)),"")</f>
        <v/>
      </c>
      <c r="O8" s="24" t="str">
        <f>IFERROR(INDEX($L$21:$L$26,MATCH(H8,$D$21:$D$26,0)),"")</f>
        <v/>
      </c>
      <c r="P8" s="24" t="str">
        <f>IFERROR(IF(H8=$D$21, VLOOKUP(I8, $E$21:$I$22, 2, FALSE), IF(H8=$D$23, VLOOKUP(I8, $E$23:$I$24, 2, FALSE), VLOOKUP(I8, $E$25:$I$26, 2, FALSE))), "")</f>
        <v/>
      </c>
      <c r="Q8" s="24" t="str">
        <f>IFERROR(IF(H8=$D$21, VLOOKUP(I8, $E$21:$I$22, 3, FALSE), IF(H8=$D$23, VLOOKUP(I8, $E$23:$I$24, 4, FALSE), VLOOKUP(I8, $E$25:$I$26, 5, FALSE))), "")</f>
        <v/>
      </c>
      <c r="R8" s="24" t="str">
        <f>IFERROR($D$30*$D$33*$D$31*$D$32*((((-0.156*P8)+0.734)^3)-0.04), "")</f>
        <v/>
      </c>
      <c r="S8" s="24" t="str">
        <f>IFERROR($D$30*$D$33*$D$31*$D$32*((((-0.156*Q8)+0.734)^3)-(4/100)), "")</f>
        <v/>
      </c>
      <c r="T8" s="24" t="str">
        <f>IFERROR((J8/P8)-$D$29-R8, "")</f>
        <v/>
      </c>
      <c r="U8" s="24" t="str">
        <f>IFERROR((J8/Q8)-$D$29-S8, "")</f>
        <v/>
      </c>
      <c r="V8" s="24" t="str">
        <f>IFERROR((((T8+$D$29+R8)-(U8+$D$29+S8))*IF(G8=$E$34, $D$34, $D$35)), "")</f>
        <v/>
      </c>
      <c r="W8" s="24" t="str">
        <f>IFERROR(V8*$D$36, "")</f>
        <v/>
      </c>
      <c r="X8" s="56">
        <f>IF(G8=$P$21, $Q$21, $Q$22)</f>
        <v>7.1</v>
      </c>
      <c r="Y8" s="56" t="str">
        <f>IFERROR(ROUND(AA8/8760,6),"")</f>
        <v/>
      </c>
      <c r="Z8" s="45" t="str">
        <f>IFERROR(ROUND(W8*K8,6), "")</f>
        <v/>
      </c>
      <c r="AA8" s="45" t="str">
        <f>IFERROR(ROUND(V8*K8,4), "")</f>
        <v/>
      </c>
      <c r="AB8" s="46">
        <f>IF(IF(D8="", "", IFERROR(IF(AA8&lt;0, "", (IF(H8=$D$21, $J$21, IF(H8=$D$23, $J$23, $J$25)))*K8), ""))&gt;K8*L8,K8*L8,IF(D8="", "", IFERROR(IF(AA8&lt;0, "", (IF(H8=$D$21, $J$21, IF(H8=$D$23, $J$23, $J$25)))*K8), "")))</f>
        <v>0</v>
      </c>
      <c r="AC8" s="24" t="str">
        <f>IF(D8="", "", IFERROR(IF(AA8&lt;0, "", (IF(H8=$D$21, $J$21, IF(H8=$D$23, $J$23, $J$25)))*K8), ""))</f>
        <v/>
      </c>
      <c r="AD8" s="24" t="str">
        <f>IF(K8="","",K8*L8)</f>
        <v/>
      </c>
      <c r="AE8" s="26"/>
      <c r="AG8" s="182"/>
    </row>
    <row r="9" spans="1:33" ht="21.75" customHeight="1">
      <c r="A9" s="1"/>
      <c r="B9" s="34">
        <v>2</v>
      </c>
      <c r="C9" s="47" t="s">
        <v>219</v>
      </c>
      <c r="D9" s="92"/>
      <c r="E9" s="92"/>
      <c r="F9" s="92"/>
      <c r="G9" s="92"/>
      <c r="H9" s="97"/>
      <c r="I9" s="92"/>
      <c r="J9" s="102"/>
      <c r="K9" s="93"/>
      <c r="L9" s="93"/>
      <c r="M9" s="24" t="str">
        <f>IF(D9="", "", IF(H9=$D$21, 'Project Summary'!$L$132, IF(H9=$D$23, 'Project Summary'!$L$133, 'Project Summary'!$L$134)))</f>
        <v/>
      </c>
      <c r="N9" s="24" t="str">
        <f t="shared" si="0"/>
        <v/>
      </c>
      <c r="O9" s="24"/>
      <c r="P9" s="24" t="str">
        <f t="shared" ref="P9:P15" si="1">IFERROR(IF(H9=$D$21, VLOOKUP(I9, $E$21:$I$22, 2, FALSE), IF(H9=$D$23, VLOOKUP(I9, $E$23:$I$24, 2, FALSE), VLOOKUP(I9, $E$25:$I$26, 2, FALSE))), "")</f>
        <v/>
      </c>
      <c r="Q9" s="24" t="str">
        <f t="shared" ref="Q9:Q15" si="2">IFERROR(IF(H9=$D$21, VLOOKUP(I9, $E$21:$I$22, 3, FALSE), IF(H9=$D$23, VLOOKUP(I9, $E$23:$I$24, 4, FALSE), VLOOKUP(I9, $E$25:$I$26, 5, FALSE))), "")</f>
        <v/>
      </c>
      <c r="R9" s="24" t="str">
        <f t="shared" ref="R9:R15" si="3">IFERROR($D$30*$D$33*$D$31*$D$32*((((-0.156*P9)+0.734)^3)-0.04), "")</f>
        <v/>
      </c>
      <c r="S9" s="24" t="str">
        <f t="shared" ref="S9:S15" si="4">IFERROR($D$30*$D$33*$D$31*$D$32*((((-0.156*Q9)+0.734)^3)-(4/100)), "")</f>
        <v/>
      </c>
      <c r="T9" s="24" t="str">
        <f t="shared" ref="T9:T15" si="5">IFERROR((J9/P9)-$D$29-R9, "")</f>
        <v/>
      </c>
      <c r="U9" s="24" t="str">
        <f t="shared" ref="U9:U15" si="6">IFERROR((J9/Q9)-$D$29-S9, "")</f>
        <v/>
      </c>
      <c r="V9" s="24" t="str">
        <f t="shared" ref="V9:V15" si="7">IFERROR((((T9+$D$29+R9)-(U9+$D$29+S9))*IF(G9=$E$34, $D$34, $D$35)), "")</f>
        <v/>
      </c>
      <c r="W9" s="24" t="str">
        <f t="shared" ref="W9:W15" si="8">IFERROR(V9*$D$36, "")</f>
        <v/>
      </c>
      <c r="X9" s="56">
        <f t="shared" ref="X9:X15" si="9">IF(G9=$P$21, $Q$21, $Q$22)</f>
        <v>7.1</v>
      </c>
      <c r="Y9" s="56" t="str">
        <f t="shared" ref="Y9:Y15" si="10">IFERROR(ROUND(AA9/8760,6),"")</f>
        <v/>
      </c>
      <c r="Z9" s="45" t="str">
        <f t="shared" ref="Z9:Z15" si="11">IFERROR(ROUND(W9*K9,6), "")</f>
        <v/>
      </c>
      <c r="AA9" s="45" t="str">
        <f t="shared" ref="AA9:AA15" si="12">IFERROR(ROUND(V9*K9,4), "")</f>
        <v/>
      </c>
      <c r="AB9" s="46">
        <f>IF(IF(D9="", "", IFERROR(IF(AA9&lt;0, "", (IF(H9=$D$21, $J$21, IF(H9=$D$23, $J$23, $J$25)))*K9), ""))&gt;K9*L9,K9*L9,IF(D9="", "", IFERROR(IF(AA9&lt;0, "", (IF(H9=$D$21, $J$21, IF(H9=$D$23, $J$23, $J$25)))*K9), "")))</f>
        <v>0</v>
      </c>
      <c r="AC9" s="24"/>
      <c r="AD9" s="24"/>
      <c r="AE9" s="26"/>
      <c r="AG9" s="182"/>
    </row>
    <row r="10" spans="1:33" ht="21.75" customHeight="1">
      <c r="A10" s="1"/>
      <c r="B10" s="34">
        <v>3</v>
      </c>
      <c r="C10" s="47" t="s">
        <v>219</v>
      </c>
      <c r="D10" s="92"/>
      <c r="E10" s="92"/>
      <c r="F10" s="92"/>
      <c r="G10" s="92"/>
      <c r="H10" s="97"/>
      <c r="I10" s="92"/>
      <c r="J10" s="102"/>
      <c r="K10" s="93"/>
      <c r="L10" s="93"/>
      <c r="M10" s="24" t="str">
        <f>IF(D10="", "", IF(H10=$D$21, 'Project Summary'!$L$132, IF(H10=$D$23, 'Project Summary'!$L$133, 'Project Summary'!$L$134)))</f>
        <v/>
      </c>
      <c r="N10" s="24" t="str">
        <f t="shared" si="0"/>
        <v/>
      </c>
      <c r="O10" s="24"/>
      <c r="P10" s="24" t="str">
        <f t="shared" si="1"/>
        <v/>
      </c>
      <c r="Q10" s="24" t="str">
        <f t="shared" si="2"/>
        <v/>
      </c>
      <c r="R10" s="24" t="str">
        <f t="shared" si="3"/>
        <v/>
      </c>
      <c r="S10" s="24" t="str">
        <f t="shared" si="4"/>
        <v/>
      </c>
      <c r="T10" s="24" t="str">
        <f t="shared" si="5"/>
        <v/>
      </c>
      <c r="U10" s="24" t="str">
        <f t="shared" si="6"/>
        <v/>
      </c>
      <c r="V10" s="24" t="str">
        <f t="shared" si="7"/>
        <v/>
      </c>
      <c r="W10" s="24" t="str">
        <f t="shared" si="8"/>
        <v/>
      </c>
      <c r="X10" s="56">
        <f t="shared" si="9"/>
        <v>7.1</v>
      </c>
      <c r="Y10" s="56" t="str">
        <f t="shared" si="10"/>
        <v/>
      </c>
      <c r="Z10" s="45" t="str">
        <f t="shared" si="11"/>
        <v/>
      </c>
      <c r="AA10" s="45" t="str">
        <f t="shared" si="12"/>
        <v/>
      </c>
      <c r="AB10" s="46">
        <f>IF(IF(D10="", "", IFERROR(IF(AA10&lt;0, "", (IF(H10=$D$21, $J$21, IF(H10=$D$23, $J$23, $J$25)))*K10), ""))&gt;K10*L10,K10*L10,IF(D10="", "", IFERROR(IF(AA10&lt;0, "", (IF(H10=$D$21, $J$21, IF(H10=$D$23, $J$23, $J$25)))*K10), "")))</f>
        <v>0</v>
      </c>
      <c r="AC10" s="24"/>
      <c r="AD10" s="24"/>
      <c r="AE10" s="26"/>
      <c r="AG10" s="182"/>
    </row>
    <row r="11" spans="1:33" ht="21.75" customHeight="1">
      <c r="A11" s="1"/>
      <c r="B11" s="34">
        <v>4</v>
      </c>
      <c r="C11" s="47" t="s">
        <v>219</v>
      </c>
      <c r="D11" s="92"/>
      <c r="E11" s="92"/>
      <c r="F11" s="92"/>
      <c r="G11" s="92"/>
      <c r="H11" s="97"/>
      <c r="I11" s="92"/>
      <c r="J11" s="102"/>
      <c r="K11" s="93"/>
      <c r="L11" s="93"/>
      <c r="M11" s="24" t="str">
        <f>IF(D11="", "", IF(H11=$D$21, 'Project Summary'!$L$132, IF(H11=$D$23, 'Project Summary'!$L$133, 'Project Summary'!$L$134)))</f>
        <v/>
      </c>
      <c r="N11" s="24" t="str">
        <f t="shared" si="0"/>
        <v/>
      </c>
      <c r="O11" s="24"/>
      <c r="P11" s="24" t="str">
        <f t="shared" si="1"/>
        <v/>
      </c>
      <c r="Q11" s="24" t="str">
        <f t="shared" si="2"/>
        <v/>
      </c>
      <c r="R11" s="24" t="str">
        <f t="shared" si="3"/>
        <v/>
      </c>
      <c r="S11" s="24" t="str">
        <f t="shared" si="4"/>
        <v/>
      </c>
      <c r="T11" s="24" t="str">
        <f t="shared" si="5"/>
        <v/>
      </c>
      <c r="U11" s="24" t="str">
        <f t="shared" si="6"/>
        <v/>
      </c>
      <c r="V11" s="24" t="str">
        <f t="shared" si="7"/>
        <v/>
      </c>
      <c r="W11" s="24" t="str">
        <f t="shared" si="8"/>
        <v/>
      </c>
      <c r="X11" s="56">
        <f t="shared" si="9"/>
        <v>7.1</v>
      </c>
      <c r="Y11" s="56" t="str">
        <f t="shared" si="10"/>
        <v/>
      </c>
      <c r="Z11" s="45" t="str">
        <f t="shared" si="11"/>
        <v/>
      </c>
      <c r="AA11" s="45" t="str">
        <f t="shared" si="12"/>
        <v/>
      </c>
      <c r="AB11" s="46">
        <f>IF(IF(D11="", "", IFERROR(IF(AA11&lt;0, "", (IF(H11=$D$21, $J$21, IF(H11=$D$23, $J$23, $J$25)))*K11), ""))&gt;K11*L11,K11*L11,IF(D11="", "", IFERROR(IF(AA11&lt;0, "", (IF(H11=$D$21, $J$21, IF(H11=$D$23, $J$23, $J$25)))*K11), "")))</f>
        <v>0</v>
      </c>
      <c r="AC11" s="24"/>
      <c r="AD11" s="24"/>
      <c r="AE11" s="26"/>
      <c r="AG11" s="182"/>
    </row>
    <row r="12" spans="1:33" ht="21.75" customHeight="1">
      <c r="A12" s="1"/>
      <c r="B12" s="34">
        <v>5</v>
      </c>
      <c r="C12" s="47" t="s">
        <v>219</v>
      </c>
      <c r="D12" s="92"/>
      <c r="E12" s="92"/>
      <c r="F12" s="92"/>
      <c r="G12" s="92"/>
      <c r="H12" s="97"/>
      <c r="I12" s="92"/>
      <c r="J12" s="102"/>
      <c r="K12" s="93"/>
      <c r="L12" s="93"/>
      <c r="M12" s="24" t="str">
        <f>IF(D12="", "", IF(H12=$D$21, 'Project Summary'!$L$132, IF(H12=$D$23, 'Project Summary'!$L$133, 'Project Summary'!$L$134)))</f>
        <v/>
      </c>
      <c r="N12" s="24" t="str">
        <f t="shared" si="0"/>
        <v/>
      </c>
      <c r="O12" s="24"/>
      <c r="P12" s="24" t="str">
        <f t="shared" si="1"/>
        <v/>
      </c>
      <c r="Q12" s="24" t="str">
        <f t="shared" si="2"/>
        <v/>
      </c>
      <c r="R12" s="24" t="str">
        <f t="shared" si="3"/>
        <v/>
      </c>
      <c r="S12" s="24" t="str">
        <f t="shared" si="4"/>
        <v/>
      </c>
      <c r="T12" s="24" t="str">
        <f t="shared" si="5"/>
        <v/>
      </c>
      <c r="U12" s="24" t="str">
        <f t="shared" si="6"/>
        <v/>
      </c>
      <c r="V12" s="24" t="str">
        <f t="shared" si="7"/>
        <v/>
      </c>
      <c r="W12" s="24" t="str">
        <f t="shared" si="8"/>
        <v/>
      </c>
      <c r="X12" s="56">
        <f t="shared" si="9"/>
        <v>7.1</v>
      </c>
      <c r="Y12" s="56" t="str">
        <f t="shared" si="10"/>
        <v/>
      </c>
      <c r="Z12" s="45" t="str">
        <f t="shared" si="11"/>
        <v/>
      </c>
      <c r="AA12" s="45" t="str">
        <f t="shared" si="12"/>
        <v/>
      </c>
      <c r="AB12" s="46">
        <f>IF(IF(D12="", "", IFERROR(IF(AA12&lt;0, "", (IF(H12=$D$21, $J$21, IF(H12=$D$23, $J$23, $J$25)))*K12), ""))&gt;K12*L12,K12*L12,IF(D12="", "", IFERROR(IF(AA12&lt;0, "", (IF(H12=$D$21, $J$21, IF(H12=$D$23, $J$23, $J$25)))*K12), "")))</f>
        <v>0</v>
      </c>
      <c r="AC12" s="24"/>
      <c r="AD12" s="24"/>
      <c r="AE12" s="26"/>
      <c r="AG12" s="182"/>
    </row>
    <row r="13" spans="1:33" ht="21.75" customHeight="1">
      <c r="A13" s="1"/>
      <c r="B13" s="34">
        <v>6</v>
      </c>
      <c r="C13" s="47" t="s">
        <v>219</v>
      </c>
      <c r="D13" s="92"/>
      <c r="E13" s="92"/>
      <c r="F13" s="92"/>
      <c r="G13" s="92"/>
      <c r="H13" s="97"/>
      <c r="I13" s="92"/>
      <c r="J13" s="102"/>
      <c r="K13" s="93"/>
      <c r="L13" s="93"/>
      <c r="M13" s="24" t="str">
        <f>IF(D13="", "", IF(H13=$D$21, 'Project Summary'!$L$132, IF(H13=$D$23, 'Project Summary'!$L$133, 'Project Summary'!$L$134)))</f>
        <v/>
      </c>
      <c r="N13" s="24" t="str">
        <f t="shared" si="0"/>
        <v/>
      </c>
      <c r="O13" s="24"/>
      <c r="P13" s="24" t="str">
        <f t="shared" si="1"/>
        <v/>
      </c>
      <c r="Q13" s="24" t="str">
        <f t="shared" si="2"/>
        <v/>
      </c>
      <c r="R13" s="24" t="str">
        <f t="shared" si="3"/>
        <v/>
      </c>
      <c r="S13" s="24" t="str">
        <f t="shared" si="4"/>
        <v/>
      </c>
      <c r="T13" s="24" t="str">
        <f t="shared" si="5"/>
        <v/>
      </c>
      <c r="U13" s="24" t="str">
        <f t="shared" si="6"/>
        <v/>
      </c>
      <c r="V13" s="24" t="str">
        <f t="shared" si="7"/>
        <v/>
      </c>
      <c r="W13" s="24" t="str">
        <f t="shared" si="8"/>
        <v/>
      </c>
      <c r="X13" s="56">
        <f t="shared" si="9"/>
        <v>7.1</v>
      </c>
      <c r="Y13" s="56" t="str">
        <f t="shared" si="10"/>
        <v/>
      </c>
      <c r="Z13" s="45" t="str">
        <f t="shared" si="11"/>
        <v/>
      </c>
      <c r="AA13" s="45" t="str">
        <f t="shared" si="12"/>
        <v/>
      </c>
      <c r="AB13" s="46">
        <f>IF(IF(D13="", "", IFERROR(IF(AA13&lt;0, "", (IF(H13=$D$21, $J$21, IF(H13=$D$23, $J$23, $J$25)))*K13), ""))&gt;K13*L13,K13*L13,IF(D13="", "", IFERROR(IF(AA13&lt;0, "", (IF(H13=$D$21, $J$21, IF(H13=$D$23, $J$23, $J$25)))*K13), "")))</f>
        <v>0</v>
      </c>
      <c r="AC13" s="24"/>
      <c r="AD13" s="24"/>
      <c r="AE13" s="26"/>
      <c r="AG13" s="182"/>
    </row>
    <row r="14" spans="1:33" ht="21.75" customHeight="1">
      <c r="A14" s="1"/>
      <c r="B14" s="34">
        <v>7</v>
      </c>
      <c r="C14" s="47" t="s">
        <v>219</v>
      </c>
      <c r="D14" s="92"/>
      <c r="E14" s="92"/>
      <c r="F14" s="92"/>
      <c r="G14" s="92"/>
      <c r="H14" s="97"/>
      <c r="I14" s="92"/>
      <c r="J14" s="102"/>
      <c r="K14" s="93"/>
      <c r="L14" s="93"/>
      <c r="M14" s="24" t="str">
        <f>IF(D14="", "", IF(H14=$D$21, 'Project Summary'!$L$132, IF(H14=$D$23, 'Project Summary'!$L$133, 'Project Summary'!$L$134)))</f>
        <v/>
      </c>
      <c r="N14" s="24" t="str">
        <f t="shared" si="0"/>
        <v/>
      </c>
      <c r="O14" s="24"/>
      <c r="P14" s="24" t="str">
        <f t="shared" si="1"/>
        <v/>
      </c>
      <c r="Q14" s="24" t="str">
        <f t="shared" si="2"/>
        <v/>
      </c>
      <c r="R14" s="24" t="str">
        <f t="shared" si="3"/>
        <v/>
      </c>
      <c r="S14" s="24" t="str">
        <f t="shared" si="4"/>
        <v/>
      </c>
      <c r="T14" s="24" t="str">
        <f t="shared" si="5"/>
        <v/>
      </c>
      <c r="U14" s="24" t="str">
        <f t="shared" si="6"/>
        <v/>
      </c>
      <c r="V14" s="24" t="str">
        <f t="shared" si="7"/>
        <v/>
      </c>
      <c r="W14" s="24" t="str">
        <f t="shared" si="8"/>
        <v/>
      </c>
      <c r="X14" s="56">
        <f t="shared" si="9"/>
        <v>7.1</v>
      </c>
      <c r="Y14" s="56" t="str">
        <f t="shared" si="10"/>
        <v/>
      </c>
      <c r="Z14" s="45" t="str">
        <f t="shared" si="11"/>
        <v/>
      </c>
      <c r="AA14" s="45" t="str">
        <f t="shared" si="12"/>
        <v/>
      </c>
      <c r="AB14" s="46">
        <f>IF(IF(D14="", "", IFERROR(IF(AA14&lt;0, "", (IF(H14=$D$21, $J$21, IF(H14=$D$23, $J$23, $J$25)))*K14), ""))&gt;K14*L14,K14*L14,IF(D14="", "", IFERROR(IF(AA14&lt;0, "", (IF(H14=$D$21, $J$21, IF(H14=$D$23, $J$23, $J$25)))*K14), "")))</f>
        <v>0</v>
      </c>
      <c r="AC14" s="24"/>
      <c r="AD14" s="24"/>
      <c r="AE14" s="26"/>
      <c r="AG14" s="182"/>
    </row>
    <row r="15" spans="1:33" ht="21.75" customHeight="1">
      <c r="A15" s="1"/>
      <c r="B15" s="34">
        <v>8</v>
      </c>
      <c r="C15" s="47" t="s">
        <v>219</v>
      </c>
      <c r="D15" s="92"/>
      <c r="E15" s="92"/>
      <c r="F15" s="92"/>
      <c r="G15" s="92"/>
      <c r="H15" s="97"/>
      <c r="I15" s="92"/>
      <c r="J15" s="102"/>
      <c r="K15" s="93"/>
      <c r="L15" s="93"/>
      <c r="M15" s="24" t="str">
        <f>IF(D15="", "", IF(H15=$D$21, 'Project Summary'!$L$132, IF(H15=$D$23, 'Project Summary'!$L$133, 'Project Summary'!$L$134)))</f>
        <v/>
      </c>
      <c r="N15" s="24" t="str">
        <f t="shared" si="0"/>
        <v/>
      </c>
      <c r="O15" s="24"/>
      <c r="P15" s="24" t="str">
        <f t="shared" si="1"/>
        <v/>
      </c>
      <c r="Q15" s="24" t="str">
        <f t="shared" si="2"/>
        <v/>
      </c>
      <c r="R15" s="24" t="str">
        <f t="shared" si="3"/>
        <v/>
      </c>
      <c r="S15" s="24" t="str">
        <f t="shared" si="4"/>
        <v/>
      </c>
      <c r="T15" s="24" t="str">
        <f t="shared" si="5"/>
        <v/>
      </c>
      <c r="U15" s="24" t="str">
        <f t="shared" si="6"/>
        <v/>
      </c>
      <c r="V15" s="24" t="str">
        <f t="shared" si="7"/>
        <v/>
      </c>
      <c r="W15" s="24" t="str">
        <f t="shared" si="8"/>
        <v/>
      </c>
      <c r="X15" s="56">
        <f t="shared" si="9"/>
        <v>7.1</v>
      </c>
      <c r="Y15" s="56" t="str">
        <f t="shared" si="10"/>
        <v/>
      </c>
      <c r="Z15" s="45" t="str">
        <f t="shared" si="11"/>
        <v/>
      </c>
      <c r="AA15" s="45" t="str">
        <f t="shared" si="12"/>
        <v/>
      </c>
      <c r="AB15" s="46">
        <f>IF(IF(D15="", "", IFERROR(IF(AA15&lt;0, "", (IF(H15=$D$21, $J$21, IF(H15=$D$23, $J$23, $J$25)))*K15), ""))&gt;K15*L15,K15*L15,IF(D15="", "", IFERROR(IF(AA15&lt;0, "", (IF(H15=$D$21, $J$21, IF(H15=$D$23, $J$23, $J$25)))*K15), "")))</f>
        <v>0</v>
      </c>
      <c r="AC15" s="24"/>
      <c r="AD15" s="24"/>
      <c r="AE15" s="26"/>
      <c r="AG15" s="182"/>
    </row>
    <row r="16" spans="1:33" hidden="1">
      <c r="A16" s="8"/>
      <c r="C16" s="9"/>
      <c r="D16" s="10"/>
      <c r="E16" s="9"/>
      <c r="F16" s="11"/>
      <c r="G16" s="11"/>
      <c r="H16" s="11"/>
      <c r="I16" s="11"/>
      <c r="J16" s="11"/>
      <c r="K16" s="11"/>
      <c r="L16" s="11"/>
      <c r="M16" s="11"/>
      <c r="N16" s="11"/>
      <c r="O16" s="11"/>
      <c r="P16" s="11"/>
      <c r="Q16" s="11"/>
      <c r="R16" s="9"/>
      <c r="S16" s="12"/>
      <c r="T16" s="11"/>
      <c r="AG16" s="182"/>
    </row>
    <row r="17" spans="1:33" hidden="1">
      <c r="A17" s="8"/>
      <c r="C17" s="9"/>
      <c r="D17" s="10"/>
      <c r="E17" s="9"/>
      <c r="F17" s="11"/>
      <c r="G17" s="11"/>
      <c r="H17" s="11"/>
      <c r="I17" s="11"/>
      <c r="J17" s="11"/>
      <c r="K17" s="153">
        <f>SUM(K8:K15)</f>
        <v>0</v>
      </c>
      <c r="L17" s="153"/>
      <c r="M17" s="11"/>
      <c r="N17" s="11"/>
      <c r="O17" s="11"/>
      <c r="P17" s="11"/>
      <c r="Q17" s="11"/>
      <c r="R17" s="9"/>
      <c r="S17" s="12"/>
      <c r="T17" s="11"/>
      <c r="U17" s="10"/>
      <c r="V17" s="10"/>
      <c r="W17" s="10"/>
      <c r="X17" s="10"/>
      <c r="Y17" s="10"/>
      <c r="Z17" s="144">
        <f>SUM(Z8:Z15)</f>
        <v>0</v>
      </c>
      <c r="AA17" s="144">
        <f>SUM(AA8:AA15)</f>
        <v>0</v>
      </c>
      <c r="AB17" s="144">
        <f>SUM(AB8:AB15)</f>
        <v>0</v>
      </c>
      <c r="AC17" s="144"/>
      <c r="AD17" s="144"/>
      <c r="AG17" s="182"/>
    </row>
    <row r="18" spans="1:33" hidden="1">
      <c r="A18" s="8"/>
      <c r="AG18" s="182"/>
    </row>
    <row r="19" spans="1:33" hidden="1">
      <c r="A19" s="8"/>
      <c r="F19" s="214" t="s">
        <v>220</v>
      </c>
      <c r="H19" t="s">
        <v>221</v>
      </c>
      <c r="I19" t="s">
        <v>222</v>
      </c>
      <c r="AG19" s="182"/>
    </row>
    <row r="20" spans="1:33" ht="18" hidden="1">
      <c r="A20" s="8"/>
      <c r="C20" s="13" t="s">
        <v>91</v>
      </c>
      <c r="D20" s="14" t="s">
        <v>90</v>
      </c>
      <c r="E20" s="13" t="s">
        <v>204</v>
      </c>
      <c r="F20" s="13" t="s">
        <v>223</v>
      </c>
      <c r="G20" s="13" t="s">
        <v>224</v>
      </c>
      <c r="H20" s="21" t="s">
        <v>225</v>
      </c>
      <c r="I20" s="21" t="s">
        <v>226</v>
      </c>
      <c r="J20" s="21" t="s">
        <v>30</v>
      </c>
      <c r="K20" s="27" t="s">
        <v>103</v>
      </c>
      <c r="L20" s="348" t="s">
        <v>104</v>
      </c>
      <c r="P20" s="94" t="s">
        <v>227</v>
      </c>
      <c r="Q20" s="94" t="s">
        <v>113</v>
      </c>
      <c r="AG20" s="182"/>
    </row>
    <row r="21" spans="1:33" ht="30.75" hidden="1" customHeight="1">
      <c r="A21" s="8"/>
      <c r="C21" s="15" t="s">
        <v>146</v>
      </c>
      <c r="D21" s="15" t="s">
        <v>228</v>
      </c>
      <c r="E21" s="3" t="s">
        <v>229</v>
      </c>
      <c r="F21" s="213">
        <v>1.35</v>
      </c>
      <c r="G21" s="4">
        <v>2.2000000000000002</v>
      </c>
      <c r="H21" s="4">
        <f t="shared" ref="H21:H26" si="13">G21*1.1</f>
        <v>2.4200000000000004</v>
      </c>
      <c r="I21" s="4">
        <f t="shared" ref="I21:I26" si="14">G21*1.2</f>
        <v>2.64</v>
      </c>
      <c r="J21" s="16">
        <v>50</v>
      </c>
      <c r="K21" t="s">
        <v>230</v>
      </c>
      <c r="L21" s="17" t="s">
        <v>231</v>
      </c>
      <c r="M21" s="17"/>
      <c r="N21" s="17"/>
      <c r="O21" s="17"/>
      <c r="P21" s="95" t="s">
        <v>232</v>
      </c>
      <c r="Q21" s="96">
        <v>11.3</v>
      </c>
      <c r="T21" s="17"/>
      <c r="U21" s="17"/>
      <c r="V21" s="17"/>
      <c r="W21" s="17"/>
      <c r="X21" s="17"/>
      <c r="Y21" s="17"/>
      <c r="AG21" s="182"/>
    </row>
    <row r="22" spans="1:33" ht="30.75" hidden="1" customHeight="1">
      <c r="A22" s="8"/>
      <c r="C22" s="15" t="s">
        <v>147</v>
      </c>
      <c r="D22" s="15" t="s">
        <v>228</v>
      </c>
      <c r="E22" s="3" t="s">
        <v>233</v>
      </c>
      <c r="F22" s="213">
        <v>2</v>
      </c>
      <c r="G22" s="4">
        <v>2.2000000000000002</v>
      </c>
      <c r="H22" s="4">
        <f t="shared" si="13"/>
        <v>2.4200000000000004</v>
      </c>
      <c r="I22" s="4">
        <f t="shared" si="14"/>
        <v>2.64</v>
      </c>
      <c r="J22" s="16">
        <v>50</v>
      </c>
      <c r="K22" t="s">
        <v>230</v>
      </c>
      <c r="L22" s="17" t="s">
        <v>231</v>
      </c>
      <c r="M22" s="17"/>
      <c r="N22" s="17"/>
      <c r="O22" s="17"/>
      <c r="P22" s="95" t="s">
        <v>234</v>
      </c>
      <c r="Q22" s="96">
        <v>7.1</v>
      </c>
      <c r="T22" s="17"/>
      <c r="U22" s="17"/>
      <c r="V22" s="17"/>
      <c r="W22" s="17"/>
      <c r="X22" s="17"/>
      <c r="Y22" s="17"/>
      <c r="AG22" s="182"/>
    </row>
    <row r="23" spans="1:33" ht="30.75" hidden="1" customHeight="1">
      <c r="A23" s="8"/>
      <c r="D23" s="15" t="s">
        <v>235</v>
      </c>
      <c r="E23" s="3" t="s">
        <v>229</v>
      </c>
      <c r="F23" s="213">
        <v>1.35</v>
      </c>
      <c r="G23" s="4">
        <v>2.2000000000000002</v>
      </c>
      <c r="H23" s="4">
        <f t="shared" si="13"/>
        <v>2.4200000000000004</v>
      </c>
      <c r="I23" s="4">
        <f t="shared" si="14"/>
        <v>2.64</v>
      </c>
      <c r="J23" s="16">
        <v>75</v>
      </c>
      <c r="K23" t="s">
        <v>230</v>
      </c>
      <c r="L23" s="17" t="s">
        <v>231</v>
      </c>
      <c r="M23" s="17"/>
      <c r="N23" s="17"/>
      <c r="O23" s="17"/>
      <c r="P23" s="17"/>
      <c r="Q23" s="17"/>
      <c r="T23" s="17"/>
      <c r="U23" s="208"/>
      <c r="V23" s="17"/>
      <c r="W23" s="17"/>
      <c r="X23" s="17"/>
      <c r="Y23" s="17"/>
      <c r="AG23" s="182"/>
    </row>
    <row r="24" spans="1:33" ht="30.75" hidden="1" customHeight="1">
      <c r="A24" s="8"/>
      <c r="D24" s="15" t="s">
        <v>235</v>
      </c>
      <c r="E24" s="3" t="s">
        <v>233</v>
      </c>
      <c r="F24" s="213">
        <v>2</v>
      </c>
      <c r="G24" s="4">
        <v>2.2000000000000002</v>
      </c>
      <c r="H24" s="4">
        <f t="shared" si="13"/>
        <v>2.4200000000000004</v>
      </c>
      <c r="I24" s="4">
        <f t="shared" si="14"/>
        <v>2.64</v>
      </c>
      <c r="J24" s="16">
        <v>75</v>
      </c>
      <c r="K24" t="s">
        <v>230</v>
      </c>
      <c r="L24" s="17" t="s">
        <v>231</v>
      </c>
      <c r="M24" s="17"/>
      <c r="N24" s="17"/>
      <c r="O24" s="17"/>
      <c r="P24" s="17"/>
      <c r="Q24" s="17"/>
      <c r="T24" s="17"/>
      <c r="U24" s="17"/>
      <c r="V24" s="17"/>
      <c r="W24" s="17"/>
      <c r="X24" s="17"/>
      <c r="Y24" s="17"/>
      <c r="AG24" s="182"/>
    </row>
    <row r="25" spans="1:33" ht="30.75" hidden="1" customHeight="1">
      <c r="A25" s="8"/>
      <c r="D25" s="15" t="s">
        <v>236</v>
      </c>
      <c r="E25" s="3" t="s">
        <v>229</v>
      </c>
      <c r="F25" s="213">
        <v>1.35</v>
      </c>
      <c r="G25" s="4">
        <v>2.2000000000000002</v>
      </c>
      <c r="H25" s="4">
        <f t="shared" si="13"/>
        <v>2.4200000000000004</v>
      </c>
      <c r="I25" s="4">
        <f t="shared" si="14"/>
        <v>2.64</v>
      </c>
      <c r="J25" s="16">
        <v>50</v>
      </c>
      <c r="K25" s="17"/>
      <c r="L25" s="17" t="s">
        <v>237</v>
      </c>
      <c r="M25" s="17"/>
      <c r="N25" s="17"/>
      <c r="O25" s="17"/>
      <c r="P25" s="17"/>
      <c r="Q25" s="17"/>
      <c r="T25" s="17"/>
      <c r="U25" s="17"/>
      <c r="V25" s="17"/>
      <c r="W25" s="17"/>
      <c r="X25" s="17"/>
      <c r="Y25" s="17"/>
      <c r="AG25" s="182"/>
    </row>
    <row r="26" spans="1:33" ht="30.75" hidden="1" customHeight="1">
      <c r="A26" s="8"/>
      <c r="D26" s="15" t="s">
        <v>236</v>
      </c>
      <c r="E26" s="3" t="s">
        <v>233</v>
      </c>
      <c r="F26" s="213">
        <v>2</v>
      </c>
      <c r="G26" s="4">
        <v>2.2000000000000002</v>
      </c>
      <c r="H26" s="4">
        <f t="shared" si="13"/>
        <v>2.4200000000000004</v>
      </c>
      <c r="I26" s="4">
        <f t="shared" si="14"/>
        <v>2.64</v>
      </c>
      <c r="J26" s="16">
        <v>50</v>
      </c>
      <c r="K26" s="17"/>
      <c r="L26" s="17" t="s">
        <v>237</v>
      </c>
      <c r="M26" s="17"/>
      <c r="N26" s="17"/>
      <c r="O26" s="17"/>
      <c r="P26" s="17"/>
      <c r="Q26" s="17"/>
      <c r="T26" s="17"/>
      <c r="U26" s="17"/>
      <c r="V26" s="17"/>
      <c r="W26" s="17"/>
      <c r="X26" s="17"/>
      <c r="Y26" s="17"/>
      <c r="AG26" s="182"/>
    </row>
    <row r="27" spans="1:33" hidden="1">
      <c r="A27" s="8"/>
      <c r="G27" s="27"/>
      <c r="H27" s="348"/>
      <c r="I27" s="17"/>
      <c r="J27" s="17"/>
      <c r="K27" s="17"/>
      <c r="L27" s="17"/>
      <c r="M27" s="17"/>
      <c r="N27" s="17"/>
      <c r="O27" s="17"/>
      <c r="P27" s="17"/>
      <c r="Q27" s="17"/>
      <c r="T27" s="17"/>
      <c r="U27" s="17"/>
      <c r="V27" s="17"/>
      <c r="W27" s="17"/>
      <c r="X27" s="17"/>
      <c r="Y27" s="17"/>
      <c r="AG27" s="182"/>
    </row>
    <row r="28" spans="1:33" hidden="1">
      <c r="A28" s="8"/>
      <c r="C28" s="13" t="s">
        <v>238</v>
      </c>
      <c r="D28" s="13" t="s">
        <v>239</v>
      </c>
      <c r="F28" s="103" t="s">
        <v>228</v>
      </c>
      <c r="H28" s="17"/>
      <c r="I28" s="17"/>
      <c r="J28" s="17"/>
      <c r="K28" s="17"/>
      <c r="L28" s="17"/>
      <c r="M28" s="17"/>
      <c r="N28" s="17"/>
      <c r="O28" s="17"/>
      <c r="P28" s="17"/>
      <c r="Q28" s="17"/>
      <c r="T28" s="17"/>
      <c r="U28" s="17"/>
      <c r="V28" s="17"/>
      <c r="W28" s="17"/>
      <c r="X28" s="17"/>
      <c r="Y28" s="17"/>
      <c r="AG28" s="182"/>
    </row>
    <row r="29" spans="1:33" ht="45" hidden="1">
      <c r="A29" s="8"/>
      <c r="C29" s="18" t="s">
        <v>240</v>
      </c>
      <c r="D29" s="215">
        <v>0.14000000000000001</v>
      </c>
      <c r="F29" s="103" t="s">
        <v>235</v>
      </c>
      <c r="H29" s="17"/>
      <c r="I29" s="17"/>
      <c r="J29" s="17"/>
      <c r="K29" s="17"/>
      <c r="L29" s="17"/>
      <c r="M29" s="17"/>
      <c r="N29" s="17"/>
      <c r="O29" s="17"/>
      <c r="P29" s="17"/>
      <c r="Q29" s="17"/>
      <c r="T29" s="17"/>
      <c r="U29" s="17"/>
      <c r="V29" s="17"/>
      <c r="W29" s="17"/>
      <c r="X29" s="17"/>
      <c r="Y29" s="17"/>
      <c r="AG29" s="182"/>
    </row>
    <row r="30" spans="1:33" hidden="1">
      <c r="A30" s="8"/>
      <c r="C30" s="20" t="s">
        <v>241</v>
      </c>
      <c r="D30" s="19">
        <v>0.52</v>
      </c>
      <c r="F30" s="103" t="s">
        <v>236</v>
      </c>
      <c r="H30" s="17"/>
      <c r="I30" s="17"/>
      <c r="J30" s="17"/>
      <c r="K30" s="17"/>
      <c r="L30" s="17"/>
      <c r="M30" s="17"/>
      <c r="N30" s="17"/>
      <c r="O30" s="17"/>
      <c r="P30" s="17"/>
      <c r="Q30" s="17"/>
      <c r="T30" s="17"/>
      <c r="U30" s="17"/>
      <c r="V30" s="17"/>
      <c r="W30" s="17"/>
      <c r="X30" s="17"/>
      <c r="Y30" s="17"/>
      <c r="AG30" s="182"/>
    </row>
    <row r="31" spans="1:33" ht="60" hidden="1">
      <c r="A31" s="8"/>
      <c r="C31" s="20" t="s">
        <v>242</v>
      </c>
      <c r="D31" s="19">
        <v>0.5</v>
      </c>
      <c r="H31" s="17"/>
      <c r="I31" s="17"/>
      <c r="J31" s="17"/>
      <c r="K31" s="17"/>
      <c r="L31" s="17"/>
      <c r="M31" s="17"/>
      <c r="N31" s="17"/>
      <c r="O31" s="17"/>
      <c r="P31" s="17"/>
      <c r="Q31" s="17"/>
      <c r="T31" s="17"/>
      <c r="U31" s="17"/>
      <c r="V31" s="17"/>
      <c r="W31" s="17"/>
      <c r="X31" s="17"/>
      <c r="Y31" s="17"/>
      <c r="AG31" s="182"/>
    </row>
    <row r="32" spans="1:33" ht="45" hidden="1">
      <c r="A32" s="8"/>
      <c r="C32" s="18" t="s">
        <v>243</v>
      </c>
      <c r="D32" s="215">
        <v>0.91</v>
      </c>
      <c r="H32" s="17"/>
      <c r="I32" s="17"/>
      <c r="J32" s="17"/>
      <c r="K32" s="17"/>
      <c r="L32" s="17"/>
      <c r="M32" s="17"/>
      <c r="N32" s="17"/>
      <c r="O32" s="17"/>
      <c r="P32" s="17"/>
      <c r="Q32" s="17"/>
      <c r="S32" s="17"/>
      <c r="T32" s="17"/>
      <c r="U32" s="17"/>
      <c r="V32" s="17"/>
      <c r="W32" s="17"/>
      <c r="X32" s="17"/>
      <c r="Y32" s="17"/>
      <c r="Z32" s="17"/>
      <c r="AG32" s="182"/>
    </row>
    <row r="33" spans="1:33" ht="30" hidden="1">
      <c r="A33" s="8"/>
      <c r="C33" s="18" t="s">
        <v>244</v>
      </c>
      <c r="D33" s="215">
        <v>14.1</v>
      </c>
      <c r="H33" s="17"/>
      <c r="I33" s="17"/>
      <c r="J33" s="17"/>
      <c r="K33" s="17"/>
      <c r="L33" s="17"/>
      <c r="M33" s="17"/>
      <c r="N33" s="17"/>
      <c r="O33" s="17"/>
      <c r="P33" s="17"/>
      <c r="Q33" s="17"/>
      <c r="S33" s="17"/>
      <c r="T33" s="17"/>
      <c r="U33" s="17"/>
      <c r="V33" s="17"/>
      <c r="W33" s="17"/>
      <c r="X33" s="17"/>
      <c r="Y33" s="17"/>
      <c r="Z33" s="17"/>
      <c r="AG33" s="182"/>
    </row>
    <row r="34" spans="1:33" ht="30" hidden="1">
      <c r="A34" s="8"/>
      <c r="C34" s="20" t="s">
        <v>245</v>
      </c>
      <c r="D34" s="216">
        <v>1074</v>
      </c>
      <c r="E34" s="21" t="s">
        <v>232</v>
      </c>
      <c r="H34" s="17"/>
      <c r="I34" s="17"/>
      <c r="J34" s="17"/>
      <c r="K34" s="17"/>
      <c r="L34" s="17"/>
      <c r="M34" s="17"/>
      <c r="N34" s="17"/>
      <c r="O34" s="17"/>
      <c r="P34" s="17"/>
      <c r="Q34" s="17"/>
      <c r="S34" s="17"/>
      <c r="T34" s="17"/>
      <c r="U34" s="17"/>
      <c r="V34" s="17"/>
      <c r="W34" s="17"/>
      <c r="X34" s="17"/>
      <c r="Y34" s="17"/>
      <c r="Z34" s="17"/>
      <c r="AG34" s="182"/>
    </row>
    <row r="35" spans="1:33" ht="30" hidden="1">
      <c r="A35" s="8"/>
      <c r="C35" s="20" t="s">
        <v>246</v>
      </c>
      <c r="D35" s="216">
        <v>1483</v>
      </c>
      <c r="E35" s="21" t="s">
        <v>234</v>
      </c>
      <c r="H35" s="10"/>
      <c r="I35" s="10"/>
      <c r="J35" s="10"/>
      <c r="K35" s="10"/>
      <c r="L35" s="10"/>
      <c r="M35" s="10"/>
      <c r="N35" s="10"/>
      <c r="O35" s="10"/>
      <c r="P35" s="10"/>
      <c r="Q35" s="10"/>
      <c r="R35" s="22"/>
      <c r="S35" s="22"/>
      <c r="T35" s="10"/>
      <c r="U35" s="10"/>
      <c r="V35" s="10"/>
      <c r="W35" s="10"/>
      <c r="X35" s="10"/>
      <c r="Y35" s="10"/>
      <c r="Z35" s="22"/>
      <c r="AG35" s="182"/>
    </row>
    <row r="36" spans="1:33" hidden="1">
      <c r="A36" s="8"/>
      <c r="C36" s="20" t="s">
        <v>247</v>
      </c>
      <c r="D36" s="3">
        <v>2.3819999999999999E-4</v>
      </c>
      <c r="AG36" s="182"/>
    </row>
    <row r="37" spans="1:33" hidden="1">
      <c r="A37" s="8"/>
      <c r="AG37" s="182"/>
    </row>
    <row r="38" spans="1:33" hidden="1">
      <c r="A38" s="8"/>
      <c r="AG38" s="182"/>
    </row>
    <row r="39" spans="1:33" hidden="1">
      <c r="A39" s="8"/>
      <c r="AG39" s="182"/>
    </row>
    <row r="40" spans="1:33" hidden="1">
      <c r="A40" s="8"/>
      <c r="C40" s="457" t="s">
        <v>248</v>
      </c>
      <c r="D40" s="457"/>
      <c r="E40" s="458"/>
      <c r="F40" s="458"/>
      <c r="G40" s="458"/>
      <c r="H40" s="458"/>
      <c r="I40" s="458"/>
      <c r="AG40" s="182"/>
    </row>
    <row r="41" spans="1:33" hidden="1">
      <c r="A41" s="8"/>
      <c r="C41" s="458"/>
      <c r="D41" s="458"/>
      <c r="E41" s="458"/>
      <c r="F41" s="458"/>
      <c r="G41" s="458"/>
      <c r="H41" s="458"/>
      <c r="I41" s="458"/>
      <c r="AG41" s="182"/>
    </row>
    <row r="42" spans="1:33" hidden="1">
      <c r="A42" s="8"/>
      <c r="C42" s="458"/>
      <c r="D42" s="458"/>
      <c r="E42" s="458"/>
      <c r="F42" s="458"/>
      <c r="G42" s="458"/>
      <c r="H42" s="458"/>
      <c r="I42" s="458"/>
      <c r="AG42" s="182"/>
    </row>
    <row r="43" spans="1:33" hidden="1">
      <c r="A43" s="8"/>
      <c r="C43" s="458"/>
      <c r="D43" s="458"/>
      <c r="E43" s="458"/>
      <c r="F43" s="458"/>
      <c r="G43" s="458"/>
      <c r="H43" s="458"/>
      <c r="I43" s="458"/>
      <c r="AG43" s="182"/>
    </row>
    <row r="44" spans="1:33" hidden="1">
      <c r="A44" s="8"/>
      <c r="C44" s="458"/>
      <c r="D44" s="458"/>
      <c r="E44" s="458"/>
      <c r="F44" s="458"/>
      <c r="G44" s="458"/>
      <c r="H44" s="458"/>
      <c r="I44" s="458"/>
      <c r="AG44" s="182"/>
    </row>
    <row r="45" spans="1:33" hidden="1">
      <c r="A45" s="8"/>
      <c r="C45" s="458"/>
      <c r="D45" s="458"/>
      <c r="E45" s="458"/>
      <c r="F45" s="458"/>
      <c r="G45" s="458"/>
      <c r="H45" s="458"/>
      <c r="I45" s="458"/>
      <c r="AG45" s="182"/>
    </row>
    <row r="46" spans="1:33" hidden="1">
      <c r="A46" s="8"/>
      <c r="C46" s="458"/>
      <c r="D46" s="458"/>
      <c r="E46" s="458"/>
      <c r="F46" s="458"/>
      <c r="G46" s="458"/>
      <c r="H46" s="458"/>
      <c r="I46" s="458"/>
      <c r="AG46" s="182"/>
    </row>
    <row r="47" spans="1:33" hidden="1">
      <c r="A47" s="8"/>
      <c r="C47" s="458"/>
      <c r="D47" s="458"/>
      <c r="E47" s="458"/>
      <c r="F47" s="458"/>
      <c r="G47" s="458"/>
      <c r="H47" s="458"/>
      <c r="I47" s="458"/>
      <c r="AG47" s="182"/>
    </row>
    <row r="48" spans="1:33" hidden="1">
      <c r="A48" s="8"/>
      <c r="C48" s="458"/>
      <c r="D48" s="458"/>
      <c r="E48" s="458"/>
      <c r="F48" s="458"/>
      <c r="G48" s="458"/>
      <c r="H48" s="458"/>
      <c r="I48" s="458"/>
      <c r="AG48" s="182"/>
    </row>
    <row r="49" spans="1:33" hidden="1">
      <c r="A49" s="8"/>
      <c r="C49" s="458"/>
      <c r="D49" s="458"/>
      <c r="E49" s="458"/>
      <c r="F49" s="458"/>
      <c r="G49" s="458"/>
      <c r="H49" s="458"/>
      <c r="I49" s="458"/>
      <c r="AG49" s="182"/>
    </row>
    <row r="50" spans="1:33" hidden="1">
      <c r="A50" s="8"/>
      <c r="C50" s="458"/>
      <c r="D50" s="458"/>
      <c r="E50" s="458"/>
      <c r="F50" s="458"/>
      <c r="G50" s="458"/>
      <c r="H50" s="458"/>
      <c r="I50" s="458"/>
      <c r="AG50" s="182"/>
    </row>
    <row r="51" spans="1:33" hidden="1">
      <c r="A51" s="8"/>
      <c r="C51" s="458"/>
      <c r="D51" s="458"/>
      <c r="E51" s="458"/>
      <c r="F51" s="458"/>
      <c r="G51" s="458"/>
      <c r="H51" s="458"/>
      <c r="I51" s="458"/>
      <c r="AG51" s="182"/>
    </row>
    <row r="52" spans="1:33" hidden="1">
      <c r="A52" s="8"/>
      <c r="C52" s="458"/>
      <c r="D52" s="458"/>
      <c r="E52" s="458"/>
      <c r="F52" s="458"/>
      <c r="G52" s="458"/>
      <c r="H52" s="458"/>
      <c r="I52" s="458"/>
      <c r="AG52" s="182"/>
    </row>
    <row r="53" spans="1:33" hidden="1">
      <c r="A53" s="8"/>
      <c r="C53" s="458"/>
      <c r="D53" s="458"/>
      <c r="E53" s="458"/>
      <c r="F53" s="458"/>
      <c r="G53" s="458"/>
      <c r="H53" s="458"/>
      <c r="I53" s="458"/>
      <c r="AG53" s="182"/>
    </row>
    <row r="54" spans="1:33" hidden="1">
      <c r="A54" s="8"/>
      <c r="C54" s="458"/>
      <c r="D54" s="458"/>
      <c r="E54" s="458"/>
      <c r="F54" s="458"/>
      <c r="G54" s="458"/>
      <c r="H54" s="458"/>
      <c r="I54" s="458"/>
      <c r="AG54" s="182"/>
    </row>
    <row r="55" spans="1:33">
      <c r="A55" s="182"/>
      <c r="B55" s="182"/>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G55" s="182"/>
    </row>
    <row r="56" spans="1:33">
      <c r="A56" s="18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G56" s="182"/>
    </row>
    <row r="57" spans="1:33" s="132" customFormat="1"/>
    <row r="58" spans="1:33" s="132" customFormat="1"/>
    <row r="59" spans="1:33" s="132" customFormat="1"/>
    <row r="60" spans="1:33" s="132" customFormat="1"/>
    <row r="61" spans="1:33" s="132" customFormat="1"/>
    <row r="62" spans="1:33" s="132" customFormat="1"/>
    <row r="63" spans="1:33" s="132" customFormat="1"/>
    <row r="64" spans="1:33"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row r="576" s="132" customFormat="1"/>
    <row r="577" s="132" customFormat="1"/>
    <row r="578" s="132" customFormat="1"/>
    <row r="579" s="132" customFormat="1"/>
    <row r="580" s="132" customFormat="1"/>
    <row r="581" s="132" customFormat="1"/>
    <row r="582" s="132" customFormat="1"/>
    <row r="583" s="132" customFormat="1"/>
    <row r="584" s="132" customFormat="1"/>
    <row r="585" s="132" customFormat="1"/>
    <row r="586" s="132" customFormat="1"/>
    <row r="587" s="132" customFormat="1"/>
    <row r="588" s="132" customFormat="1"/>
    <row r="589" s="132" customFormat="1"/>
    <row r="590" s="132" customFormat="1"/>
    <row r="591" s="132" customFormat="1"/>
    <row r="592" s="132" customFormat="1"/>
    <row r="593" s="132" customFormat="1"/>
    <row r="594" s="132" customFormat="1"/>
    <row r="595" s="132" customFormat="1"/>
    <row r="596" s="132" customFormat="1"/>
    <row r="597" s="132" customFormat="1"/>
    <row r="598" s="132" customFormat="1"/>
    <row r="599" s="132" customFormat="1"/>
    <row r="600" s="132" customFormat="1"/>
    <row r="601" s="132" customFormat="1"/>
    <row r="602" s="132" customFormat="1"/>
    <row r="603" s="132" customFormat="1"/>
    <row r="604" s="132" customFormat="1"/>
    <row r="605" s="132" customFormat="1"/>
  </sheetData>
  <sheetProtection algorithmName="SHA-512" hashValue="3Cjd5KqnsyNbOx3OO5THokGkTeyq5FRAzT8hFnu7gILOGMJYlGCaJUT2wQ+tQa7Xh/1fhZ4/n0Zp2mkRSpEeug==" saltValue="j0Lu7bv4H2U167qyx8aUvg==" spinCount="100000" sheet="1" selectLockedCells="1"/>
  <mergeCells count="4">
    <mergeCell ref="B3:C3"/>
    <mergeCell ref="C40:I54"/>
    <mergeCell ref="D3:H4"/>
    <mergeCell ref="B2:AB2"/>
  </mergeCells>
  <conditionalFormatting sqref="P6:U7">
    <cfRule type="containsText" dxfId="10" priority="1" operator="containsText" text="#N/A">
      <formula>NOT(ISERROR(SEARCH("#N/A",P6)))</formula>
    </cfRule>
  </conditionalFormatting>
  <dataValidations count="4">
    <dataValidation type="list" allowBlank="1" showInputMessage="1" showErrorMessage="1" sqref="D8:D15" xr:uid="{00000000-0002-0000-0500-000000000000}">
      <formula1>$C$21:$C$22</formula1>
    </dataValidation>
    <dataValidation type="list" allowBlank="1" showInputMessage="1" showErrorMessage="1" sqref="G8:G15" xr:uid="{00000000-0002-0000-0500-000001000000}">
      <formula1>$E$34:$E$35</formula1>
    </dataValidation>
    <dataValidation type="list" allowBlank="1" showInputMessage="1" showErrorMessage="1" sqref="I8:I15" xr:uid="{00000000-0002-0000-0500-000002000000}">
      <formula1>$E$21:$E$22</formula1>
    </dataValidation>
    <dataValidation type="list" allowBlank="1" showInputMessage="1" showErrorMessage="1" sqref="H8:H15" xr:uid="{00000000-0002-0000-0500-000003000000}">
      <formula1>$F$28:$F$30</formula1>
    </dataValidation>
  </dataValidations>
  <hyperlinks>
    <hyperlink ref="B3" location="'Calculator Index'!A1" display="Return to Index" xr:uid="{00000000-0004-0000-0500-000000000000}"/>
    <hyperlink ref="B3:C3" location="'Project Summary'!A1" display="Return to Index" xr:uid="{00000000-0004-0000-0500-000001000000}"/>
  </hyperlink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Z470"/>
  <sheetViews>
    <sheetView zoomScale="90" zoomScaleNormal="90" workbookViewId="0">
      <selection activeCell="I8" sqref="G8:I8"/>
    </sheetView>
  </sheetViews>
  <sheetFormatPr defaultColWidth="9.140625" defaultRowHeight="15"/>
  <cols>
    <col min="1" max="1" width="3.7109375" customWidth="1"/>
    <col min="2" max="2" width="6.7109375" customWidth="1"/>
    <col min="3" max="3" width="24.85546875" customWidth="1"/>
    <col min="4" max="4" width="22.28515625" customWidth="1"/>
    <col min="5" max="5" width="35.7109375" customWidth="1"/>
    <col min="6" max="6" width="24.42578125" customWidth="1"/>
    <col min="7" max="7" width="50.140625" bestFit="1" customWidth="1"/>
    <col min="8" max="9" width="16.28515625" customWidth="1"/>
    <col min="10" max="10" width="27.85546875" customWidth="1"/>
    <col min="11" max="13" width="34.7109375" hidden="1" customWidth="1"/>
    <col min="14" max="14" width="18" hidden="1" customWidth="1"/>
    <col min="15" max="15" width="15.140625" hidden="1" customWidth="1"/>
    <col min="16" max="16" width="17.7109375" hidden="1" customWidth="1"/>
    <col min="17" max="18" width="15.7109375" hidden="1" customWidth="1"/>
    <col min="19" max="19" width="18.140625" customWidth="1"/>
    <col min="20" max="20" width="18.42578125" customWidth="1"/>
    <col min="21" max="21" width="16.7109375" customWidth="1"/>
    <col min="22" max="23" width="16.7109375" hidden="1" customWidth="1"/>
    <col min="24" max="24" width="16.140625" hidden="1" customWidth="1"/>
    <col min="25" max="25" width="9.140625" hidden="1" customWidth="1"/>
    <col min="26" max="26" width="6.7109375" customWidth="1"/>
    <col min="27" max="16384" width="9.140625" style="132"/>
  </cols>
  <sheetData>
    <row r="1" spans="1:26" ht="19.5" customHeight="1">
      <c r="A1" s="1"/>
      <c r="B1" s="1"/>
      <c r="C1" s="1"/>
      <c r="D1" s="1"/>
      <c r="E1" s="1"/>
      <c r="F1" s="1"/>
      <c r="G1" s="1"/>
      <c r="H1" s="1"/>
      <c r="I1" s="1"/>
      <c r="J1" s="1"/>
      <c r="K1" s="8"/>
      <c r="L1" s="8"/>
      <c r="M1" s="8"/>
      <c r="N1" s="8"/>
      <c r="O1" s="8"/>
      <c r="P1" s="8"/>
      <c r="Q1" s="8"/>
      <c r="R1" s="8"/>
      <c r="S1" s="1"/>
      <c r="T1" s="1"/>
      <c r="U1" s="1"/>
      <c r="V1" s="8"/>
      <c r="W1" s="8"/>
      <c r="X1" s="219" t="s">
        <v>84</v>
      </c>
      <c r="Y1" s="219" t="s">
        <v>249</v>
      </c>
      <c r="Z1" s="182"/>
    </row>
    <row r="2" spans="1:26" ht="27" customHeight="1">
      <c r="A2" s="1"/>
      <c r="B2" s="434" t="s">
        <v>250</v>
      </c>
      <c r="C2" s="435"/>
      <c r="D2" s="435"/>
      <c r="E2" s="435"/>
      <c r="F2" s="435"/>
      <c r="G2" s="435"/>
      <c r="H2" s="435"/>
      <c r="I2" s="435"/>
      <c r="J2" s="435"/>
      <c r="K2" s="435"/>
      <c r="L2" s="435"/>
      <c r="M2" s="435"/>
      <c r="N2" s="435"/>
      <c r="O2" s="435"/>
      <c r="P2" s="435"/>
      <c r="Q2" s="435"/>
      <c r="R2" s="435"/>
      <c r="S2" s="435"/>
      <c r="T2" s="435"/>
      <c r="U2" s="435"/>
      <c r="V2" s="326"/>
      <c r="W2" s="326"/>
      <c r="X2" s="8"/>
      <c r="Y2" s="8"/>
      <c r="Z2" s="182"/>
    </row>
    <row r="3" spans="1:26" ht="23.25" customHeight="1">
      <c r="A3" s="1"/>
      <c r="B3" s="442" t="s">
        <v>87</v>
      </c>
      <c r="C3" s="443"/>
      <c r="D3" s="444" t="s">
        <v>251</v>
      </c>
      <c r="E3" s="444"/>
      <c r="F3" s="444"/>
      <c r="G3" s="444"/>
      <c r="H3" s="1"/>
      <c r="I3" s="1"/>
      <c r="J3" s="1"/>
      <c r="K3" s="8"/>
      <c r="L3" s="8"/>
      <c r="M3" s="8"/>
      <c r="N3" s="8"/>
      <c r="O3" s="8"/>
      <c r="P3" s="8"/>
      <c r="Q3" s="8"/>
      <c r="R3" s="8"/>
      <c r="S3" s="1"/>
      <c r="T3" s="1"/>
      <c r="U3" s="1"/>
      <c r="V3" s="8"/>
      <c r="W3" s="8"/>
      <c r="X3" s="8"/>
      <c r="Y3" s="8"/>
      <c r="Z3" s="182"/>
    </row>
    <row r="4" spans="1:26" ht="12.75" customHeight="1">
      <c r="A4" s="1"/>
      <c r="B4" s="1"/>
      <c r="C4" s="1"/>
      <c r="D4" s="444"/>
      <c r="E4" s="444"/>
      <c r="F4" s="444"/>
      <c r="G4" s="444"/>
      <c r="H4" s="1"/>
      <c r="I4" s="1"/>
      <c r="J4" s="1"/>
      <c r="K4" s="8"/>
      <c r="L4" s="8"/>
      <c r="M4" s="8"/>
      <c r="N4" s="8"/>
      <c r="O4" s="8"/>
      <c r="P4" s="8"/>
      <c r="Q4" s="8"/>
      <c r="R4" s="8"/>
      <c r="S4" s="1"/>
      <c r="T4" s="1"/>
      <c r="U4" s="1"/>
      <c r="V4" s="8"/>
      <c r="W4" s="8"/>
      <c r="X4" s="8"/>
      <c r="Y4" s="8"/>
      <c r="Z4" s="182"/>
    </row>
    <row r="5" spans="1:26" ht="12.75" customHeight="1">
      <c r="A5" s="1"/>
      <c r="B5" s="1"/>
      <c r="C5" s="1"/>
      <c r="D5" s="1"/>
      <c r="E5" s="1"/>
      <c r="F5" s="1"/>
      <c r="G5" s="1"/>
      <c r="H5" s="1"/>
      <c r="I5" s="1"/>
      <c r="J5" s="1"/>
      <c r="K5" s="8"/>
      <c r="L5" s="8"/>
      <c r="M5" s="8"/>
      <c r="N5" s="8"/>
      <c r="O5" s="8"/>
      <c r="P5" s="8"/>
      <c r="Q5" s="8"/>
      <c r="R5" s="8"/>
      <c r="S5" s="1"/>
      <c r="T5" s="1"/>
      <c r="U5" s="1"/>
      <c r="V5" s="8"/>
      <c r="W5" s="8"/>
      <c r="X5" s="8"/>
      <c r="Y5" s="8"/>
      <c r="Z5" s="182"/>
    </row>
    <row r="6" spans="1:26" ht="42.75">
      <c r="A6" s="1"/>
      <c r="B6" s="23" t="s">
        <v>89</v>
      </c>
      <c r="C6" s="23" t="s">
        <v>90</v>
      </c>
      <c r="D6" s="23" t="s">
        <v>91</v>
      </c>
      <c r="E6" s="23" t="s">
        <v>92</v>
      </c>
      <c r="F6" s="23" t="s">
        <v>93</v>
      </c>
      <c r="G6" s="23" t="s">
        <v>252</v>
      </c>
      <c r="H6" s="23" t="s">
        <v>27</v>
      </c>
      <c r="I6" s="23" t="s">
        <v>101</v>
      </c>
      <c r="J6" s="23" t="s">
        <v>253</v>
      </c>
      <c r="K6" s="23" t="s">
        <v>102</v>
      </c>
      <c r="L6" s="23" t="s">
        <v>103</v>
      </c>
      <c r="M6" s="23" t="s">
        <v>104</v>
      </c>
      <c r="N6" s="23" t="s">
        <v>254</v>
      </c>
      <c r="O6" s="23" t="s">
        <v>255</v>
      </c>
      <c r="P6" s="23" t="s">
        <v>256</v>
      </c>
      <c r="Q6" s="23" t="s">
        <v>113</v>
      </c>
      <c r="R6" s="23" t="s">
        <v>114</v>
      </c>
      <c r="S6" s="23" t="s">
        <v>115</v>
      </c>
      <c r="T6" s="23" t="s">
        <v>116</v>
      </c>
      <c r="U6" s="23" t="s">
        <v>30</v>
      </c>
      <c r="V6" s="343" t="s">
        <v>117</v>
      </c>
      <c r="W6" s="343" t="s">
        <v>257</v>
      </c>
      <c r="X6" s="44"/>
      <c r="Z6" s="182"/>
    </row>
    <row r="7" spans="1:26" s="342" customFormat="1" ht="24" hidden="1" customHeight="1">
      <c r="A7" s="337"/>
      <c r="B7" s="345" t="s">
        <v>122</v>
      </c>
      <c r="C7" s="345"/>
      <c r="D7" s="345" t="s">
        <v>179</v>
      </c>
      <c r="E7" s="345" t="s">
        <v>124</v>
      </c>
      <c r="F7" s="345" t="s">
        <v>180</v>
      </c>
      <c r="G7" s="345" t="s">
        <v>258</v>
      </c>
      <c r="H7" s="345" t="s">
        <v>27</v>
      </c>
      <c r="I7" s="345" t="s">
        <v>133</v>
      </c>
      <c r="J7" s="345" t="s">
        <v>259</v>
      </c>
      <c r="K7" s="345"/>
      <c r="L7" s="345" t="s">
        <v>134</v>
      </c>
      <c r="M7" s="345"/>
      <c r="N7" s="345"/>
      <c r="O7" s="345"/>
      <c r="P7" s="345"/>
      <c r="Q7" s="345"/>
      <c r="R7" s="345" t="s">
        <v>135</v>
      </c>
      <c r="S7" s="345" t="s">
        <v>136</v>
      </c>
      <c r="T7" s="345" t="s">
        <v>137</v>
      </c>
      <c r="U7" s="345" t="s">
        <v>138</v>
      </c>
      <c r="V7" s="346" t="s">
        <v>139</v>
      </c>
      <c r="W7" s="346"/>
      <c r="X7" s="339"/>
      <c r="Y7" s="338"/>
      <c r="Z7" s="341"/>
    </row>
    <row r="8" spans="1:26" ht="21" customHeight="1">
      <c r="A8" s="1"/>
      <c r="B8" s="34">
        <v>1</v>
      </c>
      <c r="C8" s="47" t="s">
        <v>34</v>
      </c>
      <c r="D8" s="92"/>
      <c r="E8" s="92"/>
      <c r="F8" s="92"/>
      <c r="G8" s="92"/>
      <c r="H8" s="93"/>
      <c r="I8" s="93"/>
      <c r="J8" s="98"/>
      <c r="K8" s="24" t="str">
        <f>IF(D8="", "", IF(OR(G8=$E$26, G8=$E$27), 'Project Summary'!$L$136, 'Project Summary'!$L$135))</f>
        <v/>
      </c>
      <c r="L8" s="24" t="e">
        <f t="shared" ref="L8:L15" si="0">INDEX($K$20:$K$21,MATCH(K8,$J$20:$J$21,0))</f>
        <v>#N/A</v>
      </c>
      <c r="M8" s="24" t="e">
        <f t="shared" ref="M8:M15" si="1">INDEX($L$20:$L$21,MATCH(K8,$J$20:$J$21,0))</f>
        <v>#N/A</v>
      </c>
      <c r="N8" s="24" t="e">
        <f>VLOOKUP(G8, $E$21:$H$27, 3, FALSE)</f>
        <v>#N/A</v>
      </c>
      <c r="O8" s="24" t="e">
        <f>IF(J8="", VLOOKUP(G8, $E$21:$H$27, 4, FALSE), J8)</f>
        <v>#N/A</v>
      </c>
      <c r="P8" s="63" t="e">
        <f t="shared" ref="P8:P15" si="2">VLOOKUP(G8, $E$21:$F$27, 2, FALSE)</f>
        <v>#N/A</v>
      </c>
      <c r="Q8" s="63">
        <f t="shared" ref="Q8:Q15" si="3">IF(OR(G8=$E$26, G8=$E$27), $C$29, $C$28)</f>
        <v>12</v>
      </c>
      <c r="R8" s="63" t="str">
        <f>IFERROR(ROUND(IF(OR(G8="",H8=""),"", (((((1/N8)-(1/O8/(1+IF(LEFT(K8,1)="H",0.2,0))))*IF(P8=$F$21, $O$20, $O$21))/$O$23))*H8),6),"")</f>
        <v/>
      </c>
      <c r="S8" s="329" t="str">
        <f>IFERROR(ROUND(IF(OR(G8="",H8=""),"", (((((1/N8)-(1/O8/(1+IF(LEFT(K8,1)="H",0.2,0))))*IF(P8=$F$21, $O$20, $O$21))/$O$23)*$O$24)*H8),6),"")</f>
        <v/>
      </c>
      <c r="T8" s="45" t="str">
        <f>IFERROR(ROUND(IF(OR(G8="",H8=""),"",($O$19*$O$22*IF(P8=$F$21,$O$20,$O$21)*((1/N8)-(1/O8)))*H8),4),"")</f>
        <v/>
      </c>
      <c r="U8" s="46" t="str">
        <f>IF(H8="","",IF(H8*I8&lt;H8*C24,H8*I8,H8*$C$24))</f>
        <v/>
      </c>
      <c r="V8" s="349" t="str">
        <f>IF(OR(G8="",H8="", T8&lt;0), "", (IF(OR(G8=$E$26,G8=$E$27), $C$25, $C$24)*H8))</f>
        <v/>
      </c>
      <c r="W8" s="349">
        <f t="shared" ref="W8:W15" si="4">H8*I8</f>
        <v>0</v>
      </c>
      <c r="X8" s="64"/>
      <c r="Z8" s="182"/>
    </row>
    <row r="9" spans="1:26" ht="21" customHeight="1">
      <c r="A9" s="1"/>
      <c r="B9" s="34">
        <v>2</v>
      </c>
      <c r="C9" s="47" t="s">
        <v>34</v>
      </c>
      <c r="D9" s="92"/>
      <c r="E9" s="92"/>
      <c r="F9" s="92"/>
      <c r="G9" s="92"/>
      <c r="H9" s="93"/>
      <c r="I9" s="93"/>
      <c r="J9" s="98"/>
      <c r="K9" s="24" t="str">
        <f>IF(D9="", "", IF(OR(G9=$E$26, G9=$E$27), 'Project Summary'!$L$136, 'Project Summary'!$L$135))</f>
        <v/>
      </c>
      <c r="L9" s="24" t="e">
        <f t="shared" si="0"/>
        <v>#N/A</v>
      </c>
      <c r="M9" s="24" t="e">
        <f t="shared" si="1"/>
        <v>#N/A</v>
      </c>
      <c r="N9" s="24" t="e">
        <f t="shared" ref="N9:N15" si="5">VLOOKUP(G9, $E$21:$H$27, 3, FALSE)</f>
        <v>#N/A</v>
      </c>
      <c r="O9" s="24" t="e">
        <f t="shared" ref="O9:O15" si="6">IF(J9="", VLOOKUP(G9, $E$21:$H$27, 4, FALSE), J9)</f>
        <v>#N/A</v>
      </c>
      <c r="P9" s="63" t="e">
        <f t="shared" si="2"/>
        <v>#N/A</v>
      </c>
      <c r="Q9" s="63">
        <f t="shared" si="3"/>
        <v>12</v>
      </c>
      <c r="R9" s="63" t="str">
        <f t="shared" ref="R9:R15" si="7">IFERROR(ROUND(IF(OR(G9="",H9=""),"", (((((1/N9)-(1/O9/(1+IF(LEFT(K9,1)="H",0.2,0))))*IF(P9=$F$21, $O$20, $O$21))/$O$23))*H9),6),"")</f>
        <v/>
      </c>
      <c r="S9" s="329" t="str">
        <f t="shared" ref="S9:S15" si="8">IFERROR(ROUND(IF(OR(G9="",H9=""),"", (((((1/N9)-(1/O9/(1+IF(LEFT(K9,1)="H",0.2,0))))*IF(P9=$F$21, $O$20, $O$21))/$O$23)*$O$24)*H9),6),"")</f>
        <v/>
      </c>
      <c r="T9" s="45" t="str">
        <f t="shared" ref="T9:T15" si="9">IFERROR(ROUND(IF(OR(G9="",H9=""),"",($O$19*$O$22*IF(P9=$F$21,$O$20,$O$21)*((1/N9)-(1/O9)))*H9),4),"")</f>
        <v/>
      </c>
      <c r="U9" s="46" t="str">
        <f t="shared" ref="U9:U15" si="10">IF(OR(G9="",H9="", T9&lt;0), "", (IF(OR(G9=$E$26,G9=$E$27), $C$25, $C$24)*H9))</f>
        <v/>
      </c>
      <c r="V9" s="349"/>
      <c r="W9" s="349">
        <f t="shared" si="4"/>
        <v>0</v>
      </c>
      <c r="X9" s="64"/>
      <c r="Z9" s="182"/>
    </row>
    <row r="10" spans="1:26" ht="21" customHeight="1">
      <c r="A10" s="1"/>
      <c r="B10" s="34">
        <v>3</v>
      </c>
      <c r="C10" s="47" t="s">
        <v>34</v>
      </c>
      <c r="D10" s="92"/>
      <c r="E10" s="92"/>
      <c r="F10" s="92"/>
      <c r="G10" s="92"/>
      <c r="H10" s="93"/>
      <c r="I10" s="93"/>
      <c r="J10" s="98"/>
      <c r="K10" s="24" t="str">
        <f>IF(D10="", "", IF(OR(G10=$E$26, G10=$E$27), 'Project Summary'!$L$136, 'Project Summary'!$L$135))</f>
        <v/>
      </c>
      <c r="L10" s="24" t="e">
        <f t="shared" si="0"/>
        <v>#N/A</v>
      </c>
      <c r="M10" s="24" t="e">
        <f t="shared" si="1"/>
        <v>#N/A</v>
      </c>
      <c r="N10" s="24" t="e">
        <f t="shared" si="5"/>
        <v>#N/A</v>
      </c>
      <c r="O10" s="24" t="e">
        <f t="shared" si="6"/>
        <v>#N/A</v>
      </c>
      <c r="P10" s="63" t="e">
        <f t="shared" si="2"/>
        <v>#N/A</v>
      </c>
      <c r="Q10" s="63">
        <f t="shared" si="3"/>
        <v>12</v>
      </c>
      <c r="R10" s="63" t="str">
        <f t="shared" si="7"/>
        <v/>
      </c>
      <c r="S10" s="329" t="str">
        <f t="shared" si="8"/>
        <v/>
      </c>
      <c r="T10" s="45" t="str">
        <f t="shared" si="9"/>
        <v/>
      </c>
      <c r="U10" s="46" t="str">
        <f t="shared" si="10"/>
        <v/>
      </c>
      <c r="V10" s="349"/>
      <c r="W10" s="349">
        <f t="shared" si="4"/>
        <v>0</v>
      </c>
      <c r="X10" s="64"/>
      <c r="Z10" s="182"/>
    </row>
    <row r="11" spans="1:26" ht="21" customHeight="1">
      <c r="A11" s="1"/>
      <c r="B11" s="34">
        <v>4</v>
      </c>
      <c r="C11" s="47" t="s">
        <v>34</v>
      </c>
      <c r="D11" s="92"/>
      <c r="E11" s="92"/>
      <c r="F11" s="92"/>
      <c r="G11" s="92"/>
      <c r="H11" s="93"/>
      <c r="I11" s="93"/>
      <c r="J11" s="98"/>
      <c r="K11" s="24" t="str">
        <f>IF(D11="", "", IF(OR(G11=$E$26, G11=$E$27), 'Project Summary'!$L$136, 'Project Summary'!$L$135))</f>
        <v/>
      </c>
      <c r="L11" s="24" t="e">
        <f t="shared" si="0"/>
        <v>#N/A</v>
      </c>
      <c r="M11" s="24" t="e">
        <f t="shared" si="1"/>
        <v>#N/A</v>
      </c>
      <c r="N11" s="24" t="e">
        <f t="shared" si="5"/>
        <v>#N/A</v>
      </c>
      <c r="O11" s="24" t="e">
        <f t="shared" si="6"/>
        <v>#N/A</v>
      </c>
      <c r="P11" s="63" t="e">
        <f t="shared" si="2"/>
        <v>#N/A</v>
      </c>
      <c r="Q11" s="63">
        <f t="shared" si="3"/>
        <v>12</v>
      </c>
      <c r="R11" s="63" t="str">
        <f t="shared" si="7"/>
        <v/>
      </c>
      <c r="S11" s="329" t="str">
        <f t="shared" si="8"/>
        <v/>
      </c>
      <c r="T11" s="45" t="str">
        <f t="shared" si="9"/>
        <v/>
      </c>
      <c r="U11" s="46" t="str">
        <f t="shared" si="10"/>
        <v/>
      </c>
      <c r="V11" s="349"/>
      <c r="W11" s="349">
        <f t="shared" si="4"/>
        <v>0</v>
      </c>
      <c r="X11" s="64"/>
      <c r="Z11" s="182"/>
    </row>
    <row r="12" spans="1:26" ht="21" customHeight="1">
      <c r="A12" s="1"/>
      <c r="B12" s="34">
        <v>5</v>
      </c>
      <c r="C12" s="47" t="s">
        <v>34</v>
      </c>
      <c r="D12" s="92"/>
      <c r="E12" s="92"/>
      <c r="F12" s="92"/>
      <c r="G12" s="92"/>
      <c r="H12" s="93"/>
      <c r="I12" s="93"/>
      <c r="J12" s="98"/>
      <c r="K12" s="24" t="str">
        <f>IF(D12="", "", IF(OR(G12=$E$26, G12=$E$27), 'Project Summary'!$L$136, 'Project Summary'!$L$135))</f>
        <v/>
      </c>
      <c r="L12" s="24" t="e">
        <f t="shared" si="0"/>
        <v>#N/A</v>
      </c>
      <c r="M12" s="24" t="e">
        <f t="shared" si="1"/>
        <v>#N/A</v>
      </c>
      <c r="N12" s="24" t="e">
        <f t="shared" si="5"/>
        <v>#N/A</v>
      </c>
      <c r="O12" s="24" t="e">
        <f t="shared" si="6"/>
        <v>#N/A</v>
      </c>
      <c r="P12" s="63" t="e">
        <f t="shared" si="2"/>
        <v>#N/A</v>
      </c>
      <c r="Q12" s="63">
        <f t="shared" si="3"/>
        <v>12</v>
      </c>
      <c r="R12" s="63" t="str">
        <f t="shared" si="7"/>
        <v/>
      </c>
      <c r="S12" s="329" t="str">
        <f t="shared" si="8"/>
        <v/>
      </c>
      <c r="T12" s="45" t="str">
        <f t="shared" si="9"/>
        <v/>
      </c>
      <c r="U12" s="46" t="str">
        <f t="shared" si="10"/>
        <v/>
      </c>
      <c r="V12" s="349"/>
      <c r="W12" s="349">
        <f t="shared" si="4"/>
        <v>0</v>
      </c>
      <c r="X12" s="64"/>
      <c r="Z12" s="182"/>
    </row>
    <row r="13" spans="1:26" ht="21" customHeight="1">
      <c r="A13" s="1"/>
      <c r="B13" s="34">
        <v>6</v>
      </c>
      <c r="C13" s="47" t="s">
        <v>34</v>
      </c>
      <c r="D13" s="92"/>
      <c r="E13" s="92"/>
      <c r="F13" s="92"/>
      <c r="G13" s="92"/>
      <c r="H13" s="93"/>
      <c r="I13" s="93"/>
      <c r="J13" s="98"/>
      <c r="K13" s="24" t="str">
        <f>IF(D13="", "", IF(OR(G13=$E$26, G13=$E$27), 'Project Summary'!$L$136, 'Project Summary'!$L$135))</f>
        <v/>
      </c>
      <c r="L13" s="24" t="e">
        <f t="shared" si="0"/>
        <v>#N/A</v>
      </c>
      <c r="M13" s="24" t="e">
        <f t="shared" si="1"/>
        <v>#N/A</v>
      </c>
      <c r="N13" s="24" t="e">
        <f t="shared" si="5"/>
        <v>#N/A</v>
      </c>
      <c r="O13" s="24" t="e">
        <f t="shared" si="6"/>
        <v>#N/A</v>
      </c>
      <c r="P13" s="63" t="e">
        <f t="shared" si="2"/>
        <v>#N/A</v>
      </c>
      <c r="Q13" s="63">
        <f t="shared" si="3"/>
        <v>12</v>
      </c>
      <c r="R13" s="63" t="str">
        <f t="shared" si="7"/>
        <v/>
      </c>
      <c r="S13" s="329" t="str">
        <f t="shared" si="8"/>
        <v/>
      </c>
      <c r="T13" s="45" t="str">
        <f t="shared" si="9"/>
        <v/>
      </c>
      <c r="U13" s="46" t="str">
        <f t="shared" si="10"/>
        <v/>
      </c>
      <c r="V13" s="349"/>
      <c r="W13" s="349">
        <f t="shared" si="4"/>
        <v>0</v>
      </c>
      <c r="X13" s="64"/>
      <c r="Z13" s="182"/>
    </row>
    <row r="14" spans="1:26" ht="21" customHeight="1">
      <c r="A14" s="1"/>
      <c r="B14" s="34">
        <v>7</v>
      </c>
      <c r="C14" s="47" t="s">
        <v>34</v>
      </c>
      <c r="D14" s="92"/>
      <c r="E14" s="92"/>
      <c r="F14" s="92"/>
      <c r="G14" s="92"/>
      <c r="H14" s="93"/>
      <c r="I14" s="93"/>
      <c r="J14" s="98"/>
      <c r="K14" s="24" t="str">
        <f>IF(D14="", "", IF(OR(G14=$E$26, G14=$E$27), 'Project Summary'!$L$136, 'Project Summary'!$L$135))</f>
        <v/>
      </c>
      <c r="L14" s="24" t="e">
        <f t="shared" si="0"/>
        <v>#N/A</v>
      </c>
      <c r="M14" s="24" t="e">
        <f t="shared" si="1"/>
        <v>#N/A</v>
      </c>
      <c r="N14" s="24" t="e">
        <f t="shared" si="5"/>
        <v>#N/A</v>
      </c>
      <c r="O14" s="24" t="e">
        <f t="shared" si="6"/>
        <v>#N/A</v>
      </c>
      <c r="P14" s="63" t="e">
        <f t="shared" si="2"/>
        <v>#N/A</v>
      </c>
      <c r="Q14" s="63">
        <f t="shared" si="3"/>
        <v>12</v>
      </c>
      <c r="R14" s="63" t="str">
        <f t="shared" si="7"/>
        <v/>
      </c>
      <c r="S14" s="329" t="str">
        <f t="shared" si="8"/>
        <v/>
      </c>
      <c r="T14" s="45" t="str">
        <f t="shared" si="9"/>
        <v/>
      </c>
      <c r="U14" s="46" t="str">
        <f t="shared" si="10"/>
        <v/>
      </c>
      <c r="V14" s="349"/>
      <c r="W14" s="349">
        <f t="shared" si="4"/>
        <v>0</v>
      </c>
      <c r="X14" s="64"/>
      <c r="Z14" s="182"/>
    </row>
    <row r="15" spans="1:26" ht="21" customHeight="1">
      <c r="A15" s="1"/>
      <c r="B15" s="34">
        <v>8</v>
      </c>
      <c r="C15" s="47" t="s">
        <v>34</v>
      </c>
      <c r="D15" s="92"/>
      <c r="E15" s="92"/>
      <c r="F15" s="92"/>
      <c r="G15" s="92"/>
      <c r="H15" s="93"/>
      <c r="I15" s="93"/>
      <c r="J15" s="98"/>
      <c r="K15" s="24" t="str">
        <f>IF(D15="", "", IF(OR(G15=$E$26, G15=$E$27), 'Project Summary'!$L$136, 'Project Summary'!$L$135))</f>
        <v/>
      </c>
      <c r="L15" s="24" t="e">
        <f t="shared" si="0"/>
        <v>#N/A</v>
      </c>
      <c r="M15" s="24" t="e">
        <f t="shared" si="1"/>
        <v>#N/A</v>
      </c>
      <c r="N15" s="24" t="e">
        <f t="shared" si="5"/>
        <v>#N/A</v>
      </c>
      <c r="O15" s="24" t="e">
        <f t="shared" si="6"/>
        <v>#N/A</v>
      </c>
      <c r="P15" s="63" t="e">
        <f t="shared" si="2"/>
        <v>#N/A</v>
      </c>
      <c r="Q15" s="63">
        <f t="shared" si="3"/>
        <v>12</v>
      </c>
      <c r="R15" s="63" t="str">
        <f t="shared" si="7"/>
        <v/>
      </c>
      <c r="S15" s="329" t="str">
        <f t="shared" si="8"/>
        <v/>
      </c>
      <c r="T15" s="45" t="str">
        <f t="shared" si="9"/>
        <v/>
      </c>
      <c r="U15" s="46" t="str">
        <f t="shared" si="10"/>
        <v/>
      </c>
      <c r="V15" s="349"/>
      <c r="W15" s="349">
        <f t="shared" si="4"/>
        <v>0</v>
      </c>
      <c r="X15" s="64"/>
      <c r="Z15" s="182"/>
    </row>
    <row r="16" spans="1:26" ht="14.25" hidden="1" customHeight="1">
      <c r="A16" s="104"/>
      <c r="Z16" s="182"/>
    </row>
    <row r="17" spans="1:26" ht="14.25" hidden="1" customHeight="1">
      <c r="A17" s="104"/>
      <c r="H17" s="153">
        <f>SUM(H8:H15)</f>
        <v>0</v>
      </c>
      <c r="I17" s="153"/>
      <c r="J17" s="10"/>
      <c r="K17" s="10"/>
      <c r="L17" s="10"/>
      <c r="M17" s="10"/>
      <c r="N17" s="10"/>
      <c r="O17" s="10"/>
      <c r="P17" s="10"/>
      <c r="Q17" s="10"/>
      <c r="R17" s="144">
        <f>SUM(R8:R15)</f>
        <v>0</v>
      </c>
      <c r="S17" s="144">
        <f>SUM(S8:S15)</f>
        <v>0</v>
      </c>
      <c r="T17" s="144">
        <f>SUM(T8:T15)</f>
        <v>0</v>
      </c>
      <c r="U17" s="64">
        <f>SUM(U8:U15)</f>
        <v>0</v>
      </c>
      <c r="V17" s="64"/>
      <c r="W17" s="64"/>
      <c r="Z17" s="182"/>
    </row>
    <row r="18" spans="1:26" ht="14.25" hidden="1" customHeight="1">
      <c r="A18" s="104"/>
      <c r="Z18" s="182"/>
    </row>
    <row r="19" spans="1:26" ht="14.25" hidden="1" customHeight="1">
      <c r="A19" s="104"/>
      <c r="C19" s="13" t="s">
        <v>91</v>
      </c>
      <c r="H19" s="69" t="s">
        <v>260</v>
      </c>
      <c r="I19" s="334"/>
      <c r="N19" s="62" t="s">
        <v>261</v>
      </c>
      <c r="O19" s="216">
        <v>251</v>
      </c>
      <c r="P19" s="10"/>
      <c r="Z19" s="182"/>
    </row>
    <row r="20" spans="1:26" ht="14.25" hidden="1" customHeight="1">
      <c r="A20" s="104"/>
      <c r="C20" s="15" t="s">
        <v>146</v>
      </c>
      <c r="E20" s="60" t="s">
        <v>252</v>
      </c>
      <c r="F20" s="60" t="s">
        <v>262</v>
      </c>
      <c r="G20" s="60" t="s">
        <v>263</v>
      </c>
      <c r="H20" s="60" t="s">
        <v>264</v>
      </c>
      <c r="I20" s="335"/>
      <c r="J20" s="335" t="s">
        <v>58</v>
      </c>
      <c r="K20" t="s">
        <v>265</v>
      </c>
      <c r="L20" t="s">
        <v>266</v>
      </c>
      <c r="N20" s="62" t="s">
        <v>267</v>
      </c>
      <c r="O20" s="3">
        <v>8.4499999999999993</v>
      </c>
      <c r="P20" s="10"/>
      <c r="Z20" s="182"/>
    </row>
    <row r="21" spans="1:26" ht="14.25" hidden="1" customHeight="1">
      <c r="A21" s="104"/>
      <c r="C21" s="15" t="s">
        <v>147</v>
      </c>
      <c r="E21" s="58" t="s">
        <v>268</v>
      </c>
      <c r="F21" s="3" t="s">
        <v>269</v>
      </c>
      <c r="G21" s="3">
        <v>3.73</v>
      </c>
      <c r="H21" s="4">
        <v>3.93</v>
      </c>
      <c r="I21" s="99"/>
      <c r="J21" s="335" t="s">
        <v>58</v>
      </c>
      <c r="K21" t="s">
        <v>265</v>
      </c>
      <c r="L21" t="s">
        <v>266</v>
      </c>
      <c r="N21" s="62" t="s">
        <v>270</v>
      </c>
      <c r="O21" s="3">
        <v>3</v>
      </c>
      <c r="P21" s="10"/>
      <c r="Z21" s="182"/>
    </row>
    <row r="22" spans="1:26" ht="14.25" hidden="1" customHeight="1">
      <c r="A22" s="104"/>
      <c r="E22" s="58" t="s">
        <v>271</v>
      </c>
      <c r="F22" s="3" t="s">
        <v>269</v>
      </c>
      <c r="G22" s="3">
        <v>3.73</v>
      </c>
      <c r="H22" s="4">
        <v>3.93</v>
      </c>
      <c r="I22" s="99"/>
      <c r="N22" s="62" t="s">
        <v>272</v>
      </c>
      <c r="O22" s="216">
        <v>0.96</v>
      </c>
      <c r="P22" s="10"/>
      <c r="Z22" s="182"/>
    </row>
    <row r="23" spans="1:26" ht="14.25" hidden="1" customHeight="1">
      <c r="A23" s="104"/>
      <c r="C23" s="61" t="s">
        <v>30</v>
      </c>
      <c r="E23" s="58" t="s">
        <v>273</v>
      </c>
      <c r="F23" s="3" t="s">
        <v>194</v>
      </c>
      <c r="G23" s="3">
        <v>3.61</v>
      </c>
      <c r="H23" s="4">
        <v>3.8</v>
      </c>
      <c r="I23" s="99"/>
      <c r="N23" s="62" t="s">
        <v>274</v>
      </c>
      <c r="O23" s="3">
        <v>1</v>
      </c>
      <c r="P23" s="10"/>
      <c r="Z23" s="182"/>
    </row>
    <row r="24" spans="1:26" ht="14.25" hidden="1" customHeight="1">
      <c r="A24" s="104"/>
      <c r="C24" s="16">
        <v>50</v>
      </c>
      <c r="D24" t="s">
        <v>275</v>
      </c>
      <c r="E24" s="58" t="s">
        <v>276</v>
      </c>
      <c r="F24" s="3" t="s">
        <v>194</v>
      </c>
      <c r="G24" s="3">
        <v>3.61</v>
      </c>
      <c r="H24" s="4">
        <v>3.8</v>
      </c>
      <c r="I24" s="99"/>
      <c r="N24" s="62" t="s">
        <v>277</v>
      </c>
      <c r="O24" s="216">
        <v>2.9000000000000001E-2</v>
      </c>
      <c r="P24" s="10"/>
      <c r="Z24" s="182"/>
    </row>
    <row r="25" spans="1:26" ht="14.25" hidden="1" customHeight="1">
      <c r="A25" s="104"/>
      <c r="C25" s="16">
        <v>50</v>
      </c>
      <c r="D25" t="s">
        <v>278</v>
      </c>
      <c r="E25" s="58" t="s">
        <v>279</v>
      </c>
      <c r="F25" s="3" t="s">
        <v>194</v>
      </c>
      <c r="G25" s="3">
        <v>3.27</v>
      </c>
      <c r="H25" s="4">
        <v>3.45</v>
      </c>
      <c r="I25" s="99"/>
      <c r="Z25" s="182"/>
    </row>
    <row r="26" spans="1:26" ht="14.25" hidden="1" customHeight="1">
      <c r="A26" s="104"/>
      <c r="E26" s="58" t="s">
        <v>280</v>
      </c>
      <c r="F26" s="3" t="s">
        <v>269</v>
      </c>
      <c r="G26" s="3">
        <v>3.73</v>
      </c>
      <c r="H26" s="213">
        <v>4.5</v>
      </c>
      <c r="I26" s="317"/>
      <c r="Z26" s="182"/>
    </row>
    <row r="27" spans="1:26" ht="14.25" hidden="1" customHeight="1">
      <c r="A27" s="104"/>
      <c r="C27" s="61" t="s">
        <v>113</v>
      </c>
      <c r="E27" s="58" t="s">
        <v>281</v>
      </c>
      <c r="F27" s="3" t="s">
        <v>194</v>
      </c>
      <c r="G27" s="3">
        <v>3.27</v>
      </c>
      <c r="H27" s="213">
        <v>4.71</v>
      </c>
      <c r="I27" s="317"/>
      <c r="Z27" s="182"/>
    </row>
    <row r="28" spans="1:26" ht="14.25" hidden="1" customHeight="1">
      <c r="A28" s="104"/>
      <c r="C28" s="216">
        <v>12</v>
      </c>
      <c r="D28" t="s">
        <v>275</v>
      </c>
      <c r="Z28" s="182"/>
    </row>
    <row r="29" spans="1:26" ht="14.25" hidden="1" customHeight="1">
      <c r="A29" s="104"/>
      <c r="C29" s="216">
        <v>12</v>
      </c>
      <c r="D29" t="s">
        <v>278</v>
      </c>
      <c r="Z29" s="182"/>
    </row>
    <row r="30" spans="1:26">
      <c r="A30" s="182"/>
      <c r="B30" s="182"/>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row>
    <row r="31" spans="1:26">
      <c r="A31" s="182"/>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row>
    <row r="32" spans="1:26">
      <c r="A32" s="132"/>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row>
    <row r="33" s="132" customFormat="1"/>
    <row r="34" s="132" customFormat="1"/>
    <row r="35" s="132" customFormat="1"/>
    <row r="36" s="132" customFormat="1"/>
    <row r="37" s="132" customFormat="1"/>
    <row r="38" s="132" customFormat="1"/>
    <row r="39" s="132" customFormat="1"/>
    <row r="40" s="132" customFormat="1"/>
    <row r="41" s="132" customFormat="1"/>
    <row r="42" s="132" customFormat="1"/>
    <row r="43" s="132" customFormat="1"/>
    <row r="44" s="132" customFormat="1"/>
    <row r="45" s="132" customFormat="1"/>
    <row r="46" s="132" customFormat="1"/>
    <row r="47" s="132" customFormat="1"/>
    <row r="48" s="132" customFormat="1"/>
    <row r="49" s="132" customFormat="1"/>
    <row r="50" s="132" customFormat="1"/>
    <row r="51" s="132" customFormat="1"/>
    <row r="52" s="132" customFormat="1"/>
    <row r="53" s="132" customFormat="1"/>
    <row r="54" s="132" customFormat="1"/>
    <row r="55" s="132" customFormat="1"/>
    <row r="56" s="132" customFormat="1"/>
    <row r="57" s="132" customFormat="1"/>
    <row r="58" s="132" customFormat="1"/>
    <row r="59" s="132" customFormat="1"/>
    <row r="60" s="132" customFormat="1"/>
    <row r="61" s="132" customFormat="1"/>
    <row r="62" s="132" customFormat="1"/>
    <row r="63" s="132" customFormat="1"/>
    <row r="64"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sheetData>
  <sheetProtection algorithmName="SHA-512" hashValue="9icfJFyFdnUEapymTvj0C9vO45+nG6kbUgjhzIjWqjCrT6hoYRIZb+rWbCeOtUd//n7p1AL+Hv9ToNEkc5KLcQ==" saltValue="QYCtC+VaYiioZG/Ep1O4DQ==" spinCount="100000" sheet="1" selectLockedCells="1"/>
  <mergeCells count="3">
    <mergeCell ref="B3:C3"/>
    <mergeCell ref="D3:G4"/>
    <mergeCell ref="B2:U2"/>
  </mergeCells>
  <conditionalFormatting sqref="Q6:R7 J6:O7">
    <cfRule type="containsText" dxfId="9" priority="2" operator="containsText" text="#N/A">
      <formula>NOT(ISERROR(SEARCH("#N/A",J6)))</formula>
    </cfRule>
  </conditionalFormatting>
  <conditionalFormatting sqref="P6:P7">
    <cfRule type="containsText" dxfId="8" priority="1" operator="containsText" text="#N/A">
      <formula>NOT(ISERROR(SEARCH("#N/A",P6)))</formula>
    </cfRule>
  </conditionalFormatting>
  <dataValidations count="2">
    <dataValidation type="list" allowBlank="1" showInputMessage="1" showErrorMessage="1" sqref="D8:D15" xr:uid="{00000000-0002-0000-0600-000000000000}">
      <formula1>$C$20:$C$21</formula1>
    </dataValidation>
    <dataValidation type="list" allowBlank="1" showInputMessage="1" showErrorMessage="1" sqref="G8:G15" xr:uid="{00000000-0002-0000-0600-000001000000}">
      <formula1>$E$21:$E$27</formula1>
    </dataValidation>
  </dataValidations>
  <hyperlinks>
    <hyperlink ref="B3" location="'Calculator Index'!A1" display="Return to Index" xr:uid="{00000000-0004-0000-0600-000000000000}"/>
    <hyperlink ref="B3:C3" location="'Project Summary'!A1" display="Return to Index" xr:uid="{00000000-0004-0000-0600-000001000000}"/>
  </hyperlink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X758"/>
  <sheetViews>
    <sheetView zoomScale="85" zoomScaleNormal="85" workbookViewId="0">
      <selection activeCell="D8" sqref="D8"/>
    </sheetView>
  </sheetViews>
  <sheetFormatPr defaultRowHeight="15"/>
  <cols>
    <col min="1" max="1" width="3.7109375" customWidth="1"/>
    <col min="2" max="2" width="6.7109375" customWidth="1"/>
    <col min="3" max="3" width="35" customWidth="1"/>
    <col min="4" max="4" width="20.42578125" customWidth="1"/>
    <col min="5" max="5" width="22.28515625" customWidth="1"/>
    <col min="6" max="6" width="17.85546875" customWidth="1"/>
    <col min="7" max="8" width="19.28515625" customWidth="1"/>
    <col min="9" max="9" width="21.28515625" customWidth="1"/>
    <col min="10" max="10" width="34.140625" bestFit="1" customWidth="1"/>
    <col min="11" max="11" width="16" customWidth="1"/>
    <col min="12" max="12" width="18.140625" customWidth="1"/>
    <col min="13" max="13" width="11.42578125" customWidth="1"/>
    <col min="14" max="14" width="13.140625" customWidth="1"/>
    <col min="15" max="17" width="24.5703125" hidden="1" customWidth="1"/>
    <col min="18" max="19" width="16.42578125" hidden="1" customWidth="1"/>
    <col min="20" max="21" width="16.140625" hidden="1" customWidth="1"/>
    <col min="22" max="22" width="18.42578125" hidden="1" customWidth="1"/>
    <col min="23" max="23" width="16.7109375" hidden="1" customWidth="1"/>
    <col min="24" max="27" width="16.5703125" hidden="1" customWidth="1"/>
    <col min="28" max="28" width="16.5703125" customWidth="1"/>
    <col min="29" max="29" width="15.85546875" customWidth="1"/>
    <col min="30" max="30" width="15.140625" customWidth="1"/>
    <col min="31" max="32" width="15.140625" hidden="1" customWidth="1"/>
    <col min="33" max="33" width="14.7109375" hidden="1" customWidth="1"/>
    <col min="34" max="34" width="19.5703125" hidden="1" customWidth="1"/>
    <col min="35" max="35" width="6.7109375" customWidth="1"/>
    <col min="36" max="180" width="9.140625" style="132"/>
  </cols>
  <sheetData>
    <row r="1" spans="1:180" ht="18.75" customHeight="1">
      <c r="A1" s="1"/>
      <c r="B1" s="1"/>
      <c r="C1" s="1"/>
      <c r="D1" s="1"/>
      <c r="E1" s="1"/>
      <c r="F1" s="1"/>
      <c r="G1" s="1"/>
      <c r="H1" s="1"/>
      <c r="I1" s="1"/>
      <c r="J1" s="1"/>
      <c r="K1" s="1"/>
      <c r="L1" s="1"/>
      <c r="M1" s="1"/>
      <c r="N1" s="1"/>
      <c r="O1" s="8"/>
      <c r="P1" s="8"/>
      <c r="Q1" s="8"/>
      <c r="R1" s="8"/>
      <c r="S1" s="8"/>
      <c r="T1" s="8"/>
      <c r="U1" s="8"/>
      <c r="V1" s="8"/>
      <c r="W1" s="8"/>
      <c r="X1" s="8"/>
      <c r="Y1" s="8"/>
      <c r="Z1" s="8"/>
      <c r="AA1" s="8"/>
      <c r="AB1" s="1"/>
      <c r="AC1" s="1"/>
      <c r="AD1" s="1"/>
      <c r="AE1" s="8"/>
      <c r="AF1" s="8"/>
      <c r="AG1" s="220" t="s">
        <v>282</v>
      </c>
      <c r="AH1" s="220" t="s">
        <v>283</v>
      </c>
      <c r="AI1" s="182"/>
    </row>
    <row r="2" spans="1:180" ht="27" customHeight="1">
      <c r="A2" s="1"/>
      <c r="B2" s="434" t="s">
        <v>284</v>
      </c>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326"/>
      <c r="AF2" s="326"/>
      <c r="AG2" s="8"/>
      <c r="AH2" s="8"/>
      <c r="AI2" s="182"/>
    </row>
    <row r="3" spans="1:180" ht="30" customHeight="1">
      <c r="A3" s="1"/>
      <c r="B3" s="442" t="s">
        <v>87</v>
      </c>
      <c r="C3" s="443"/>
      <c r="D3" s="459" t="s">
        <v>285</v>
      </c>
      <c r="E3" s="460"/>
      <c r="F3" s="460"/>
      <c r="G3" s="460"/>
      <c r="H3" s="460"/>
      <c r="I3" s="460"/>
      <c r="J3" s="460"/>
      <c r="K3" s="461"/>
      <c r="L3" s="1"/>
      <c r="M3" s="1"/>
      <c r="N3" s="1"/>
      <c r="O3" s="8"/>
      <c r="P3" s="8"/>
      <c r="Q3" s="8"/>
      <c r="R3" s="8"/>
      <c r="S3" s="8"/>
      <c r="T3" s="8"/>
      <c r="U3" s="8"/>
      <c r="V3" s="8"/>
      <c r="W3" s="8"/>
      <c r="X3" s="8"/>
      <c r="Y3" s="8"/>
      <c r="Z3" s="8"/>
      <c r="AA3" s="8"/>
      <c r="AB3" s="1"/>
      <c r="AC3" s="1"/>
      <c r="AD3" s="1"/>
      <c r="AE3" s="8"/>
      <c r="AF3" s="8"/>
      <c r="AG3" s="8"/>
      <c r="AH3" s="8"/>
      <c r="AI3" s="182"/>
    </row>
    <row r="4" spans="1:180" ht="94.5" customHeight="1">
      <c r="A4" s="1"/>
      <c r="B4" s="1"/>
      <c r="C4" s="1"/>
      <c r="D4" s="462"/>
      <c r="E4" s="463"/>
      <c r="F4" s="463"/>
      <c r="G4" s="463"/>
      <c r="H4" s="463"/>
      <c r="I4" s="463"/>
      <c r="J4" s="463"/>
      <c r="K4" s="464"/>
      <c r="L4" s="1"/>
      <c r="M4" s="1"/>
      <c r="N4" s="1"/>
      <c r="O4" s="8"/>
      <c r="P4" s="8"/>
      <c r="Q4" s="8"/>
      <c r="R4" s="8"/>
      <c r="S4" s="8"/>
      <c r="T4" s="8"/>
      <c r="U4" s="8"/>
      <c r="V4" s="8"/>
      <c r="W4" s="8"/>
      <c r="X4" s="8"/>
      <c r="Y4" s="8"/>
      <c r="Z4" s="8"/>
      <c r="AA4" s="8"/>
      <c r="AB4" s="1"/>
      <c r="AC4" s="1"/>
      <c r="AD4" s="1"/>
      <c r="AE4" s="8"/>
      <c r="AF4" s="8"/>
      <c r="AG4" s="8"/>
      <c r="AH4" s="8"/>
      <c r="AI4" s="182"/>
    </row>
    <row r="5" spans="1:180" ht="12.75" customHeight="1">
      <c r="A5" s="1"/>
      <c r="B5" s="1"/>
      <c r="C5" s="1"/>
      <c r="D5" s="1"/>
      <c r="E5" s="1"/>
      <c r="F5" s="1"/>
      <c r="G5" s="1"/>
      <c r="H5" s="1"/>
      <c r="I5" s="1"/>
      <c r="J5" s="1"/>
      <c r="K5" s="1"/>
      <c r="L5" s="1"/>
      <c r="M5" s="1"/>
      <c r="N5" s="1"/>
      <c r="O5" s="8"/>
      <c r="P5" s="8"/>
      <c r="Q5" s="8"/>
      <c r="R5" s="8"/>
      <c r="S5" s="8"/>
      <c r="T5" s="8"/>
      <c r="U5" s="229" t="s">
        <v>286</v>
      </c>
      <c r="V5" s="8"/>
      <c r="W5" s="8"/>
      <c r="X5" s="8"/>
      <c r="Y5" s="8"/>
      <c r="Z5" s="8"/>
      <c r="AA5" s="8"/>
      <c r="AB5" s="1"/>
      <c r="AC5" s="1"/>
      <c r="AD5" s="1"/>
      <c r="AE5" s="8"/>
      <c r="AF5" s="8"/>
      <c r="AG5" s="8"/>
      <c r="AH5" s="8"/>
      <c r="AI5" s="182"/>
    </row>
    <row r="6" spans="1:180" ht="45">
      <c r="A6" s="1"/>
      <c r="B6" s="23" t="s">
        <v>89</v>
      </c>
      <c r="C6" s="23" t="s">
        <v>90</v>
      </c>
      <c r="D6" s="23" t="s">
        <v>91</v>
      </c>
      <c r="E6" s="23" t="s">
        <v>92</v>
      </c>
      <c r="F6" s="23" t="s">
        <v>93</v>
      </c>
      <c r="G6" s="23" t="s">
        <v>202</v>
      </c>
      <c r="H6" s="23" t="s">
        <v>287</v>
      </c>
      <c r="I6" s="23" t="s">
        <v>288</v>
      </c>
      <c r="J6" s="23" t="s">
        <v>289</v>
      </c>
      <c r="K6" s="23" t="s">
        <v>290</v>
      </c>
      <c r="L6" s="23" t="s">
        <v>291</v>
      </c>
      <c r="M6" s="23" t="s">
        <v>27</v>
      </c>
      <c r="N6" s="23" t="s">
        <v>101</v>
      </c>
      <c r="O6" s="23" t="s">
        <v>102</v>
      </c>
      <c r="P6" s="23" t="s">
        <v>103</v>
      </c>
      <c r="Q6" s="23" t="s">
        <v>104</v>
      </c>
      <c r="R6" s="23" t="s">
        <v>292</v>
      </c>
      <c r="S6" s="23" t="s">
        <v>293</v>
      </c>
      <c r="T6" s="23" t="s">
        <v>294</v>
      </c>
      <c r="U6" s="23" t="s">
        <v>295</v>
      </c>
      <c r="V6" s="23" t="s">
        <v>296</v>
      </c>
      <c r="W6" s="23" t="s">
        <v>297</v>
      </c>
      <c r="X6" s="23" t="s">
        <v>113</v>
      </c>
      <c r="Y6" s="23" t="s">
        <v>298</v>
      </c>
      <c r="Z6" s="23" t="s">
        <v>114</v>
      </c>
      <c r="AA6" s="23" t="s">
        <v>299</v>
      </c>
      <c r="AB6" s="23" t="s">
        <v>115</v>
      </c>
      <c r="AC6" s="23" t="s">
        <v>116</v>
      </c>
      <c r="AD6" s="23" t="s">
        <v>30</v>
      </c>
      <c r="AE6" s="343" t="s">
        <v>117</v>
      </c>
      <c r="AF6" s="343" t="s">
        <v>118</v>
      </c>
      <c r="AI6" s="182"/>
    </row>
    <row r="7" spans="1:180" s="338" customFormat="1" ht="20.25" hidden="1" customHeight="1">
      <c r="A7" s="337"/>
      <c r="B7" s="345" t="s">
        <v>122</v>
      </c>
      <c r="C7" s="345"/>
      <c r="D7" s="345" t="s">
        <v>179</v>
      </c>
      <c r="E7" s="345" t="s">
        <v>124</v>
      </c>
      <c r="F7" s="345" t="s">
        <v>180</v>
      </c>
      <c r="G7" s="345" t="s">
        <v>300</v>
      </c>
      <c r="H7" s="345" t="s">
        <v>301</v>
      </c>
      <c r="I7" s="345" t="s">
        <v>302</v>
      </c>
      <c r="J7" s="345" t="s">
        <v>126</v>
      </c>
      <c r="K7" s="345" t="s">
        <v>303</v>
      </c>
      <c r="L7" s="345" t="s">
        <v>304</v>
      </c>
      <c r="M7" s="345" t="s">
        <v>27</v>
      </c>
      <c r="N7" s="345" t="s">
        <v>133</v>
      </c>
      <c r="O7" s="345"/>
      <c r="P7" s="345" t="s">
        <v>134</v>
      </c>
      <c r="Q7" s="345"/>
      <c r="R7" s="345"/>
      <c r="S7" s="345"/>
      <c r="T7" s="345"/>
      <c r="U7" s="345"/>
      <c r="V7" s="345"/>
      <c r="W7" s="345"/>
      <c r="X7" s="345"/>
      <c r="Y7" s="345"/>
      <c r="Z7" s="345" t="s">
        <v>135</v>
      </c>
      <c r="AA7" s="345"/>
      <c r="AB7" s="345" t="s">
        <v>136</v>
      </c>
      <c r="AC7" s="345" t="s">
        <v>137</v>
      </c>
      <c r="AD7" s="345" t="s">
        <v>138</v>
      </c>
      <c r="AE7" s="346" t="s">
        <v>139</v>
      </c>
      <c r="AF7" s="346"/>
      <c r="AI7" s="341"/>
      <c r="AJ7" s="342"/>
      <c r="AK7" s="342"/>
      <c r="AL7" s="342"/>
      <c r="AM7" s="342"/>
      <c r="AN7" s="342"/>
      <c r="AO7" s="342"/>
      <c r="AP7" s="342"/>
      <c r="AQ7" s="342"/>
      <c r="AR7" s="342"/>
      <c r="AS7" s="342"/>
      <c r="AT7" s="342"/>
      <c r="AU7" s="342"/>
      <c r="AV7" s="342"/>
      <c r="AW7" s="342"/>
      <c r="AX7" s="342"/>
      <c r="AY7" s="342"/>
      <c r="AZ7" s="342"/>
      <c r="BA7" s="342"/>
      <c r="BB7" s="342"/>
      <c r="BC7" s="342"/>
      <c r="BD7" s="342"/>
      <c r="BE7" s="342"/>
      <c r="BF7" s="342"/>
      <c r="BG7" s="342"/>
      <c r="BH7" s="342"/>
      <c r="BI7" s="342"/>
      <c r="BJ7" s="342"/>
      <c r="BK7" s="342"/>
      <c r="BL7" s="342"/>
      <c r="BM7" s="342"/>
      <c r="BN7" s="342"/>
      <c r="BO7" s="342"/>
      <c r="BP7" s="342"/>
      <c r="BQ7" s="342"/>
      <c r="BR7" s="342"/>
      <c r="BS7" s="342"/>
      <c r="BT7" s="342"/>
      <c r="BU7" s="342"/>
      <c r="BV7" s="342"/>
      <c r="BW7" s="342"/>
      <c r="BX7" s="342"/>
      <c r="BY7" s="342"/>
      <c r="BZ7" s="342"/>
      <c r="CA7" s="342"/>
      <c r="CB7" s="342"/>
      <c r="CC7" s="342"/>
      <c r="CD7" s="342"/>
      <c r="CE7" s="342"/>
      <c r="CF7" s="342"/>
      <c r="CG7" s="342"/>
      <c r="CH7" s="342"/>
      <c r="CI7" s="342"/>
      <c r="CJ7" s="342"/>
      <c r="CK7" s="342"/>
      <c r="CL7" s="342"/>
      <c r="CM7" s="342"/>
      <c r="CN7" s="342"/>
      <c r="CO7" s="342"/>
      <c r="CP7" s="342"/>
      <c r="CQ7" s="342"/>
      <c r="CR7" s="342"/>
      <c r="CS7" s="342"/>
      <c r="CT7" s="342"/>
      <c r="CU7" s="342"/>
      <c r="CV7" s="342"/>
      <c r="CW7" s="342"/>
      <c r="CX7" s="342"/>
      <c r="CY7" s="342"/>
      <c r="CZ7" s="342"/>
      <c r="DA7" s="342"/>
      <c r="DB7" s="342"/>
      <c r="DC7" s="342"/>
      <c r="DD7" s="342"/>
      <c r="DE7" s="342"/>
      <c r="DF7" s="342"/>
      <c r="DG7" s="342"/>
      <c r="DH7" s="342"/>
      <c r="DI7" s="342"/>
      <c r="DJ7" s="342"/>
      <c r="DK7" s="342"/>
      <c r="DL7" s="342"/>
      <c r="DM7" s="342"/>
      <c r="DN7" s="342"/>
      <c r="DO7" s="342"/>
      <c r="DP7" s="342"/>
      <c r="DQ7" s="342"/>
      <c r="DR7" s="342"/>
      <c r="DS7" s="342"/>
      <c r="DT7" s="342"/>
      <c r="DU7" s="342"/>
      <c r="DV7" s="342"/>
      <c r="DW7" s="342"/>
      <c r="DX7" s="342"/>
      <c r="DY7" s="342"/>
      <c r="DZ7" s="342"/>
      <c r="EA7" s="342"/>
      <c r="EB7" s="342"/>
      <c r="EC7" s="342"/>
      <c r="ED7" s="342"/>
      <c r="EE7" s="342"/>
      <c r="EF7" s="342"/>
      <c r="EG7" s="342"/>
      <c r="EH7" s="342"/>
      <c r="EI7" s="342"/>
      <c r="EJ7" s="342"/>
      <c r="EK7" s="342"/>
      <c r="EL7" s="342"/>
      <c r="EM7" s="342"/>
      <c r="EN7" s="342"/>
      <c r="EO7" s="342"/>
      <c r="EP7" s="342"/>
      <c r="EQ7" s="342"/>
      <c r="ER7" s="342"/>
      <c r="ES7" s="342"/>
      <c r="ET7" s="342"/>
      <c r="EU7" s="342"/>
      <c r="EV7" s="342"/>
      <c r="EW7" s="342"/>
      <c r="EX7" s="342"/>
      <c r="EY7" s="342"/>
      <c r="EZ7" s="342"/>
      <c r="FA7" s="342"/>
      <c r="FB7" s="342"/>
      <c r="FC7" s="342"/>
      <c r="FD7" s="342"/>
      <c r="FE7" s="342"/>
      <c r="FF7" s="342"/>
      <c r="FG7" s="342"/>
      <c r="FH7" s="342"/>
      <c r="FI7" s="342"/>
      <c r="FJ7" s="342"/>
      <c r="FK7" s="342"/>
      <c r="FL7" s="342"/>
      <c r="FM7" s="342"/>
      <c r="FN7" s="342"/>
      <c r="FO7" s="342"/>
      <c r="FP7" s="342"/>
      <c r="FQ7" s="342"/>
      <c r="FR7" s="342"/>
      <c r="FS7" s="342"/>
      <c r="FT7" s="342"/>
      <c r="FU7" s="342"/>
      <c r="FV7" s="342"/>
      <c r="FW7" s="342"/>
      <c r="FX7" s="342"/>
    </row>
    <row r="8" spans="1:180" ht="21" customHeight="1">
      <c r="A8" s="1"/>
      <c r="B8" s="34">
        <v>1</v>
      </c>
      <c r="C8" s="47" t="s">
        <v>305</v>
      </c>
      <c r="D8" s="92"/>
      <c r="E8" s="92"/>
      <c r="F8" s="92"/>
      <c r="G8" s="92"/>
      <c r="H8" s="92"/>
      <c r="I8" s="92"/>
      <c r="J8" s="92"/>
      <c r="K8" s="93"/>
      <c r="L8" s="98"/>
      <c r="M8" s="93"/>
      <c r="N8" s="93"/>
      <c r="O8" s="65" t="str">
        <f t="shared" ref="O8:O15" si="0">IF(D8="", "", IF(J8=$C$27, "Water Heater - Heat Pump", "Water Heater - Solar"))</f>
        <v/>
      </c>
      <c r="P8" s="65" t="str">
        <f t="shared" ref="P8:P15" si="1">IFERROR(INDEX($Q$20:$Q$21,MATCH(O8,$P$20:$P$21,0)),"")</f>
        <v/>
      </c>
      <c r="Q8" s="65" t="str">
        <f t="shared" ref="Q8:Q15" si="2">IFERROR(INDEX($R$20:$R$21,MATCH(O8,$P$20:$P$21,0)),"")</f>
        <v/>
      </c>
      <c r="R8" s="215">
        <f t="shared" ref="R8:R15" si="3">$M$20</f>
        <v>0.9</v>
      </c>
      <c r="S8" s="215" t="str">
        <f t="shared" ref="S8:S15" si="4">IF(AND(K8&lt;=55,K8&gt;=20),0.9307-(0.0002*K8),IF(AND(K8&gt;55,K8&lt;=120),2.1171-(0.0011*K8),""))</f>
        <v/>
      </c>
      <c r="T8" s="63">
        <f t="shared" ref="T8:T15" si="5">IF(H8="",4000,H8)</f>
        <v>4000</v>
      </c>
      <c r="U8" s="63" t="e">
        <f t="shared" ref="U8:U15" si="6">VLOOKUP(G8, $E$20:$I$26, 3, FALSE)</f>
        <v>#N/A</v>
      </c>
      <c r="V8" s="324" t="str">
        <f t="shared" ref="V8:V15" si="7">IF(J8=$C$24,INDEX($H$20:$H$30,MATCH(G8,$E$20:$E$30,0))*T8,IF(J8=$C$25,($U$24*365),""))</f>
        <v/>
      </c>
      <c r="W8" s="71" t="e">
        <f>VLOOKUP(I8, $E$33:$G$35, 3, FALSE)</f>
        <v>#N/A</v>
      </c>
      <c r="X8" s="63" t="str">
        <f t="shared" ref="X8:X15" si="8">IFERROR(VLOOKUP(J8, $C$24:$D$25, 2, FALSE), "")</f>
        <v/>
      </c>
      <c r="Y8" s="63">
        <f t="shared" ref="Y8:Y15" si="9">IF(AND(K8&gt;55,L8=""),2.2,IF(AND(K8&lt;=55,L8=""),2,L8))</f>
        <v>2</v>
      </c>
      <c r="Z8" s="330" t="str">
        <f>IFERROR(ROUND(AC8/8760,6),"")</f>
        <v/>
      </c>
      <c r="AA8" s="325" t="str">
        <f t="shared" ref="AA8:AA15" si="10">IFERROR(((1/$R8)*$V8*8.3*($U$19-$U$20))/3412,"")</f>
        <v/>
      </c>
      <c r="AB8" s="228" t="str">
        <f>IFERROR(ROUND(IF(J8=$C$27, AC8*(VLOOKUP(G8,$E$20:$J$26,6,FALSE)), AA8*$U$22),6), "")</f>
        <v/>
      </c>
      <c r="AC8" s="228" t="str">
        <f>IFERROR(ROUND(IF(J8=$C$27, (((((1/S8)-(1/Y8)*(1/W8)))*V8*8.3*1*($U$19-$U$20))/3412)*M8, ((((1/$R$8)-(1/Y8))*V8*8.3*1*($U$19-$U$20))/3412))*M8,4), "")</f>
        <v/>
      </c>
      <c r="AD8" s="46" t="str">
        <f>IF(M8="","",IF(M8*N8&lt;M8*AE8,M8*N8))</f>
        <v/>
      </c>
      <c r="AE8" s="349" t="str">
        <f t="shared" ref="AE8:AE15" si="11">IF(AC8&lt;0,"DNQ",IF(OR(J8="",M8=""),"",IF(OR(AND(J8=$C$28,Y8&lt;1.8),AND(J8=$C$27,Y8&lt;2)),"DNQ",(VLOOKUP(J8,$C$27:$D$28,2,FALSE))*M8)))</f>
        <v/>
      </c>
      <c r="AF8" s="349" t="str">
        <f t="shared" ref="AF8:AF15" si="12">IF(M8="","",M8*N8)</f>
        <v/>
      </c>
      <c r="AG8" s="26"/>
      <c r="AI8" s="182"/>
    </row>
    <row r="9" spans="1:180" ht="21" customHeight="1">
      <c r="A9" s="1"/>
      <c r="B9" s="34">
        <v>2</v>
      </c>
      <c r="C9" s="47" t="s">
        <v>305</v>
      </c>
      <c r="D9" s="92"/>
      <c r="E9" s="92"/>
      <c r="F9" s="92"/>
      <c r="G9" s="92"/>
      <c r="H9" s="92"/>
      <c r="I9" s="92"/>
      <c r="J9" s="92"/>
      <c r="K9" s="93"/>
      <c r="L9" s="98"/>
      <c r="M9" s="93"/>
      <c r="N9" s="93"/>
      <c r="O9" s="65" t="str">
        <f t="shared" si="0"/>
        <v/>
      </c>
      <c r="P9" s="65" t="str">
        <f t="shared" si="1"/>
        <v/>
      </c>
      <c r="Q9" s="65" t="str">
        <f t="shared" si="2"/>
        <v/>
      </c>
      <c r="R9" s="215">
        <f t="shared" si="3"/>
        <v>0.9</v>
      </c>
      <c r="S9" s="215" t="str">
        <f t="shared" si="4"/>
        <v/>
      </c>
      <c r="T9" s="63">
        <f t="shared" si="5"/>
        <v>4000</v>
      </c>
      <c r="U9" s="63" t="e">
        <f t="shared" si="6"/>
        <v>#N/A</v>
      </c>
      <c r="V9" s="324" t="str">
        <f t="shared" si="7"/>
        <v/>
      </c>
      <c r="W9" s="71" t="e">
        <f>VLOOKUP(I9, $E$33:$G$35, 3, FALSE)</f>
        <v>#N/A</v>
      </c>
      <c r="X9" s="63" t="str">
        <f t="shared" si="8"/>
        <v/>
      </c>
      <c r="Y9" s="63">
        <f t="shared" si="9"/>
        <v>2</v>
      </c>
      <c r="Z9" s="330" t="str">
        <f t="shared" ref="Z9:Z15" si="13">IFERROR(ROUND(AC9/8760,6),"")</f>
        <v/>
      </c>
      <c r="AA9" s="325" t="str">
        <f t="shared" si="10"/>
        <v/>
      </c>
      <c r="AB9" s="228" t="str">
        <f t="shared" ref="AB9:AB15" si="14">IFERROR(ROUND(IF(J9=$C$27, AC9*(VLOOKUP(G9,$E$20:$J$26,6,FALSE)), AA9*$U$22),6), "")</f>
        <v/>
      </c>
      <c r="AC9" s="228" t="str">
        <f t="shared" ref="AC9:AC15" si="15">IFERROR(ROUND(IF(J9=$C$27, (((((1/S9)-(1/Y9)*(1/W9)))*V9*8.3*1*($U$19-$U$20))/3412)*M9, ((((1/$R$8)-(1/Y9))*V9*8.3*1*($U$19-$U$20))/3412))*M9,4), "")</f>
        <v/>
      </c>
      <c r="AD9" s="46" t="str">
        <f t="shared" ref="AD9:AD15" si="16">IF(AC9&lt;0,"DNQ",IF(OR(J9="",M9=""),"",IF(OR(AND(J9=$C$28,Y9&lt;1.8),AND(J9=$C$27,Y9&lt;2)),"DNQ",(VLOOKUP(J9,$C$27:$D$28,2,FALSE))*M9)))</f>
        <v/>
      </c>
      <c r="AE9" s="349" t="str">
        <f t="shared" si="11"/>
        <v/>
      </c>
      <c r="AF9" s="349" t="str">
        <f t="shared" si="12"/>
        <v/>
      </c>
      <c r="AG9" s="26"/>
      <c r="AI9" s="182"/>
    </row>
    <row r="10" spans="1:180" ht="21" customHeight="1">
      <c r="A10" s="1"/>
      <c r="B10" s="34">
        <v>3</v>
      </c>
      <c r="C10" s="47" t="s">
        <v>305</v>
      </c>
      <c r="D10" s="92"/>
      <c r="E10" s="92"/>
      <c r="F10" s="92"/>
      <c r="G10" s="92"/>
      <c r="H10" s="92"/>
      <c r="I10" s="92"/>
      <c r="J10" s="92"/>
      <c r="K10" s="93"/>
      <c r="L10" s="98"/>
      <c r="M10" s="93"/>
      <c r="N10" s="93"/>
      <c r="O10" s="65" t="str">
        <f t="shared" si="0"/>
        <v/>
      </c>
      <c r="P10" s="65" t="str">
        <f t="shared" si="1"/>
        <v/>
      </c>
      <c r="Q10" s="65" t="str">
        <f t="shared" si="2"/>
        <v/>
      </c>
      <c r="R10" s="215">
        <f t="shared" si="3"/>
        <v>0.9</v>
      </c>
      <c r="S10" s="215" t="str">
        <f t="shared" si="4"/>
        <v/>
      </c>
      <c r="T10" s="63">
        <f t="shared" si="5"/>
        <v>4000</v>
      </c>
      <c r="U10" s="63" t="e">
        <f t="shared" si="6"/>
        <v>#N/A</v>
      </c>
      <c r="V10" s="324" t="str">
        <f t="shared" si="7"/>
        <v/>
      </c>
      <c r="W10" s="71" t="e">
        <f>VLOOKUP(I10, $E$33:$G$35, 3, FALSE)</f>
        <v>#N/A</v>
      </c>
      <c r="X10" s="63" t="str">
        <f t="shared" si="8"/>
        <v/>
      </c>
      <c r="Y10" s="63">
        <f t="shared" si="9"/>
        <v>2</v>
      </c>
      <c r="Z10" s="330" t="str">
        <f t="shared" si="13"/>
        <v/>
      </c>
      <c r="AA10" s="325" t="str">
        <f t="shared" si="10"/>
        <v/>
      </c>
      <c r="AB10" s="228" t="str">
        <f t="shared" si="14"/>
        <v/>
      </c>
      <c r="AC10" s="228" t="str">
        <f t="shared" si="15"/>
        <v/>
      </c>
      <c r="AD10" s="46" t="str">
        <f t="shared" si="16"/>
        <v/>
      </c>
      <c r="AE10" s="349" t="str">
        <f t="shared" si="11"/>
        <v/>
      </c>
      <c r="AF10" s="349" t="str">
        <f t="shared" si="12"/>
        <v/>
      </c>
      <c r="AG10" s="26"/>
      <c r="AI10" s="182"/>
    </row>
    <row r="11" spans="1:180" ht="21" customHeight="1">
      <c r="A11" s="1"/>
      <c r="B11" s="34">
        <v>4</v>
      </c>
      <c r="C11" s="47" t="s">
        <v>305</v>
      </c>
      <c r="D11" s="92"/>
      <c r="E11" s="92"/>
      <c r="F11" s="92"/>
      <c r="G11" s="92"/>
      <c r="H11" s="92"/>
      <c r="I11" s="92"/>
      <c r="J11" s="92"/>
      <c r="K11" s="93"/>
      <c r="L11" s="98"/>
      <c r="M11" s="93"/>
      <c r="N11" s="93"/>
      <c r="O11" s="65" t="str">
        <f t="shared" si="0"/>
        <v/>
      </c>
      <c r="P11" s="65" t="str">
        <f t="shared" si="1"/>
        <v/>
      </c>
      <c r="Q11" s="65" t="str">
        <f t="shared" si="2"/>
        <v/>
      </c>
      <c r="R11" s="215">
        <f t="shared" si="3"/>
        <v>0.9</v>
      </c>
      <c r="S11" s="215" t="str">
        <f t="shared" si="4"/>
        <v/>
      </c>
      <c r="T11" s="63">
        <f t="shared" si="5"/>
        <v>4000</v>
      </c>
      <c r="U11" s="63" t="e">
        <f t="shared" si="6"/>
        <v>#N/A</v>
      </c>
      <c r="V11" s="324" t="str">
        <f t="shared" si="7"/>
        <v/>
      </c>
      <c r="W11" s="71" t="e">
        <f t="shared" ref="W11:W15" si="17">VLOOKUP(I11, $E$33:$G$35, 3, FALSE)</f>
        <v>#N/A</v>
      </c>
      <c r="X11" s="63" t="str">
        <f t="shared" si="8"/>
        <v/>
      </c>
      <c r="Y11" s="63">
        <f t="shared" si="9"/>
        <v>2</v>
      </c>
      <c r="Z11" s="330" t="str">
        <f t="shared" si="13"/>
        <v/>
      </c>
      <c r="AA11" s="325" t="str">
        <f t="shared" si="10"/>
        <v/>
      </c>
      <c r="AB11" s="228" t="str">
        <f t="shared" si="14"/>
        <v/>
      </c>
      <c r="AC11" s="228" t="str">
        <f t="shared" si="15"/>
        <v/>
      </c>
      <c r="AD11" s="46" t="str">
        <f t="shared" si="16"/>
        <v/>
      </c>
      <c r="AE11" s="349" t="str">
        <f t="shared" si="11"/>
        <v/>
      </c>
      <c r="AF11" s="349" t="str">
        <f t="shared" si="12"/>
        <v/>
      </c>
      <c r="AG11" s="26"/>
      <c r="AI11" s="182"/>
    </row>
    <row r="12" spans="1:180" ht="21" customHeight="1">
      <c r="A12" s="1"/>
      <c r="B12" s="34">
        <v>5</v>
      </c>
      <c r="C12" s="47" t="s">
        <v>305</v>
      </c>
      <c r="D12" s="92"/>
      <c r="E12" s="92"/>
      <c r="F12" s="92"/>
      <c r="G12" s="92"/>
      <c r="H12" s="92"/>
      <c r="I12" s="92"/>
      <c r="J12" s="92"/>
      <c r="K12" s="93"/>
      <c r="L12" s="98"/>
      <c r="M12" s="93"/>
      <c r="N12" s="93"/>
      <c r="O12" s="65" t="str">
        <f t="shared" si="0"/>
        <v/>
      </c>
      <c r="P12" s="65" t="str">
        <f t="shared" si="1"/>
        <v/>
      </c>
      <c r="Q12" s="65" t="str">
        <f t="shared" si="2"/>
        <v/>
      </c>
      <c r="R12" s="215">
        <f t="shared" si="3"/>
        <v>0.9</v>
      </c>
      <c r="S12" s="215" t="str">
        <f t="shared" si="4"/>
        <v/>
      </c>
      <c r="T12" s="63">
        <f t="shared" si="5"/>
        <v>4000</v>
      </c>
      <c r="U12" s="63" t="e">
        <f t="shared" si="6"/>
        <v>#N/A</v>
      </c>
      <c r="V12" s="324" t="str">
        <f t="shared" si="7"/>
        <v/>
      </c>
      <c r="W12" s="71" t="e">
        <f t="shared" si="17"/>
        <v>#N/A</v>
      </c>
      <c r="X12" s="63" t="str">
        <f t="shared" si="8"/>
        <v/>
      </c>
      <c r="Y12" s="63">
        <f t="shared" si="9"/>
        <v>2</v>
      </c>
      <c r="Z12" s="330" t="str">
        <f t="shared" si="13"/>
        <v/>
      </c>
      <c r="AA12" s="325" t="str">
        <f t="shared" si="10"/>
        <v/>
      </c>
      <c r="AB12" s="228" t="str">
        <f t="shared" si="14"/>
        <v/>
      </c>
      <c r="AC12" s="228" t="str">
        <f t="shared" si="15"/>
        <v/>
      </c>
      <c r="AD12" s="46" t="str">
        <f t="shared" si="16"/>
        <v/>
      </c>
      <c r="AE12" s="349" t="str">
        <f t="shared" si="11"/>
        <v/>
      </c>
      <c r="AF12" s="349" t="str">
        <f t="shared" si="12"/>
        <v/>
      </c>
      <c r="AG12" s="26"/>
      <c r="AI12" s="182"/>
    </row>
    <row r="13" spans="1:180" ht="21" customHeight="1">
      <c r="A13" s="1"/>
      <c r="B13" s="34">
        <v>6</v>
      </c>
      <c r="C13" s="47" t="s">
        <v>305</v>
      </c>
      <c r="D13" s="92"/>
      <c r="E13" s="92"/>
      <c r="F13" s="92"/>
      <c r="G13" s="92"/>
      <c r="H13" s="92"/>
      <c r="I13" s="92"/>
      <c r="J13" s="92"/>
      <c r="K13" s="93"/>
      <c r="L13" s="98"/>
      <c r="M13" s="93"/>
      <c r="N13" s="93"/>
      <c r="O13" s="65" t="str">
        <f t="shared" si="0"/>
        <v/>
      </c>
      <c r="P13" s="65" t="str">
        <f t="shared" si="1"/>
        <v/>
      </c>
      <c r="Q13" s="65" t="str">
        <f t="shared" si="2"/>
        <v/>
      </c>
      <c r="R13" s="215">
        <f t="shared" si="3"/>
        <v>0.9</v>
      </c>
      <c r="S13" s="215" t="str">
        <f t="shared" si="4"/>
        <v/>
      </c>
      <c r="T13" s="63">
        <f t="shared" si="5"/>
        <v>4000</v>
      </c>
      <c r="U13" s="63" t="e">
        <f t="shared" si="6"/>
        <v>#N/A</v>
      </c>
      <c r="V13" s="324" t="str">
        <f t="shared" si="7"/>
        <v/>
      </c>
      <c r="W13" s="71" t="e">
        <f t="shared" si="17"/>
        <v>#N/A</v>
      </c>
      <c r="X13" s="63" t="str">
        <f t="shared" si="8"/>
        <v/>
      </c>
      <c r="Y13" s="63">
        <f t="shared" si="9"/>
        <v>2</v>
      </c>
      <c r="Z13" s="330" t="str">
        <f t="shared" si="13"/>
        <v/>
      </c>
      <c r="AA13" s="325" t="str">
        <f t="shared" si="10"/>
        <v/>
      </c>
      <c r="AB13" s="228" t="str">
        <f t="shared" si="14"/>
        <v/>
      </c>
      <c r="AC13" s="228" t="str">
        <f t="shared" si="15"/>
        <v/>
      </c>
      <c r="AD13" s="46" t="str">
        <f t="shared" si="16"/>
        <v/>
      </c>
      <c r="AE13" s="349" t="str">
        <f t="shared" si="11"/>
        <v/>
      </c>
      <c r="AF13" s="349" t="str">
        <f t="shared" si="12"/>
        <v/>
      </c>
      <c r="AG13" s="26"/>
      <c r="AI13" s="182"/>
    </row>
    <row r="14" spans="1:180" ht="21" customHeight="1">
      <c r="A14" s="1"/>
      <c r="B14" s="34">
        <v>7</v>
      </c>
      <c r="C14" s="47" t="s">
        <v>305</v>
      </c>
      <c r="D14" s="92"/>
      <c r="E14" s="92"/>
      <c r="F14" s="92"/>
      <c r="G14" s="92"/>
      <c r="H14" s="92"/>
      <c r="I14" s="92"/>
      <c r="J14" s="92"/>
      <c r="K14" s="93"/>
      <c r="L14" s="98"/>
      <c r="M14" s="93"/>
      <c r="N14" s="93"/>
      <c r="O14" s="65" t="str">
        <f t="shared" si="0"/>
        <v/>
      </c>
      <c r="P14" s="65" t="str">
        <f t="shared" si="1"/>
        <v/>
      </c>
      <c r="Q14" s="65" t="str">
        <f t="shared" si="2"/>
        <v/>
      </c>
      <c r="R14" s="215">
        <f t="shared" si="3"/>
        <v>0.9</v>
      </c>
      <c r="S14" s="215" t="str">
        <f t="shared" si="4"/>
        <v/>
      </c>
      <c r="T14" s="63">
        <f t="shared" si="5"/>
        <v>4000</v>
      </c>
      <c r="U14" s="63" t="e">
        <f t="shared" si="6"/>
        <v>#N/A</v>
      </c>
      <c r="V14" s="324" t="str">
        <f t="shared" si="7"/>
        <v/>
      </c>
      <c r="W14" s="71" t="e">
        <f t="shared" si="17"/>
        <v>#N/A</v>
      </c>
      <c r="X14" s="63" t="str">
        <f t="shared" si="8"/>
        <v/>
      </c>
      <c r="Y14" s="63">
        <f t="shared" si="9"/>
        <v>2</v>
      </c>
      <c r="Z14" s="330" t="str">
        <f t="shared" si="13"/>
        <v/>
      </c>
      <c r="AA14" s="325" t="str">
        <f t="shared" si="10"/>
        <v/>
      </c>
      <c r="AB14" s="228" t="str">
        <f t="shared" si="14"/>
        <v/>
      </c>
      <c r="AC14" s="228" t="str">
        <f t="shared" si="15"/>
        <v/>
      </c>
      <c r="AD14" s="46" t="str">
        <f t="shared" si="16"/>
        <v/>
      </c>
      <c r="AE14" s="349" t="str">
        <f t="shared" si="11"/>
        <v/>
      </c>
      <c r="AF14" s="349" t="str">
        <f t="shared" si="12"/>
        <v/>
      </c>
      <c r="AG14" s="26"/>
      <c r="AI14" s="182"/>
    </row>
    <row r="15" spans="1:180" ht="21" customHeight="1">
      <c r="A15" s="1"/>
      <c r="B15" s="34">
        <v>8</v>
      </c>
      <c r="C15" s="47" t="s">
        <v>305</v>
      </c>
      <c r="D15" s="92"/>
      <c r="E15" s="92"/>
      <c r="F15" s="92"/>
      <c r="G15" s="92"/>
      <c r="H15" s="92"/>
      <c r="I15" s="92"/>
      <c r="J15" s="92"/>
      <c r="K15" s="93"/>
      <c r="L15" s="98"/>
      <c r="M15" s="93"/>
      <c r="N15" s="93"/>
      <c r="O15" s="65" t="str">
        <f t="shared" si="0"/>
        <v/>
      </c>
      <c r="P15" s="65" t="str">
        <f t="shared" si="1"/>
        <v/>
      </c>
      <c r="Q15" s="65" t="str">
        <f t="shared" si="2"/>
        <v/>
      </c>
      <c r="R15" s="215">
        <f t="shared" si="3"/>
        <v>0.9</v>
      </c>
      <c r="S15" s="215" t="str">
        <f t="shared" si="4"/>
        <v/>
      </c>
      <c r="T15" s="63">
        <f t="shared" si="5"/>
        <v>4000</v>
      </c>
      <c r="U15" s="63" t="e">
        <f t="shared" si="6"/>
        <v>#N/A</v>
      </c>
      <c r="V15" s="324" t="str">
        <f t="shared" si="7"/>
        <v/>
      </c>
      <c r="W15" s="71" t="e">
        <f t="shared" si="17"/>
        <v>#N/A</v>
      </c>
      <c r="X15" s="63" t="str">
        <f t="shared" si="8"/>
        <v/>
      </c>
      <c r="Y15" s="63">
        <f t="shared" si="9"/>
        <v>2</v>
      </c>
      <c r="Z15" s="330" t="str">
        <f t="shared" si="13"/>
        <v/>
      </c>
      <c r="AA15" s="325" t="str">
        <f t="shared" si="10"/>
        <v/>
      </c>
      <c r="AB15" s="228" t="str">
        <f t="shared" si="14"/>
        <v/>
      </c>
      <c r="AC15" s="228" t="str">
        <f t="shared" si="15"/>
        <v/>
      </c>
      <c r="AD15" s="46" t="str">
        <f t="shared" si="16"/>
        <v/>
      </c>
      <c r="AE15" s="349" t="str">
        <f t="shared" si="11"/>
        <v/>
      </c>
      <c r="AF15" s="349" t="str">
        <f t="shared" si="12"/>
        <v/>
      </c>
      <c r="AG15" s="26"/>
      <c r="AI15" s="182"/>
    </row>
    <row r="16" spans="1:180" hidden="1">
      <c r="A16" s="8"/>
      <c r="AI16" s="182"/>
    </row>
    <row r="17" spans="1:35" hidden="1">
      <c r="A17" s="8"/>
      <c r="M17" s="153">
        <f>SUM(M8:M15)</f>
        <v>0</v>
      </c>
      <c r="N17" s="153"/>
      <c r="O17" s="10"/>
      <c r="P17" s="10"/>
      <c r="Q17" s="10"/>
      <c r="R17" s="10"/>
      <c r="S17" s="10"/>
      <c r="T17" s="10"/>
      <c r="U17" s="10"/>
      <c r="V17" s="10"/>
      <c r="W17" s="10"/>
      <c r="X17" s="10"/>
      <c r="Y17" s="10"/>
      <c r="Z17" s="144">
        <f>SUM(Z8:Z15)</f>
        <v>0</v>
      </c>
      <c r="AA17" s="10"/>
      <c r="AB17" s="144">
        <f>SUM(AB8:AB15)</f>
        <v>0</v>
      </c>
      <c r="AC17" s="144">
        <f>SUM(AC8:AC15)</f>
        <v>0</v>
      </c>
      <c r="AD17" s="64">
        <f>SUM(AD8:AD15)</f>
        <v>0</v>
      </c>
      <c r="AE17" s="64"/>
      <c r="AF17" s="64"/>
      <c r="AI17" s="182"/>
    </row>
    <row r="18" spans="1:35" ht="30" hidden="1">
      <c r="A18" s="8"/>
      <c r="F18" s="231" t="s">
        <v>306</v>
      </c>
      <c r="G18" s="229" t="s">
        <v>286</v>
      </c>
      <c r="H18" s="229"/>
      <c r="AI18" s="182"/>
    </row>
    <row r="19" spans="1:35" ht="30" hidden="1">
      <c r="A19" s="8"/>
      <c r="C19" s="13" t="s">
        <v>91</v>
      </c>
      <c r="E19" s="67" t="s">
        <v>202</v>
      </c>
      <c r="F19" s="66" t="s">
        <v>294</v>
      </c>
      <c r="G19" s="66" t="s">
        <v>295</v>
      </c>
      <c r="H19" s="313" t="s">
        <v>307</v>
      </c>
      <c r="I19" s="66" t="s">
        <v>308</v>
      </c>
      <c r="J19" s="313" t="s">
        <v>309</v>
      </c>
      <c r="L19" s="313" t="s">
        <v>310</v>
      </c>
      <c r="M19" s="313"/>
      <c r="N19" s="336"/>
      <c r="P19" s="60" t="s">
        <v>102</v>
      </c>
      <c r="Q19" s="60" t="s">
        <v>103</v>
      </c>
      <c r="R19" s="60" t="s">
        <v>104</v>
      </c>
      <c r="T19" s="69" t="s">
        <v>311</v>
      </c>
      <c r="U19" s="3">
        <v>119</v>
      </c>
      <c r="AI19" s="182"/>
    </row>
    <row r="20" spans="1:35" ht="18" hidden="1">
      <c r="A20" s="8"/>
      <c r="C20" s="15" t="s">
        <v>146</v>
      </c>
      <c r="E20" s="48" t="s">
        <v>312</v>
      </c>
      <c r="F20" s="68">
        <v>50261</v>
      </c>
      <c r="G20" s="68">
        <v>6745</v>
      </c>
      <c r="H20" s="225">
        <v>3.81</v>
      </c>
      <c r="I20" s="224">
        <f t="shared" ref="I20:I30" si="18">H20*F20</f>
        <v>191494.41</v>
      </c>
      <c r="J20" s="223">
        <v>2.5450000000000001E-4</v>
      </c>
      <c r="L20" s="313" t="s">
        <v>313</v>
      </c>
      <c r="M20" s="313">
        <v>0.9</v>
      </c>
      <c r="N20" s="336"/>
      <c r="P20" s="3" t="s">
        <v>62</v>
      </c>
      <c r="Q20" s="3" t="s">
        <v>314</v>
      </c>
      <c r="R20" s="3" t="s">
        <v>315</v>
      </c>
      <c r="T20" s="69" t="s">
        <v>316</v>
      </c>
      <c r="U20" s="216">
        <v>52</v>
      </c>
      <c r="AI20" s="182"/>
    </row>
    <row r="21" spans="1:35" hidden="1">
      <c r="A21" s="8"/>
      <c r="C21" s="15" t="s">
        <v>147</v>
      </c>
      <c r="E21" s="48" t="s">
        <v>317</v>
      </c>
      <c r="F21" s="68">
        <v>11120</v>
      </c>
      <c r="G21" s="68">
        <v>1660</v>
      </c>
      <c r="H21" s="225">
        <v>2.04</v>
      </c>
      <c r="I21" s="224">
        <f t="shared" si="18"/>
        <v>22684.799999999999</v>
      </c>
      <c r="J21" s="223">
        <v>2.5900000000000001E-4</v>
      </c>
      <c r="L21" s="313" t="s">
        <v>318</v>
      </c>
      <c r="M21" s="313">
        <v>2.62</v>
      </c>
      <c r="N21" s="336"/>
      <c r="P21" s="3" t="s">
        <v>64</v>
      </c>
      <c r="Q21" s="3" t="s">
        <v>314</v>
      </c>
      <c r="R21" s="3" t="s">
        <v>315</v>
      </c>
      <c r="T21" s="221" t="s">
        <v>319</v>
      </c>
      <c r="U21" s="222">
        <v>1.7799999999999999E-4</v>
      </c>
      <c r="V21" s="229" t="s">
        <v>320</v>
      </c>
      <c r="AI21" s="182"/>
    </row>
    <row r="22" spans="1:35" hidden="1">
      <c r="A22" s="8"/>
      <c r="E22" s="48" t="s">
        <v>321</v>
      </c>
      <c r="F22" s="68">
        <v>34658</v>
      </c>
      <c r="G22" s="68">
        <v>3423</v>
      </c>
      <c r="H22" s="225">
        <v>17.329999999999998</v>
      </c>
      <c r="I22" s="224">
        <f t="shared" si="18"/>
        <v>600623.1399999999</v>
      </c>
      <c r="J22" s="223">
        <v>1.21E-4</v>
      </c>
      <c r="M22" s="10"/>
      <c r="N22" s="10"/>
      <c r="T22" s="226" t="s">
        <v>322</v>
      </c>
      <c r="U22" s="227">
        <v>8.0469999999999994E-5</v>
      </c>
      <c r="AI22" s="182"/>
    </row>
    <row r="23" spans="1:35" hidden="1">
      <c r="A23" s="8"/>
      <c r="C23" s="60" t="s">
        <v>113</v>
      </c>
      <c r="D23" s="60" t="s">
        <v>323</v>
      </c>
      <c r="E23" s="48" t="s">
        <v>324</v>
      </c>
      <c r="F23" s="68">
        <v>7186</v>
      </c>
      <c r="G23" s="68">
        <v>161</v>
      </c>
      <c r="H23" s="225">
        <v>1.33</v>
      </c>
      <c r="I23" s="224">
        <f t="shared" si="18"/>
        <v>9557.380000000001</v>
      </c>
      <c r="J23" s="223">
        <v>2.4899999999999998E-4</v>
      </c>
      <c r="T23" s="221" t="s">
        <v>325</v>
      </c>
      <c r="U23" s="222">
        <v>0.9</v>
      </c>
      <c r="V23" s="229" t="s">
        <v>320</v>
      </c>
      <c r="AI23" s="182"/>
    </row>
    <row r="24" spans="1:35" hidden="1">
      <c r="A24" s="8"/>
      <c r="C24" s="3" t="s">
        <v>326</v>
      </c>
      <c r="D24" s="3">
        <v>10</v>
      </c>
      <c r="E24" s="48" t="s">
        <v>327</v>
      </c>
      <c r="F24" s="68">
        <v>4542</v>
      </c>
      <c r="G24" s="68">
        <v>35557</v>
      </c>
      <c r="H24" s="225">
        <v>94.04</v>
      </c>
      <c r="I24" s="224">
        <f t="shared" si="18"/>
        <v>427129.68000000005</v>
      </c>
      <c r="J24" s="223">
        <v>1.5249999999999999E-4</v>
      </c>
      <c r="T24" t="s">
        <v>328</v>
      </c>
      <c r="U24">
        <v>45.5</v>
      </c>
      <c r="AI24" s="182"/>
    </row>
    <row r="25" spans="1:35" hidden="1">
      <c r="A25" s="8"/>
      <c r="C25" s="3" t="s">
        <v>329</v>
      </c>
      <c r="D25" s="3">
        <v>15</v>
      </c>
      <c r="E25" s="48" t="s">
        <v>330</v>
      </c>
      <c r="F25" s="68">
        <v>6226</v>
      </c>
      <c r="G25" s="68">
        <v>61</v>
      </c>
      <c r="H25" s="225">
        <v>0.8</v>
      </c>
      <c r="I25" s="224">
        <f t="shared" si="18"/>
        <v>4980.8</v>
      </c>
      <c r="J25" s="223">
        <v>2.5599999999999999E-4</v>
      </c>
      <c r="AI25" s="182"/>
    </row>
    <row r="26" spans="1:35" hidden="1">
      <c r="A26" s="8"/>
      <c r="C26" s="60" t="s">
        <v>289</v>
      </c>
      <c r="D26" s="60" t="s">
        <v>30</v>
      </c>
      <c r="E26" s="48" t="s">
        <v>331</v>
      </c>
      <c r="F26" s="68">
        <v>25349</v>
      </c>
      <c r="G26" s="68">
        <v>386</v>
      </c>
      <c r="H26" s="225">
        <v>0.22</v>
      </c>
      <c r="I26" s="224">
        <f t="shared" si="18"/>
        <v>5576.78</v>
      </c>
      <c r="J26" s="223">
        <v>3.0180000000000002E-4</v>
      </c>
      <c r="AI26" s="182"/>
    </row>
    <row r="27" spans="1:35" hidden="1">
      <c r="A27" s="8"/>
      <c r="C27" s="3" t="s">
        <v>326</v>
      </c>
      <c r="D27" s="16">
        <v>250</v>
      </c>
      <c r="E27" s="257" t="s">
        <v>332</v>
      </c>
      <c r="F27" s="321">
        <v>75994</v>
      </c>
      <c r="H27" s="319">
        <v>4.97</v>
      </c>
      <c r="I27" s="224">
        <f t="shared" si="18"/>
        <v>377690.18</v>
      </c>
      <c r="J27" s="320">
        <v>2.0110000000000001E-4</v>
      </c>
      <c r="AI27" s="182"/>
    </row>
    <row r="28" spans="1:35" hidden="1">
      <c r="A28" s="8"/>
      <c r="C28" s="3" t="s">
        <v>329</v>
      </c>
      <c r="D28" s="16">
        <v>250</v>
      </c>
      <c r="E28" s="257" t="s">
        <v>333</v>
      </c>
      <c r="F28">
        <f>1500*6</f>
        <v>9000</v>
      </c>
      <c r="H28" s="319">
        <v>3.09</v>
      </c>
      <c r="I28" s="224">
        <f t="shared" si="18"/>
        <v>27810</v>
      </c>
      <c r="J28" s="320">
        <v>3.0200000000000002E-4</v>
      </c>
      <c r="AI28" s="182"/>
    </row>
    <row r="29" spans="1:35" hidden="1">
      <c r="A29" s="8"/>
      <c r="E29" s="257" t="s">
        <v>334</v>
      </c>
      <c r="F29" s="322">
        <v>5000</v>
      </c>
      <c r="H29" s="319">
        <v>5.9</v>
      </c>
      <c r="I29" s="224">
        <f t="shared" si="18"/>
        <v>29500</v>
      </c>
      <c r="J29" s="320">
        <v>0</v>
      </c>
      <c r="AI29" s="182"/>
    </row>
    <row r="30" spans="1:35" hidden="1">
      <c r="A30" s="8"/>
      <c r="E30" s="257" t="s">
        <v>335</v>
      </c>
      <c r="F30" s="322">
        <v>5000</v>
      </c>
      <c r="H30" s="319">
        <v>2.04</v>
      </c>
      <c r="I30" s="323">
        <f t="shared" si="18"/>
        <v>10200</v>
      </c>
      <c r="J30" s="320">
        <v>2.5900000000000001E-4</v>
      </c>
      <c r="AI30" s="182"/>
    </row>
    <row r="31" spans="1:35" hidden="1">
      <c r="A31" s="8"/>
      <c r="AI31" s="182"/>
    </row>
    <row r="32" spans="1:35" hidden="1">
      <c r="A32" s="8"/>
      <c r="E32" s="72" t="s">
        <v>336</v>
      </c>
      <c r="F32" s="67" t="s">
        <v>337</v>
      </c>
      <c r="G32" s="67" t="s">
        <v>297</v>
      </c>
      <c r="H32" s="318"/>
      <c r="AI32" s="182"/>
    </row>
    <row r="33" spans="1:35" hidden="1">
      <c r="A33" s="8"/>
      <c r="E33" s="48" t="s">
        <v>338</v>
      </c>
      <c r="F33" s="216">
        <v>43</v>
      </c>
      <c r="G33" s="213">
        <v>0.77</v>
      </c>
      <c r="H33" s="317"/>
      <c r="AI33" s="182"/>
    </row>
    <row r="34" spans="1:35" hidden="1">
      <c r="A34" s="8"/>
      <c r="E34" s="48" t="s">
        <v>339</v>
      </c>
      <c r="F34" s="216">
        <v>68</v>
      </c>
      <c r="G34" s="213">
        <v>1.1599999999999999</v>
      </c>
      <c r="H34" s="317"/>
      <c r="AI34" s="182"/>
    </row>
    <row r="35" spans="1:35" hidden="1">
      <c r="A35" s="8"/>
      <c r="E35" s="48" t="s">
        <v>340</v>
      </c>
      <c r="F35" s="216">
        <v>85</v>
      </c>
      <c r="G35" s="213">
        <v>1.45</v>
      </c>
      <c r="H35" s="317"/>
      <c r="AI35" s="182"/>
    </row>
    <row r="36" spans="1:35">
      <c r="A36" s="182"/>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I36" s="182"/>
    </row>
    <row r="37" spans="1:35">
      <c r="A37" s="182"/>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I37" s="182"/>
    </row>
    <row r="38" spans="1:35" s="132" customFormat="1"/>
    <row r="39" spans="1:35" s="132" customFormat="1"/>
    <row r="40" spans="1:35" s="132" customFormat="1"/>
    <row r="41" spans="1:35" s="132" customFormat="1"/>
    <row r="42" spans="1:35" s="132" customFormat="1"/>
    <row r="43" spans="1:35" s="132" customFormat="1"/>
    <row r="44" spans="1:35" s="132" customFormat="1"/>
    <row r="45" spans="1:35" s="132" customFormat="1"/>
    <row r="46" spans="1:35" s="132" customFormat="1"/>
    <row r="47" spans="1:35" s="132" customFormat="1"/>
    <row r="48" spans="1:35" s="132" customFormat="1"/>
    <row r="49" s="132" customFormat="1"/>
    <row r="50" s="132" customFormat="1"/>
    <row r="51" s="132" customFormat="1"/>
    <row r="52" s="132" customFormat="1"/>
    <row r="53" s="132" customFormat="1"/>
    <row r="54" s="132" customFormat="1"/>
    <row r="55" s="132" customFormat="1"/>
    <row r="56" s="132" customFormat="1"/>
    <row r="57" s="132" customFormat="1"/>
    <row r="58" s="132" customFormat="1"/>
    <row r="59" s="132" customFormat="1"/>
    <row r="60" s="132" customFormat="1"/>
    <row r="61" s="132" customFormat="1"/>
    <row r="62" s="132" customFormat="1"/>
    <row r="63" s="132" customFormat="1"/>
    <row r="64"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row r="527" s="132" customFormat="1"/>
    <row r="528" s="132" customFormat="1"/>
    <row r="529" s="132" customFormat="1"/>
    <row r="530" s="132" customFormat="1"/>
    <row r="531" s="132" customFormat="1"/>
    <row r="532" s="132" customFormat="1"/>
    <row r="533" s="132" customFormat="1"/>
    <row r="534" s="132" customFormat="1"/>
    <row r="535" s="132" customFormat="1"/>
    <row r="536" s="132" customFormat="1"/>
    <row r="537" s="132" customFormat="1"/>
    <row r="538" s="132" customFormat="1"/>
    <row r="539" s="132" customFormat="1"/>
    <row r="540" s="132" customFormat="1"/>
    <row r="541" s="132" customFormat="1"/>
    <row r="542" s="132" customFormat="1"/>
    <row r="543" s="132" customFormat="1"/>
    <row r="544" s="132" customFormat="1"/>
    <row r="545" s="132" customFormat="1"/>
    <row r="546" s="132" customFormat="1"/>
    <row r="547" s="132" customFormat="1"/>
    <row r="548" s="132" customFormat="1"/>
    <row r="549" s="132" customFormat="1"/>
    <row r="550" s="132" customFormat="1"/>
    <row r="551" s="132" customFormat="1"/>
    <row r="552" s="132" customFormat="1"/>
    <row r="553" s="132" customFormat="1"/>
    <row r="554" s="132" customFormat="1"/>
    <row r="555" s="132" customFormat="1"/>
    <row r="556" s="132" customFormat="1"/>
    <row r="557" s="132" customFormat="1"/>
    <row r="558" s="132" customFormat="1"/>
    <row r="559" s="132" customFormat="1"/>
    <row r="560" s="132" customFormat="1"/>
    <row r="561" s="132" customFormat="1"/>
    <row r="562" s="132" customFormat="1"/>
    <row r="563" s="132" customFormat="1"/>
    <row r="564" s="132" customFormat="1"/>
    <row r="565" s="132" customFormat="1"/>
    <row r="566" s="132" customFormat="1"/>
    <row r="567" s="132" customFormat="1"/>
    <row r="568" s="132" customFormat="1"/>
    <row r="569" s="132" customFormat="1"/>
    <row r="570" s="132" customFormat="1"/>
    <row r="571" s="132" customFormat="1"/>
    <row r="572" s="132" customFormat="1"/>
    <row r="573" s="132" customFormat="1"/>
    <row r="574" s="132" customFormat="1"/>
    <row r="575" s="132" customFormat="1"/>
    <row r="576" s="132" customFormat="1"/>
    <row r="577" s="132" customFormat="1"/>
    <row r="578" s="132" customFormat="1"/>
    <row r="579" s="132" customFormat="1"/>
    <row r="580" s="132" customFormat="1"/>
    <row r="581" s="132" customFormat="1"/>
    <row r="582" s="132" customFormat="1"/>
    <row r="583" s="132" customFormat="1"/>
    <row r="584" s="132" customFormat="1"/>
    <row r="585" s="132" customFormat="1"/>
    <row r="586" s="132" customFormat="1"/>
    <row r="587" s="132" customFormat="1"/>
    <row r="588" s="132" customFormat="1"/>
    <row r="589" s="132" customFormat="1"/>
    <row r="590" s="132" customFormat="1"/>
    <row r="591" s="132" customFormat="1"/>
    <row r="592" s="132" customFormat="1"/>
    <row r="593" s="132" customFormat="1"/>
    <row r="594" s="132" customFormat="1"/>
    <row r="595" s="132" customFormat="1"/>
    <row r="596" s="132" customFormat="1"/>
    <row r="597" s="132" customFormat="1"/>
    <row r="598" s="132" customFormat="1"/>
    <row r="599" s="132" customFormat="1"/>
    <row r="600" s="132" customFormat="1"/>
    <row r="601" s="132" customFormat="1"/>
    <row r="602" s="132" customFormat="1"/>
    <row r="603" s="132" customFormat="1"/>
    <row r="604" s="132" customFormat="1"/>
    <row r="605" s="132" customFormat="1"/>
    <row r="606" s="132" customFormat="1"/>
    <row r="607" s="132" customFormat="1"/>
    <row r="608" s="132" customFormat="1"/>
    <row r="609" s="132" customFormat="1"/>
    <row r="610" s="132" customFormat="1"/>
    <row r="611" s="132" customFormat="1"/>
    <row r="612" s="132" customFormat="1"/>
    <row r="613" s="132" customFormat="1"/>
    <row r="614" s="132" customFormat="1"/>
    <row r="615" s="132" customFormat="1"/>
    <row r="616" s="132" customFormat="1"/>
    <row r="617" s="132" customFormat="1"/>
    <row r="618" s="132" customFormat="1"/>
    <row r="619" s="132" customFormat="1"/>
    <row r="620" s="132" customFormat="1"/>
    <row r="621" s="132" customFormat="1"/>
    <row r="622" s="132" customFormat="1"/>
    <row r="623" s="132" customFormat="1"/>
    <row r="624" s="132" customFormat="1"/>
    <row r="625" s="132" customFormat="1"/>
    <row r="626" s="132" customFormat="1"/>
    <row r="627" s="132" customFormat="1"/>
    <row r="628" s="132" customFormat="1"/>
    <row r="629" s="132" customFormat="1"/>
    <row r="630" s="132" customFormat="1"/>
    <row r="631" s="132" customFormat="1"/>
    <row r="632" s="132" customFormat="1"/>
    <row r="633" s="132" customFormat="1"/>
    <row r="634" s="132" customFormat="1"/>
    <row r="635" s="132" customFormat="1"/>
    <row r="636" s="132" customFormat="1"/>
    <row r="637" s="132" customFormat="1"/>
    <row r="638" s="132" customFormat="1"/>
    <row r="639" s="132" customFormat="1"/>
    <row r="640" s="132" customFormat="1"/>
    <row r="641" s="132" customFormat="1"/>
    <row r="642" s="132" customFormat="1"/>
    <row r="643" s="132" customFormat="1"/>
    <row r="644" s="132" customFormat="1"/>
    <row r="645" s="132" customFormat="1"/>
    <row r="646" s="132" customFormat="1"/>
    <row r="647" s="132" customFormat="1"/>
    <row r="648" s="132" customFormat="1"/>
    <row r="649" s="132" customFormat="1"/>
    <row r="650" s="132" customFormat="1"/>
    <row r="651" s="132" customFormat="1"/>
    <row r="652" s="132" customFormat="1"/>
    <row r="653" s="132" customFormat="1"/>
    <row r="654" s="132" customFormat="1"/>
    <row r="655" s="132" customFormat="1"/>
    <row r="656" s="132" customFormat="1"/>
    <row r="657" s="132" customFormat="1"/>
    <row r="658" s="132" customFormat="1"/>
    <row r="659" s="132" customFormat="1"/>
    <row r="660" s="132" customFormat="1"/>
    <row r="661" s="132" customFormat="1"/>
    <row r="662" s="132" customFormat="1"/>
    <row r="663" s="132" customFormat="1"/>
    <row r="664" s="132" customFormat="1"/>
    <row r="665" s="132" customFormat="1"/>
    <row r="666" s="132" customFormat="1"/>
    <row r="667" s="132" customFormat="1"/>
    <row r="668" s="132" customFormat="1"/>
    <row r="669" s="132" customFormat="1"/>
    <row r="670" s="132" customFormat="1"/>
    <row r="671" s="132" customFormat="1"/>
    <row r="672" s="132" customFormat="1"/>
    <row r="673" s="132" customFormat="1"/>
    <row r="674" s="132" customFormat="1"/>
    <row r="675" s="132" customFormat="1"/>
    <row r="676" s="132" customFormat="1"/>
    <row r="677" s="132" customFormat="1"/>
    <row r="678" s="132" customFormat="1"/>
    <row r="679" s="132" customFormat="1"/>
    <row r="680" s="132" customFormat="1"/>
    <row r="681" s="132" customFormat="1"/>
    <row r="682" s="132" customFormat="1"/>
    <row r="683" s="132" customFormat="1"/>
    <row r="684" s="132" customFormat="1"/>
    <row r="685" s="132" customFormat="1"/>
    <row r="686" s="132" customFormat="1"/>
    <row r="687" s="132" customFormat="1"/>
    <row r="688" s="132" customFormat="1"/>
    <row r="689" s="132" customFormat="1"/>
    <row r="690" s="132" customFormat="1"/>
    <row r="691" s="132" customFormat="1"/>
    <row r="692" s="132" customFormat="1"/>
    <row r="693" s="132" customFormat="1"/>
    <row r="694" s="132" customFormat="1"/>
    <row r="695" s="132" customFormat="1"/>
    <row r="696" s="132" customFormat="1"/>
    <row r="697" s="132" customFormat="1"/>
    <row r="698" s="132" customFormat="1"/>
    <row r="699" s="132" customFormat="1"/>
    <row r="700" s="132" customFormat="1"/>
    <row r="701" s="132" customFormat="1"/>
    <row r="702" s="132" customFormat="1"/>
    <row r="703" s="132" customFormat="1"/>
    <row r="704" s="132" customFormat="1"/>
    <row r="705" s="132" customFormat="1"/>
    <row r="706" s="132" customFormat="1"/>
    <row r="707" s="132" customFormat="1"/>
    <row r="708" s="132" customFormat="1"/>
    <row r="709" s="132" customFormat="1"/>
    <row r="710" s="132" customFormat="1"/>
    <row r="711" s="132" customFormat="1"/>
    <row r="712" s="132" customFormat="1"/>
    <row r="713" s="132" customFormat="1"/>
    <row r="714" s="132" customFormat="1"/>
    <row r="715" s="132" customFormat="1"/>
    <row r="716" s="132" customFormat="1"/>
    <row r="717" s="132" customFormat="1"/>
    <row r="718" s="132" customFormat="1"/>
    <row r="719" s="132" customFormat="1"/>
    <row r="720" s="132" customFormat="1"/>
    <row r="721" s="132" customFormat="1"/>
    <row r="722" s="132" customFormat="1"/>
    <row r="723" s="132" customFormat="1"/>
    <row r="724" s="132" customFormat="1"/>
    <row r="725" s="132" customFormat="1"/>
    <row r="726" s="132" customFormat="1"/>
    <row r="727" s="132" customFormat="1"/>
    <row r="728" s="132" customFormat="1"/>
    <row r="729" s="132" customFormat="1"/>
    <row r="730" s="132" customFormat="1"/>
    <row r="731" s="132" customFormat="1"/>
    <row r="732" s="132" customFormat="1"/>
    <row r="733" s="132" customFormat="1"/>
    <row r="734" s="132" customFormat="1"/>
    <row r="735" s="132" customFormat="1"/>
    <row r="736" s="132" customFormat="1"/>
    <row r="737" s="132" customFormat="1"/>
    <row r="738" s="132" customFormat="1"/>
    <row r="739" s="132" customFormat="1"/>
    <row r="740" s="132" customFormat="1"/>
    <row r="741" s="132" customFormat="1"/>
    <row r="742" s="132" customFormat="1"/>
    <row r="743" s="132" customFormat="1"/>
    <row r="744" s="132" customFormat="1"/>
    <row r="745" s="132" customFormat="1"/>
    <row r="746" s="132" customFormat="1"/>
    <row r="747" s="132" customFormat="1"/>
    <row r="748" s="132" customFormat="1"/>
    <row r="749" s="132" customFormat="1"/>
    <row r="750" s="132" customFormat="1"/>
    <row r="751" s="132" customFormat="1"/>
    <row r="752" s="132" customFormat="1"/>
    <row r="753" s="132" customFormat="1"/>
    <row r="754" s="132" customFormat="1"/>
    <row r="755" s="132" customFormat="1"/>
    <row r="756" s="132" customFormat="1"/>
    <row r="757" s="132" customFormat="1"/>
    <row r="758" s="132" customFormat="1"/>
  </sheetData>
  <sheetProtection algorithmName="SHA-512" hashValue="sA5KZOQzQSxRubnCF6OQuEaSg3l9umJreK0BWKBqCskDpX0BfB0XHQWRfMu903nICltBxdKZ/wi+jRUnzKfw8w==" saltValue="7B0NXv9sn9BI2Gnis6YTaw==" spinCount="100000" sheet="1" selectLockedCells="1"/>
  <mergeCells count="3">
    <mergeCell ref="B3:C3"/>
    <mergeCell ref="D3:K4"/>
    <mergeCell ref="B2:AD2"/>
  </mergeCells>
  <conditionalFormatting sqref="M6:Q7 U6:AA7">
    <cfRule type="containsText" dxfId="7" priority="4" operator="containsText" text="#N/A">
      <formula>NOT(ISERROR(SEARCH("#N/A",M6)))</formula>
    </cfRule>
  </conditionalFormatting>
  <conditionalFormatting sqref="T6:T7">
    <cfRule type="containsText" dxfId="6" priority="2" operator="containsText" text="#N/A">
      <formula>NOT(ISERROR(SEARCH("#N/A",T6)))</formula>
    </cfRule>
  </conditionalFormatting>
  <conditionalFormatting sqref="AB8:AD15">
    <cfRule type="expression" dxfId="5" priority="1" stopIfTrue="1">
      <formula>IF($AD8="DNQ", TRUE, FALSE)</formula>
    </cfRule>
  </conditionalFormatting>
  <dataValidations count="5">
    <dataValidation type="list" allowBlank="1" showInputMessage="1" showErrorMessage="1" sqref="D8:D15" xr:uid="{00000000-0002-0000-0700-000000000000}">
      <formula1>$C$20:$C$21</formula1>
    </dataValidation>
    <dataValidation type="list" allowBlank="1" showInputMessage="1" showErrorMessage="1" sqref="J8:J15" xr:uid="{00000000-0002-0000-0700-000001000000}">
      <formula1>$C$27:$C$28</formula1>
    </dataValidation>
    <dataValidation type="list" allowBlank="1" showInputMessage="1" showErrorMessage="1" sqref="G9:G15" xr:uid="{00000000-0002-0000-0700-000002000000}">
      <formula1>$E$20:$E$26</formula1>
    </dataValidation>
    <dataValidation type="list" allowBlank="1" showInputMessage="1" showErrorMessage="1" sqref="I8:I15" xr:uid="{00000000-0002-0000-0700-000003000000}">
      <formula1>$E$33:$E$35</formula1>
    </dataValidation>
    <dataValidation type="list" allowBlank="1" showInputMessage="1" showErrorMessage="1" sqref="G8" xr:uid="{D271220A-0759-48A8-BADB-7BA1D8F6CC15}">
      <formula1>$E$20:$E$30</formula1>
    </dataValidation>
  </dataValidations>
  <hyperlinks>
    <hyperlink ref="B3" location="'Calculator Index'!A1" display="Return to Index" xr:uid="{00000000-0004-0000-0700-000000000000}"/>
    <hyperlink ref="B3:C3" location="'Project Summary'!A1" display="Return to Index" xr:uid="{00000000-0004-0000-0700-000001000000}"/>
  </hyperlink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AE526"/>
  <sheetViews>
    <sheetView zoomScaleNormal="100" workbookViewId="0">
      <selection activeCell="N16" sqref="N16"/>
    </sheetView>
  </sheetViews>
  <sheetFormatPr defaultColWidth="9.140625" defaultRowHeight="15"/>
  <cols>
    <col min="1" max="1" width="3.7109375" customWidth="1"/>
    <col min="2" max="2" width="6.5703125" customWidth="1"/>
    <col min="3" max="3" width="22.28515625" customWidth="1"/>
    <col min="4" max="4" width="26.5703125" customWidth="1"/>
    <col min="5" max="5" width="20" customWidth="1"/>
    <col min="6" max="6" width="23.42578125" customWidth="1"/>
    <col min="7" max="7" width="35.85546875" bestFit="1" customWidth="1"/>
    <col min="8" max="8" width="22.28515625" customWidth="1"/>
    <col min="9" max="9" width="21.140625" customWidth="1"/>
    <col min="10" max="10" width="23.7109375" customWidth="1"/>
    <col min="11" max="11" width="21.85546875" customWidth="1"/>
    <col min="12" max="12" width="15.42578125" customWidth="1"/>
    <col min="13" max="13" width="36.140625" bestFit="1" customWidth="1"/>
    <col min="14" max="14" width="21.28515625" customWidth="1"/>
    <col min="15" max="16" width="20" customWidth="1"/>
    <col min="17" max="17" width="42.140625" customWidth="1"/>
    <col min="18" max="18" width="13.140625" customWidth="1"/>
    <col min="19" max="19" width="15.140625" customWidth="1"/>
    <col min="20" max="20" width="13.42578125" customWidth="1"/>
    <col min="21" max="21" width="18.7109375" customWidth="1"/>
    <col min="22" max="23" width="27.42578125" customWidth="1"/>
    <col min="24" max="24" width="14.42578125" customWidth="1"/>
    <col min="25" max="25" width="18.5703125" customWidth="1"/>
    <col min="26" max="26" width="16.7109375" customWidth="1"/>
    <col min="27" max="27" width="15.140625" customWidth="1"/>
    <col min="28" max="28" width="14.85546875" customWidth="1"/>
    <col min="29" max="29" width="12.5703125" customWidth="1"/>
    <col min="30" max="30" width="18.42578125" bestFit="1" customWidth="1"/>
    <col min="31" max="31" width="7.28515625" customWidth="1"/>
    <col min="32" max="16384" width="9.140625" style="132"/>
  </cols>
  <sheetData>
    <row r="1" spans="1:31" ht="19.5" customHeight="1">
      <c r="A1" s="1"/>
      <c r="B1" s="1"/>
      <c r="C1" s="1"/>
      <c r="D1" s="1"/>
      <c r="E1" s="1"/>
      <c r="F1" s="1"/>
      <c r="G1" s="1"/>
      <c r="H1" s="1"/>
      <c r="I1" s="1"/>
      <c r="J1" s="1"/>
      <c r="K1" s="1"/>
      <c r="L1" s="1"/>
      <c r="M1" s="1"/>
      <c r="N1" s="1"/>
      <c r="O1" s="8"/>
      <c r="P1" s="8"/>
      <c r="Q1" s="8"/>
      <c r="R1" s="8"/>
      <c r="S1" s="8"/>
      <c r="T1" s="8"/>
      <c r="U1" s="8"/>
      <c r="V1" s="8"/>
      <c r="W1" s="8"/>
      <c r="X1" s="8"/>
      <c r="Y1" s="8"/>
      <c r="Z1" s="1"/>
      <c r="AA1" s="1"/>
      <c r="AB1" s="1"/>
      <c r="AC1" s="230" t="s">
        <v>282</v>
      </c>
      <c r="AD1" s="230" t="s">
        <v>341</v>
      </c>
      <c r="AE1" s="182"/>
    </row>
    <row r="2" spans="1:31" ht="27" customHeight="1">
      <c r="A2" s="1"/>
      <c r="B2" s="474" t="s">
        <v>342</v>
      </c>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8"/>
      <c r="AD2" s="8"/>
      <c r="AE2" s="182"/>
    </row>
    <row r="3" spans="1:31" ht="23.25" customHeight="1">
      <c r="A3" s="1"/>
      <c r="B3" s="468" t="s">
        <v>87</v>
      </c>
      <c r="C3" s="469"/>
      <c r="D3" s="473" t="s">
        <v>343</v>
      </c>
      <c r="E3" s="473"/>
      <c r="F3" s="473"/>
      <c r="G3" s="473"/>
      <c r="H3" s="1"/>
      <c r="I3" s="1"/>
      <c r="J3" s="1"/>
      <c r="K3" s="1"/>
      <c r="L3" s="1"/>
      <c r="M3" s="1"/>
      <c r="N3" s="1"/>
      <c r="O3" s="8"/>
      <c r="P3" s="8"/>
      <c r="Q3" s="8"/>
      <c r="R3" s="8"/>
      <c r="S3" s="8"/>
      <c r="T3" s="8"/>
      <c r="U3" s="8"/>
      <c r="V3" s="8"/>
      <c r="W3" s="8"/>
      <c r="X3" s="8"/>
      <c r="Y3" s="8"/>
      <c r="Z3" s="1"/>
      <c r="AA3" s="1"/>
      <c r="AB3" s="1"/>
      <c r="AC3" s="8"/>
      <c r="AD3" s="8"/>
      <c r="AE3" s="182"/>
    </row>
    <row r="4" spans="1:31" ht="21" customHeight="1">
      <c r="A4" s="1"/>
      <c r="B4" s="1"/>
      <c r="C4" s="1"/>
      <c r="D4" s="444"/>
      <c r="E4" s="444"/>
      <c r="F4" s="444"/>
      <c r="G4" s="444"/>
      <c r="H4" s="1"/>
      <c r="I4" s="1"/>
      <c r="J4" s="1"/>
      <c r="K4" s="1"/>
      <c r="L4" s="1"/>
      <c r="M4" s="1"/>
      <c r="N4" s="1"/>
      <c r="O4" s="8"/>
      <c r="P4" s="8"/>
      <c r="Q4" s="8"/>
      <c r="R4" s="8"/>
      <c r="S4" s="8"/>
      <c r="T4" s="8"/>
      <c r="U4" s="8"/>
      <c r="V4" s="8"/>
      <c r="W4" s="8"/>
      <c r="X4" s="8"/>
      <c r="Y4" s="8"/>
      <c r="Z4" s="1"/>
      <c r="AA4" s="1"/>
      <c r="AB4" s="1"/>
      <c r="AC4" s="8"/>
      <c r="AD4" s="8"/>
      <c r="AE4" s="182"/>
    </row>
    <row r="5" spans="1:31" ht="18" customHeight="1">
      <c r="A5" s="1"/>
      <c r="B5" s="1"/>
      <c r="C5" s="1"/>
      <c r="D5" s="1"/>
      <c r="E5" s="1"/>
      <c r="F5" s="1"/>
      <c r="G5" s="1"/>
      <c r="H5" s="1"/>
      <c r="I5" s="1"/>
      <c r="J5" s="1"/>
      <c r="K5" s="1"/>
      <c r="L5" s="1"/>
      <c r="M5" s="1"/>
      <c r="N5" s="1"/>
      <c r="O5" s="8"/>
      <c r="P5" s="8"/>
      <c r="Q5" s="8"/>
      <c r="R5" s="8"/>
      <c r="S5" s="8"/>
      <c r="T5" s="8"/>
      <c r="U5" s="8"/>
      <c r="V5" s="8"/>
      <c r="W5" s="8"/>
      <c r="X5" s="8"/>
      <c r="Y5" s="8"/>
      <c r="Z5" s="1"/>
      <c r="AA5" s="1"/>
      <c r="AB5" s="1"/>
      <c r="AC5" s="8"/>
      <c r="AD5" s="8"/>
      <c r="AE5" s="182"/>
    </row>
    <row r="6" spans="1:31" ht="41.25" customHeight="1">
      <c r="A6" s="1"/>
      <c r="B6" s="23" t="s">
        <v>89</v>
      </c>
      <c r="C6" s="23" t="s">
        <v>90</v>
      </c>
      <c r="D6" s="23" t="s">
        <v>91</v>
      </c>
      <c r="E6" s="23" t="s">
        <v>92</v>
      </c>
      <c r="F6" s="23" t="s">
        <v>93</v>
      </c>
      <c r="G6" s="23" t="s">
        <v>202</v>
      </c>
      <c r="H6" s="23" t="s">
        <v>344</v>
      </c>
      <c r="I6" s="23" t="s">
        <v>345</v>
      </c>
      <c r="J6" s="23" t="s">
        <v>346</v>
      </c>
      <c r="K6" s="23" t="s">
        <v>347</v>
      </c>
      <c r="L6" s="23" t="s">
        <v>27</v>
      </c>
      <c r="M6" s="23" t="s">
        <v>348</v>
      </c>
      <c r="N6" s="23" t="s">
        <v>349</v>
      </c>
      <c r="O6" s="23" t="s">
        <v>350</v>
      </c>
      <c r="P6" s="23" t="s">
        <v>351</v>
      </c>
      <c r="Q6" s="23" t="s">
        <v>352</v>
      </c>
      <c r="R6" s="23" t="s">
        <v>353</v>
      </c>
      <c r="S6" s="23" t="s">
        <v>354</v>
      </c>
      <c r="T6" s="23" t="s">
        <v>355</v>
      </c>
      <c r="U6" s="23" t="s">
        <v>356</v>
      </c>
      <c r="V6" s="23" t="s">
        <v>213</v>
      </c>
      <c r="W6" s="23" t="s">
        <v>214</v>
      </c>
      <c r="X6" s="23" t="s">
        <v>357</v>
      </c>
      <c r="Y6" s="23" t="s">
        <v>113</v>
      </c>
      <c r="Z6" s="23" t="s">
        <v>115</v>
      </c>
      <c r="AA6" s="23" t="s">
        <v>116</v>
      </c>
      <c r="AB6" s="23" t="s">
        <v>30</v>
      </c>
      <c r="AE6" s="182"/>
    </row>
    <row r="7" spans="1:31" ht="24" customHeight="1">
      <c r="A7" s="1"/>
      <c r="B7" s="33">
        <v>1</v>
      </c>
      <c r="C7" s="33" t="s">
        <v>358</v>
      </c>
      <c r="D7" s="100"/>
      <c r="E7" s="92"/>
      <c r="F7" s="92"/>
      <c r="G7" s="252"/>
      <c r="H7" s="92"/>
      <c r="I7" s="100"/>
      <c r="J7" s="101"/>
      <c r="K7" s="92"/>
      <c r="L7" s="92"/>
      <c r="M7" s="92"/>
      <c r="N7" s="92"/>
      <c r="O7" s="73" t="str">
        <f>IFERROR(IF($I7&lt;6000,$G$21,IF(AND($I7&lt;=7999,$I7&gt;=6000),$G$22,IF(AND($I7&lt;=10999,$I7&gt;=8000),$G$23,IF(AND($I7&lt;=13999,$I7&gt;=11000),$G$24,IF(AND($I7&lt;=19999,$I7&gt;=14000),$G$25, P7))))), "")</f>
        <v>&lt; 6,000</v>
      </c>
      <c r="P7" s="73" t="str">
        <f>IFERROR(IF(AND(I7&lt;=24999, I7&gt;=20000), $G$26, IF(AND(I7&lt;=27999, I7&gt;=25000), $G$27, IF(I7&gt;=28000, $G$28, ""))), "")</f>
        <v/>
      </c>
      <c r="Q7" s="74" t="str">
        <f t="shared" ref="Q7:Q14" si="0">IF(K7="Yes", "Federal Standard with louvered sides (EER)", "Federal Standard without louvered sides (EER)")</f>
        <v>Federal Standard without louvered sides (EER)</v>
      </c>
      <c r="R7" s="74" t="str">
        <f t="array" ref="R7">IFERROR(INDEX($F$21:$K$52,MATCH(1,($F$21:$F$52=$J7)*($G$21:$G$52=$O7),0),IF($Q7=$H$20,3,4)), "")</f>
        <v/>
      </c>
      <c r="S7" s="74" t="str">
        <f t="array" ref="S7">IFERROR(INDEX($F$21:$K$52,MATCH(1,($F$21:$F$52=$J7)*($G$21:$G$52=$O7),0),IF(Q7=$H$20,5,6)), "")</f>
        <v/>
      </c>
      <c r="T7" s="70" t="str">
        <f t="shared" ref="T7:T14" si="1">IF(H7="", "", VLOOKUP(G7, $M$20:$T$41, IF(X7=$N$19, 2, IF(X7=$O$19, 3, IF(X7=$P$19, 4, IF(X7=$Q$19, 5, IF(X7=$R$19, 6, IF(X7=$S$19, 7, 8)))))), FALSE))</f>
        <v/>
      </c>
      <c r="U7" s="71" t="str">
        <f t="shared" ref="U7:U14" si="2">IF(H7="", "", VLOOKUP(G7, $M$45:$T$66, IF(H7=$N$44, 2, IF(X7=$O$44, 3, IF(X7=$P$44, 4, IF(X7=$Q$44, 5, IF(X7=$R$44, 6, IF(X7=$S$44, 7, 8)))))), FALSE))</f>
        <v/>
      </c>
      <c r="V7" s="73" t="str">
        <f>IFERROR($T7*((1/$R7)-(1/$S7))*$I7/1000, "")</f>
        <v/>
      </c>
      <c r="W7" s="75" t="str">
        <f>IFERROR($I7*((1/$R7)-(1/$S7))*$U7/1000,"")</f>
        <v/>
      </c>
      <c r="X7" s="228" t="e">
        <f>VLOOKUP(H7, 'Zip code lookup table'!$A$2:$C$2223, 3, FALSE)</f>
        <v>#N/A</v>
      </c>
      <c r="Y7" s="90">
        <f>$C$32</f>
        <v>9</v>
      </c>
      <c r="Z7" s="45" t="str">
        <f>IFERROR($W7*$L7,"")</f>
        <v/>
      </c>
      <c r="AA7" s="78" t="str">
        <f t="shared" ref="AA7:AA14" si="3">IFERROR($V7*$L7,"")</f>
        <v/>
      </c>
      <c r="AB7" s="46" t="str">
        <f t="shared" ref="AB7:AB14" si="4">IF(OR(L7="", AA7=""), "", L7*$D$19)</f>
        <v/>
      </c>
      <c r="AE7" s="182"/>
    </row>
    <row r="8" spans="1:31" ht="24" customHeight="1">
      <c r="A8" s="1"/>
      <c r="B8" s="33">
        <v>2</v>
      </c>
      <c r="C8" s="33" t="s">
        <v>358</v>
      </c>
      <c r="D8" s="100"/>
      <c r="E8" s="92"/>
      <c r="F8" s="92"/>
      <c r="G8" s="252"/>
      <c r="H8" s="92"/>
      <c r="I8" s="100"/>
      <c r="J8" s="101"/>
      <c r="K8" s="92"/>
      <c r="L8" s="92"/>
      <c r="M8" s="92"/>
      <c r="N8" s="92"/>
      <c r="O8" s="73" t="str">
        <f t="shared" ref="O8:O14" si="5">IFERROR(IF($I8&lt;6000,$G$21,IF(AND($I8&lt;=7999,$I8&gt;=6000),$G$22,IF(AND($I8&lt;=10999,$I8&gt;=8000),$G$23,IF(AND($I8&lt;=13999,$I8&gt;=11000),$G$24,IF(AND($I8&lt;=19999,$I8&gt;=14000),$G$25, P8))))), "")</f>
        <v>&lt; 6,000</v>
      </c>
      <c r="P8" s="73" t="str">
        <f t="shared" ref="P8:P14" si="6">IFERROR(IF(AND(I8&lt;=24999, I8&gt;=20000), $G$26, IF(AND(I8&lt;=27999, I8&gt;=25000), $G$27, IF(I8&gt;=28000, $G$28, ""))), "")</f>
        <v/>
      </c>
      <c r="Q8" s="74" t="str">
        <f t="shared" si="0"/>
        <v>Federal Standard without louvered sides (EER)</v>
      </c>
      <c r="R8" s="74" t="str">
        <f t="array" ref="R8">IFERROR(INDEX($F$21:$K$50,MATCH(1,($F$21:$F$50=$J8)*($G$21:$G$50=$O8),0),IF($Q8=$H$20,3,4)), "")</f>
        <v/>
      </c>
      <c r="S8" s="74" t="str">
        <f t="array" ref="S8">IFERROR(INDEX($F$21:$K$50,MATCH(1,($F$21:$F$50=$J8)*($G$21:$G$50=$O8),0),IF(Q8=$H$20,5,6)), "")</f>
        <v/>
      </c>
      <c r="T8" s="70" t="str">
        <f t="shared" si="1"/>
        <v/>
      </c>
      <c r="U8" s="71" t="str">
        <f t="shared" si="2"/>
        <v/>
      </c>
      <c r="V8" s="73" t="str">
        <f t="shared" ref="V8:V14" si="7">IFERROR($T8*((1/$R8)-(1/$S8))*$I8/1000, "")</f>
        <v/>
      </c>
      <c r="W8" s="75" t="str">
        <f t="shared" ref="W8:W14" si="8">IFERROR($I8*((1/$R8)-(1/$S8))*$U8/1000,"")</f>
        <v/>
      </c>
      <c r="X8" s="228" t="e">
        <f>VLOOKUP(H8, 'Zip code lookup table'!$A$2:$C$2223, 3, FALSE)</f>
        <v>#N/A</v>
      </c>
      <c r="Y8" s="90">
        <f t="shared" ref="Y8:Y14" si="9">$C$32</f>
        <v>9</v>
      </c>
      <c r="Z8" s="45" t="str">
        <f t="shared" ref="Z8:Z14" si="10">IFERROR($W8*$L8,"")</f>
        <v/>
      </c>
      <c r="AA8" s="78" t="str">
        <f t="shared" si="3"/>
        <v/>
      </c>
      <c r="AB8" s="46" t="str">
        <f t="shared" si="4"/>
        <v/>
      </c>
      <c r="AE8" s="182"/>
    </row>
    <row r="9" spans="1:31" ht="24" customHeight="1">
      <c r="A9" s="1"/>
      <c r="B9" s="33">
        <v>3</v>
      </c>
      <c r="C9" s="33" t="s">
        <v>358</v>
      </c>
      <c r="D9" s="100"/>
      <c r="E9" s="92"/>
      <c r="F9" s="92"/>
      <c r="G9" s="252"/>
      <c r="H9" s="92"/>
      <c r="I9" s="100"/>
      <c r="J9" s="101"/>
      <c r="K9" s="92"/>
      <c r="L9" s="92"/>
      <c r="M9" s="92"/>
      <c r="N9" s="92"/>
      <c r="O9" s="73" t="str">
        <f t="shared" si="5"/>
        <v>&lt; 6,000</v>
      </c>
      <c r="P9" s="73" t="str">
        <f t="shared" si="6"/>
        <v/>
      </c>
      <c r="Q9" s="74" t="str">
        <f t="shared" si="0"/>
        <v>Federal Standard without louvered sides (EER)</v>
      </c>
      <c r="R9" s="74" t="str">
        <f t="array" ref="R9">IFERROR(INDEX($F$21:$K$50,MATCH(1,($F$21:$F$50=$J9)*($G$21:$G$50=$O9),0),IF($Q9=$H$20,3,4)), "")</f>
        <v/>
      </c>
      <c r="S9" s="74" t="str">
        <f t="array" ref="S9">IFERROR(INDEX($F$21:$K$50,MATCH(1,($F$21:$F$50=$J9)*($G$21:$G$50=$O9),0),IF(Q9=$H$20,5,6)), "")</f>
        <v/>
      </c>
      <c r="T9" s="70" t="str">
        <f t="shared" si="1"/>
        <v/>
      </c>
      <c r="U9" s="71" t="str">
        <f t="shared" si="2"/>
        <v/>
      </c>
      <c r="V9" s="73" t="str">
        <f t="shared" si="7"/>
        <v/>
      </c>
      <c r="W9" s="75" t="str">
        <f t="shared" si="8"/>
        <v/>
      </c>
      <c r="X9" s="228" t="e">
        <f>VLOOKUP(H9, 'Zip code lookup table'!$A$2:$C$2223, 3, FALSE)</f>
        <v>#N/A</v>
      </c>
      <c r="Y9" s="90">
        <f t="shared" si="9"/>
        <v>9</v>
      </c>
      <c r="Z9" s="45" t="str">
        <f t="shared" si="10"/>
        <v/>
      </c>
      <c r="AA9" s="78" t="str">
        <f t="shared" si="3"/>
        <v/>
      </c>
      <c r="AB9" s="46" t="str">
        <f t="shared" si="4"/>
        <v/>
      </c>
      <c r="AE9" s="182"/>
    </row>
    <row r="10" spans="1:31" ht="24" customHeight="1">
      <c r="A10" s="1"/>
      <c r="B10" s="34">
        <v>4</v>
      </c>
      <c r="C10" s="33" t="s">
        <v>358</v>
      </c>
      <c r="D10" s="100"/>
      <c r="E10" s="92"/>
      <c r="F10" s="92"/>
      <c r="G10" s="252"/>
      <c r="H10" s="92"/>
      <c r="I10" s="100"/>
      <c r="J10" s="101"/>
      <c r="K10" s="92"/>
      <c r="L10" s="92"/>
      <c r="M10" s="92"/>
      <c r="N10" s="92"/>
      <c r="O10" s="73" t="str">
        <f t="shared" si="5"/>
        <v>&lt; 6,000</v>
      </c>
      <c r="P10" s="73" t="str">
        <f t="shared" si="6"/>
        <v/>
      </c>
      <c r="Q10" s="74" t="str">
        <f t="shared" si="0"/>
        <v>Federal Standard without louvered sides (EER)</v>
      </c>
      <c r="R10" s="74" t="str">
        <f t="array" ref="R10">IFERROR(INDEX($F$21:$K$50,MATCH(1,($F$21:$F$50=$J10)*($G$21:$G$50=$O10),0),IF($Q10=$H$20,3,4)), "")</f>
        <v/>
      </c>
      <c r="S10" s="74" t="str">
        <f t="array" ref="S10">IFERROR(INDEX($F$21:$K$50,MATCH(1,($F$21:$F$50=$J10)*($G$21:$G$50=$O10),0),IF(Q10=$H$20,5,6)), "")</f>
        <v/>
      </c>
      <c r="T10" s="70" t="str">
        <f t="shared" si="1"/>
        <v/>
      </c>
      <c r="U10" s="71" t="str">
        <f t="shared" si="2"/>
        <v/>
      </c>
      <c r="V10" s="73" t="str">
        <f t="shared" si="7"/>
        <v/>
      </c>
      <c r="W10" s="75" t="str">
        <f t="shared" si="8"/>
        <v/>
      </c>
      <c r="X10" s="228" t="e">
        <f>VLOOKUP(H10, 'Zip code lookup table'!$A$2:$C$2223, 3, FALSE)</f>
        <v>#N/A</v>
      </c>
      <c r="Y10" s="90">
        <f t="shared" si="9"/>
        <v>9</v>
      </c>
      <c r="Z10" s="45" t="str">
        <f t="shared" si="10"/>
        <v/>
      </c>
      <c r="AA10" s="78" t="str">
        <f t="shared" si="3"/>
        <v/>
      </c>
      <c r="AB10" s="46" t="str">
        <f t="shared" si="4"/>
        <v/>
      </c>
      <c r="AE10" s="182"/>
    </row>
    <row r="11" spans="1:31" ht="24" customHeight="1">
      <c r="A11" s="1"/>
      <c r="B11" s="33">
        <v>5</v>
      </c>
      <c r="C11" s="33" t="s">
        <v>358</v>
      </c>
      <c r="D11" s="100"/>
      <c r="E11" s="92"/>
      <c r="F11" s="92"/>
      <c r="G11" s="252"/>
      <c r="H11" s="92"/>
      <c r="I11" s="100"/>
      <c r="J11" s="101"/>
      <c r="K11" s="92"/>
      <c r="L11" s="92"/>
      <c r="M11" s="92"/>
      <c r="N11" s="92"/>
      <c r="O11" s="73" t="str">
        <f t="shared" si="5"/>
        <v>&lt; 6,000</v>
      </c>
      <c r="P11" s="73" t="str">
        <f t="shared" si="6"/>
        <v/>
      </c>
      <c r="Q11" s="74" t="str">
        <f t="shared" si="0"/>
        <v>Federal Standard without louvered sides (EER)</v>
      </c>
      <c r="R11" s="74" t="str">
        <f t="array" ref="R11">IFERROR(INDEX($F$21:$K$50,MATCH(1,($F$21:$F$50=$J11)*($G$21:$G$50=$O11),0),IF($Q11=$H$20,3,4)), "")</f>
        <v/>
      </c>
      <c r="S11" s="74" t="str">
        <f t="array" ref="S11">IFERROR(INDEX($F$21:$K$50,MATCH(1,($F$21:$F$50=$J11)*($G$21:$G$50=$O11),0),IF(Q11=$H$20,5,6)), "")</f>
        <v/>
      </c>
      <c r="T11" s="70" t="str">
        <f t="shared" si="1"/>
        <v/>
      </c>
      <c r="U11" s="71" t="str">
        <f t="shared" si="2"/>
        <v/>
      </c>
      <c r="V11" s="73" t="str">
        <f t="shared" si="7"/>
        <v/>
      </c>
      <c r="W11" s="75" t="str">
        <f t="shared" si="8"/>
        <v/>
      </c>
      <c r="X11" s="228" t="e">
        <f>VLOOKUP(H11, 'Zip code lookup table'!$A$2:$C$2223, 3, FALSE)</f>
        <v>#N/A</v>
      </c>
      <c r="Y11" s="90">
        <f t="shared" si="9"/>
        <v>9</v>
      </c>
      <c r="Z11" s="45" t="str">
        <f t="shared" si="10"/>
        <v/>
      </c>
      <c r="AA11" s="78" t="str">
        <f t="shared" si="3"/>
        <v/>
      </c>
      <c r="AB11" s="46" t="str">
        <f t="shared" si="4"/>
        <v/>
      </c>
      <c r="AE11" s="182"/>
    </row>
    <row r="12" spans="1:31" ht="24" customHeight="1">
      <c r="A12" s="1"/>
      <c r="B12" s="33">
        <v>6</v>
      </c>
      <c r="C12" s="33" t="s">
        <v>358</v>
      </c>
      <c r="D12" s="100"/>
      <c r="E12" s="92"/>
      <c r="F12" s="92"/>
      <c r="G12" s="252"/>
      <c r="H12" s="92"/>
      <c r="I12" s="100"/>
      <c r="J12" s="101"/>
      <c r="K12" s="92"/>
      <c r="L12" s="92"/>
      <c r="M12" s="92"/>
      <c r="N12" s="92"/>
      <c r="O12" s="73" t="str">
        <f t="shared" si="5"/>
        <v>&lt; 6,000</v>
      </c>
      <c r="P12" s="73" t="str">
        <f t="shared" si="6"/>
        <v/>
      </c>
      <c r="Q12" s="74" t="str">
        <f t="shared" si="0"/>
        <v>Federal Standard without louvered sides (EER)</v>
      </c>
      <c r="R12" s="74" t="str">
        <f t="array" ref="R12">IFERROR(INDEX($F$21:$K$50,MATCH(1,($F$21:$F$50=$J12)*($G$21:$G$50=$O12),0),IF($Q12=$H$20,3,4)), "")</f>
        <v/>
      </c>
      <c r="S12" s="74" t="str">
        <f t="array" ref="S12">IFERROR(INDEX($F$21:$K$50,MATCH(1,($F$21:$F$50=$J12)*($G$21:$G$50=$O12),0),IF(Q12=$H$20,5,6)), "")</f>
        <v/>
      </c>
      <c r="T12" s="70" t="str">
        <f t="shared" si="1"/>
        <v/>
      </c>
      <c r="U12" s="71" t="str">
        <f t="shared" si="2"/>
        <v/>
      </c>
      <c r="V12" s="73" t="str">
        <f t="shared" si="7"/>
        <v/>
      </c>
      <c r="W12" s="75" t="str">
        <f t="shared" si="8"/>
        <v/>
      </c>
      <c r="X12" s="228" t="e">
        <f>VLOOKUP(H12, 'Zip code lookup table'!$A$2:$C$2223, 3, FALSE)</f>
        <v>#N/A</v>
      </c>
      <c r="Y12" s="90">
        <f t="shared" si="9"/>
        <v>9</v>
      </c>
      <c r="Z12" s="45" t="str">
        <f t="shared" si="10"/>
        <v/>
      </c>
      <c r="AA12" s="78" t="str">
        <f t="shared" si="3"/>
        <v/>
      </c>
      <c r="AB12" s="46" t="str">
        <f t="shared" si="4"/>
        <v/>
      </c>
      <c r="AE12" s="182"/>
    </row>
    <row r="13" spans="1:31" ht="24" customHeight="1">
      <c r="A13" s="1"/>
      <c r="B13" s="33">
        <v>7</v>
      </c>
      <c r="C13" s="33" t="s">
        <v>358</v>
      </c>
      <c r="D13" s="100"/>
      <c r="E13" s="92"/>
      <c r="F13" s="92"/>
      <c r="G13" s="252"/>
      <c r="H13" s="92"/>
      <c r="I13" s="100"/>
      <c r="J13" s="101"/>
      <c r="K13" s="92"/>
      <c r="L13" s="92"/>
      <c r="M13" s="92"/>
      <c r="N13" s="92"/>
      <c r="O13" s="73" t="str">
        <f t="shared" si="5"/>
        <v>&lt; 6,000</v>
      </c>
      <c r="P13" s="73" t="str">
        <f t="shared" si="6"/>
        <v/>
      </c>
      <c r="Q13" s="74" t="str">
        <f t="shared" si="0"/>
        <v>Federal Standard without louvered sides (EER)</v>
      </c>
      <c r="R13" s="74" t="str">
        <f t="array" ref="R13">IFERROR(INDEX($F$21:$K$50,MATCH(1,($F$21:$F$50=$J13)*($G$21:$G$50=$O13),0),IF($Q13=$H$20,3,4)), "")</f>
        <v/>
      </c>
      <c r="S13" s="74" t="str">
        <f t="array" ref="S13">IFERROR(INDEX($F$21:$K$50,MATCH(1,($F$21:$F$50=$J13)*($G$21:$G$50=$O13),0),IF(Q13=$H$20,5,6)), "")</f>
        <v/>
      </c>
      <c r="T13" s="70" t="str">
        <f t="shared" si="1"/>
        <v/>
      </c>
      <c r="U13" s="71" t="str">
        <f t="shared" si="2"/>
        <v/>
      </c>
      <c r="V13" s="73" t="str">
        <f t="shared" si="7"/>
        <v/>
      </c>
      <c r="W13" s="75" t="str">
        <f t="shared" si="8"/>
        <v/>
      </c>
      <c r="X13" s="228" t="e">
        <f>VLOOKUP(H13, 'Zip code lookup table'!$A$2:$C$2223, 3, FALSE)</f>
        <v>#N/A</v>
      </c>
      <c r="Y13" s="90">
        <f t="shared" si="9"/>
        <v>9</v>
      </c>
      <c r="Z13" s="45" t="str">
        <f t="shared" si="10"/>
        <v/>
      </c>
      <c r="AA13" s="78" t="str">
        <f t="shared" si="3"/>
        <v/>
      </c>
      <c r="AB13" s="46" t="str">
        <f t="shared" si="4"/>
        <v/>
      </c>
      <c r="AE13" s="182"/>
    </row>
    <row r="14" spans="1:31" ht="24" customHeight="1">
      <c r="A14" s="1"/>
      <c r="B14" s="33">
        <v>8</v>
      </c>
      <c r="C14" s="33" t="s">
        <v>358</v>
      </c>
      <c r="D14" s="100"/>
      <c r="E14" s="92"/>
      <c r="F14" s="92"/>
      <c r="G14" s="252"/>
      <c r="H14" s="92"/>
      <c r="I14" s="100"/>
      <c r="J14" s="101"/>
      <c r="K14" s="92"/>
      <c r="L14" s="92"/>
      <c r="M14" s="92"/>
      <c r="N14" s="92"/>
      <c r="O14" s="73" t="str">
        <f t="shared" si="5"/>
        <v>&lt; 6,000</v>
      </c>
      <c r="P14" s="73" t="str">
        <f t="shared" si="6"/>
        <v/>
      </c>
      <c r="Q14" s="74" t="str">
        <f t="shared" si="0"/>
        <v>Federal Standard without louvered sides (EER)</v>
      </c>
      <c r="R14" s="74" t="str">
        <f t="array" ref="R14">IFERROR(INDEX($F$21:$K$50,MATCH(1,($F$21:$F$50=$J14)*($G$21:$G$50=$O14),0),IF($Q14=$H$20,3,4)), "")</f>
        <v/>
      </c>
      <c r="S14" s="74" t="str">
        <f t="array" ref="S14">IFERROR(INDEX($F$21:$K$50,MATCH(1,($F$21:$F$50=$J14)*($G$21:$G$50=$O14),0),IF(Q14=$H$20,5,6)), "")</f>
        <v/>
      </c>
      <c r="T14" s="70" t="str">
        <f t="shared" si="1"/>
        <v/>
      </c>
      <c r="U14" s="71" t="str">
        <f t="shared" si="2"/>
        <v/>
      </c>
      <c r="V14" s="73" t="str">
        <f t="shared" si="7"/>
        <v/>
      </c>
      <c r="W14" s="75" t="str">
        <f t="shared" si="8"/>
        <v/>
      </c>
      <c r="X14" s="228" t="e">
        <f>VLOOKUP(H14, 'Zip code lookup table'!$A$2:$C$2223, 3, FALSE)</f>
        <v>#N/A</v>
      </c>
      <c r="Y14" s="90">
        <f t="shared" si="9"/>
        <v>9</v>
      </c>
      <c r="Z14" s="45" t="str">
        <f t="shared" si="10"/>
        <v/>
      </c>
      <c r="AA14" s="78" t="str">
        <f t="shared" si="3"/>
        <v/>
      </c>
      <c r="AB14" s="46" t="str">
        <f t="shared" si="4"/>
        <v/>
      </c>
      <c r="AE14" s="182"/>
    </row>
    <row r="15" spans="1:31">
      <c r="A15" s="8"/>
      <c r="AA15" s="26"/>
      <c r="AE15" s="182"/>
    </row>
    <row r="16" spans="1:31">
      <c r="A16" s="8"/>
      <c r="L16" s="10">
        <f>SUM(L7:L14)</f>
        <v>0</v>
      </c>
      <c r="M16" s="10"/>
      <c r="N16" s="10"/>
      <c r="O16" s="10"/>
      <c r="Q16" s="10"/>
      <c r="R16" s="10"/>
      <c r="S16" s="10"/>
      <c r="T16" s="10"/>
      <c r="U16" s="10"/>
      <c r="V16" s="10"/>
      <c r="W16" s="10"/>
      <c r="X16" s="10"/>
      <c r="Y16" s="10"/>
      <c r="Z16" s="144">
        <f>SUM(Z7:Z14)</f>
        <v>0</v>
      </c>
      <c r="AA16" s="144">
        <f>SUM(AA7:AA14)</f>
        <v>0</v>
      </c>
      <c r="AB16" s="64">
        <f>SUM(AB7:AB14)</f>
        <v>0</v>
      </c>
      <c r="AE16" s="182"/>
    </row>
    <row r="17" spans="1:31" ht="15.75" thickBot="1">
      <c r="A17" s="8"/>
      <c r="K17" s="27"/>
      <c r="U17" s="99"/>
      <c r="V17" s="99"/>
      <c r="W17" s="99"/>
      <c r="AE17" s="182"/>
    </row>
    <row r="18" spans="1:31" ht="30">
      <c r="A18" s="8"/>
      <c r="C18" s="14" t="s">
        <v>359</v>
      </c>
      <c r="D18" s="14" t="s">
        <v>30</v>
      </c>
      <c r="F18" s="470" t="s">
        <v>360</v>
      </c>
      <c r="G18" s="471"/>
      <c r="H18" s="471"/>
      <c r="I18" s="471"/>
      <c r="J18" s="471"/>
      <c r="K18" s="472"/>
      <c r="M18" s="476" t="s">
        <v>361</v>
      </c>
      <c r="N18" s="477"/>
      <c r="O18" s="477"/>
      <c r="P18" s="477"/>
      <c r="Q18" s="477"/>
      <c r="R18" s="477"/>
      <c r="S18" s="477"/>
      <c r="T18" s="477"/>
      <c r="U18" s="477"/>
      <c r="V18" s="478"/>
      <c r="Y18" s="60" t="s">
        <v>357</v>
      </c>
      <c r="AE18" s="182"/>
    </row>
    <row r="19" spans="1:31" ht="15.75" customHeight="1">
      <c r="A19" s="8"/>
      <c r="C19" s="76" t="s">
        <v>362</v>
      </c>
      <c r="D19" s="77">
        <v>10</v>
      </c>
      <c r="F19" s="31"/>
      <c r="G19" s="32"/>
      <c r="H19" s="28" t="s">
        <v>363</v>
      </c>
      <c r="I19" s="28" t="s">
        <v>364</v>
      </c>
      <c r="J19" s="28" t="s">
        <v>363</v>
      </c>
      <c r="K19" s="29" t="s">
        <v>364</v>
      </c>
      <c r="M19" s="240" t="s">
        <v>365</v>
      </c>
      <c r="N19" s="241" t="s">
        <v>366</v>
      </c>
      <c r="O19" s="241" t="s">
        <v>367</v>
      </c>
      <c r="P19" s="241" t="s">
        <v>368</v>
      </c>
      <c r="Q19" s="241" t="s">
        <v>369</v>
      </c>
      <c r="R19" s="241" t="s">
        <v>370</v>
      </c>
      <c r="S19" s="241" t="s">
        <v>371</v>
      </c>
      <c r="T19" s="214" t="s">
        <v>372</v>
      </c>
      <c r="U19" s="214" t="s">
        <v>373</v>
      </c>
      <c r="V19" s="242" t="s">
        <v>374</v>
      </c>
      <c r="Y19" s="48" t="s">
        <v>366</v>
      </c>
      <c r="AE19" s="182"/>
    </row>
    <row r="20" spans="1:31" ht="45">
      <c r="A20" s="8"/>
      <c r="F20" s="176" t="s">
        <v>375</v>
      </c>
      <c r="G20" s="177" t="s">
        <v>376</v>
      </c>
      <c r="H20" s="178" t="s">
        <v>377</v>
      </c>
      <c r="I20" s="178" t="s">
        <v>378</v>
      </c>
      <c r="J20" s="178" t="s">
        <v>379</v>
      </c>
      <c r="K20" s="179" t="s">
        <v>380</v>
      </c>
      <c r="M20" s="243" t="s">
        <v>381</v>
      </c>
      <c r="N20" s="216">
        <v>640</v>
      </c>
      <c r="O20" s="216">
        <v>440</v>
      </c>
      <c r="P20" s="216">
        <v>369</v>
      </c>
      <c r="Q20" s="216">
        <v>478</v>
      </c>
      <c r="R20" s="216">
        <v>657</v>
      </c>
      <c r="S20" s="216">
        <v>734</v>
      </c>
      <c r="T20" s="216">
        <v>594</v>
      </c>
      <c r="U20" s="213">
        <v>533</v>
      </c>
      <c r="V20" s="244">
        <v>595</v>
      </c>
      <c r="Y20" s="48" t="s">
        <v>367</v>
      </c>
      <c r="AE20" s="182"/>
    </row>
    <row r="21" spans="1:31" ht="30">
      <c r="A21" s="8"/>
      <c r="C21" s="36" t="s">
        <v>382</v>
      </c>
      <c r="D21" s="13" t="s">
        <v>383</v>
      </c>
      <c r="F21" s="35" t="s">
        <v>384</v>
      </c>
      <c r="G21" s="3" t="s">
        <v>385</v>
      </c>
      <c r="H21" s="35">
        <v>11</v>
      </c>
      <c r="I21" s="35">
        <v>10</v>
      </c>
      <c r="J21" s="35">
        <v>12.1</v>
      </c>
      <c r="K21" s="35">
        <v>11</v>
      </c>
      <c r="M21" s="245" t="s">
        <v>386</v>
      </c>
      <c r="N21" s="216">
        <v>267</v>
      </c>
      <c r="O21" s="216">
        <v>163</v>
      </c>
      <c r="P21" s="216">
        <v>139</v>
      </c>
      <c r="Q21" s="216">
        <v>185</v>
      </c>
      <c r="R21" s="216">
        <v>310</v>
      </c>
      <c r="S21" s="216">
        <v>345</v>
      </c>
      <c r="T21" s="216">
        <v>273</v>
      </c>
      <c r="U21" s="213">
        <v>217</v>
      </c>
      <c r="V21" s="244">
        <v>239</v>
      </c>
      <c r="Y21" s="48" t="s">
        <v>368</v>
      </c>
      <c r="AE21" s="182"/>
    </row>
    <row r="22" spans="1:31">
      <c r="A22" s="8"/>
      <c r="C22" s="30" t="s">
        <v>384</v>
      </c>
      <c r="D22" s="25" t="s">
        <v>161</v>
      </c>
      <c r="F22" s="35" t="s">
        <v>384</v>
      </c>
      <c r="G22" s="35" t="s">
        <v>387</v>
      </c>
      <c r="H22" s="35">
        <v>11</v>
      </c>
      <c r="I22" s="35">
        <v>10</v>
      </c>
      <c r="J22" s="35">
        <v>12.1</v>
      </c>
      <c r="K22" s="35">
        <v>11</v>
      </c>
      <c r="M22" s="245" t="s">
        <v>317</v>
      </c>
      <c r="N22" s="216">
        <v>654</v>
      </c>
      <c r="O22" s="216">
        <v>542</v>
      </c>
      <c r="P22" s="216">
        <v>542</v>
      </c>
      <c r="Q22" s="216">
        <v>636</v>
      </c>
      <c r="R22" s="216">
        <v>453</v>
      </c>
      <c r="S22" s="216">
        <v>536</v>
      </c>
      <c r="T22" s="216">
        <v>638</v>
      </c>
      <c r="U22" s="213">
        <v>434</v>
      </c>
      <c r="V22" s="244">
        <v>442</v>
      </c>
      <c r="Y22" s="48" t="s">
        <v>369</v>
      </c>
      <c r="AE22" s="182"/>
    </row>
    <row r="23" spans="1:31">
      <c r="A23" s="8"/>
      <c r="C23" s="30" t="s">
        <v>388</v>
      </c>
      <c r="D23" s="25" t="s">
        <v>155</v>
      </c>
      <c r="F23" s="35" t="s">
        <v>384</v>
      </c>
      <c r="G23" s="35" t="s">
        <v>389</v>
      </c>
      <c r="H23" s="35">
        <v>10.9</v>
      </c>
      <c r="I23" s="35">
        <v>9.6</v>
      </c>
      <c r="J23" s="35">
        <v>12</v>
      </c>
      <c r="K23" s="35">
        <v>10.6</v>
      </c>
      <c r="M23" s="245" t="s">
        <v>390</v>
      </c>
      <c r="N23" s="216">
        <v>1030</v>
      </c>
      <c r="O23" s="216">
        <v>977</v>
      </c>
      <c r="P23" s="216">
        <v>977</v>
      </c>
      <c r="Q23" s="216">
        <v>1038</v>
      </c>
      <c r="R23" s="216">
        <v>892</v>
      </c>
      <c r="S23" s="216">
        <v>1059</v>
      </c>
      <c r="T23" s="216">
        <v>788</v>
      </c>
      <c r="U23" s="213">
        <v>1022</v>
      </c>
      <c r="V23" s="244">
        <v>1013</v>
      </c>
      <c r="Y23" s="48" t="s">
        <v>370</v>
      </c>
      <c r="AE23" s="182"/>
    </row>
    <row r="24" spans="1:31">
      <c r="A24" s="8"/>
      <c r="C24" s="30" t="s">
        <v>391</v>
      </c>
      <c r="F24" s="35" t="s">
        <v>384</v>
      </c>
      <c r="G24" s="35" t="s">
        <v>392</v>
      </c>
      <c r="H24" s="35">
        <v>10.9</v>
      </c>
      <c r="I24" s="35">
        <v>9.5</v>
      </c>
      <c r="J24" s="35">
        <v>12</v>
      </c>
      <c r="K24" s="35">
        <v>10.5</v>
      </c>
      <c r="M24" s="245" t="s">
        <v>393</v>
      </c>
      <c r="N24" s="216">
        <v>477</v>
      </c>
      <c r="O24" s="216">
        <v>397</v>
      </c>
      <c r="P24" s="216">
        <v>350</v>
      </c>
      <c r="Q24" s="216">
        <v>481</v>
      </c>
      <c r="R24" s="216">
        <v>540</v>
      </c>
      <c r="S24" s="216">
        <v>684</v>
      </c>
      <c r="T24" s="216">
        <v>511</v>
      </c>
      <c r="U24" s="213">
        <v>467</v>
      </c>
      <c r="V24" s="244">
        <v>476</v>
      </c>
      <c r="Y24" s="48" t="s">
        <v>371</v>
      </c>
      <c r="AE24" s="182"/>
    </row>
    <row r="25" spans="1:31">
      <c r="A25" s="8"/>
      <c r="C25" s="30" t="s">
        <v>394</v>
      </c>
      <c r="F25" s="35" t="s">
        <v>384</v>
      </c>
      <c r="G25" s="35" t="s">
        <v>395</v>
      </c>
      <c r="H25" s="35">
        <v>10.7</v>
      </c>
      <c r="I25" s="35">
        <v>9.3000000000000007</v>
      </c>
      <c r="J25" s="35">
        <v>11.8</v>
      </c>
      <c r="K25" s="35">
        <v>10.199999999999999</v>
      </c>
      <c r="M25" s="245" t="s">
        <v>396</v>
      </c>
      <c r="N25" s="216">
        <v>570</v>
      </c>
      <c r="O25" s="216">
        <v>361</v>
      </c>
      <c r="P25" s="216">
        <v>309</v>
      </c>
      <c r="Q25" s="216">
        <v>411</v>
      </c>
      <c r="R25" s="216">
        <v>616</v>
      </c>
      <c r="S25" s="216">
        <v>682</v>
      </c>
      <c r="T25" s="216">
        <v>530</v>
      </c>
      <c r="U25" s="213">
        <v>445</v>
      </c>
      <c r="V25" s="244">
        <v>478</v>
      </c>
      <c r="Y25" s="48" t="s">
        <v>372</v>
      </c>
      <c r="AE25" s="182"/>
    </row>
    <row r="26" spans="1:31">
      <c r="A26" s="8"/>
      <c r="F26" s="35" t="s">
        <v>384</v>
      </c>
      <c r="G26" s="35" t="s">
        <v>397</v>
      </c>
      <c r="H26" s="35">
        <v>9.4</v>
      </c>
      <c r="I26" s="35">
        <v>9.4</v>
      </c>
      <c r="J26" s="35">
        <v>10.3</v>
      </c>
      <c r="K26" s="35">
        <v>10.3</v>
      </c>
      <c r="M26" s="245" t="s">
        <v>334</v>
      </c>
      <c r="N26" s="216">
        <v>753</v>
      </c>
      <c r="O26" s="216">
        <v>516</v>
      </c>
      <c r="P26" s="216">
        <v>455</v>
      </c>
      <c r="Q26" s="216">
        <v>607</v>
      </c>
      <c r="R26" s="216">
        <v>820</v>
      </c>
      <c r="S26" s="216">
        <v>1087</v>
      </c>
      <c r="T26" s="216">
        <v>706</v>
      </c>
      <c r="U26" s="213">
        <v>629</v>
      </c>
      <c r="V26" s="244">
        <v>685</v>
      </c>
      <c r="Y26" s="48" t="s">
        <v>373</v>
      </c>
      <c r="AE26" s="182"/>
    </row>
    <row r="27" spans="1:31">
      <c r="A27" s="8"/>
      <c r="C27" s="13" t="s">
        <v>91</v>
      </c>
      <c r="F27" s="35" t="s">
        <v>384</v>
      </c>
      <c r="G27" s="35" t="s">
        <v>398</v>
      </c>
      <c r="H27" s="232">
        <v>9.4</v>
      </c>
      <c r="I27" s="35">
        <v>9.4</v>
      </c>
      <c r="J27" s="35">
        <v>10.3</v>
      </c>
      <c r="K27" s="35">
        <v>10.3</v>
      </c>
      <c r="M27" s="245" t="s">
        <v>321</v>
      </c>
      <c r="N27" s="216">
        <v>1386</v>
      </c>
      <c r="O27" s="216">
        <v>1205</v>
      </c>
      <c r="P27" s="216">
        <v>1084</v>
      </c>
      <c r="Q27" s="216">
        <v>1392</v>
      </c>
      <c r="R27" s="216">
        <v>1523</v>
      </c>
      <c r="S27" s="216">
        <v>1732</v>
      </c>
      <c r="T27" s="216">
        <v>1478</v>
      </c>
      <c r="U27" s="213">
        <v>1348</v>
      </c>
      <c r="V27" s="244">
        <v>1384</v>
      </c>
      <c r="Y27" s="48" t="s">
        <v>374</v>
      </c>
      <c r="AE27" s="182"/>
    </row>
    <row r="28" spans="1:31">
      <c r="A28" s="8"/>
      <c r="C28" s="15" t="s">
        <v>146</v>
      </c>
      <c r="F28" s="35" t="s">
        <v>384</v>
      </c>
      <c r="G28" s="35" t="s">
        <v>399</v>
      </c>
      <c r="H28" s="35">
        <v>9</v>
      </c>
      <c r="I28" s="35">
        <v>9.4</v>
      </c>
      <c r="J28" s="35">
        <v>9.9</v>
      </c>
      <c r="K28" s="35">
        <v>10.3</v>
      </c>
      <c r="M28" s="245" t="s">
        <v>400</v>
      </c>
      <c r="N28" s="216">
        <v>1395</v>
      </c>
      <c r="O28" s="216">
        <v>654</v>
      </c>
      <c r="P28" s="216">
        <v>577</v>
      </c>
      <c r="Q28" s="216">
        <v>769</v>
      </c>
      <c r="R28" s="216">
        <v>1482</v>
      </c>
      <c r="S28" s="216">
        <v>1647</v>
      </c>
      <c r="T28" s="216">
        <v>1176</v>
      </c>
      <c r="U28" s="213">
        <v>991</v>
      </c>
      <c r="V28" s="244">
        <v>1052</v>
      </c>
      <c r="AE28" s="182"/>
    </row>
    <row r="29" spans="1:31">
      <c r="A29" s="8"/>
      <c r="C29" s="15" t="s">
        <v>147</v>
      </c>
      <c r="F29" s="35" t="s">
        <v>388</v>
      </c>
      <c r="G29" s="35" t="s">
        <v>385</v>
      </c>
      <c r="H29" s="35">
        <v>9.8000000000000007</v>
      </c>
      <c r="I29" s="3">
        <v>9.3000000000000007</v>
      </c>
      <c r="J29" s="233" t="s">
        <v>401</v>
      </c>
      <c r="K29" s="233" t="s">
        <v>401</v>
      </c>
      <c r="M29" s="245" t="s">
        <v>324</v>
      </c>
      <c r="N29" s="216">
        <v>458</v>
      </c>
      <c r="O29" s="216">
        <v>213</v>
      </c>
      <c r="P29" s="216">
        <v>323</v>
      </c>
      <c r="Q29" s="216">
        <v>412</v>
      </c>
      <c r="R29" s="216">
        <v>565</v>
      </c>
      <c r="S29" s="216">
        <v>704</v>
      </c>
      <c r="T29" s="216">
        <v>721</v>
      </c>
      <c r="U29" s="213">
        <v>500</v>
      </c>
      <c r="V29" s="244">
        <v>466</v>
      </c>
      <c r="AE29" s="182"/>
    </row>
    <row r="30" spans="1:31">
      <c r="A30" s="8"/>
      <c r="F30" s="35" t="s">
        <v>388</v>
      </c>
      <c r="G30" s="35" t="s">
        <v>387</v>
      </c>
      <c r="H30" s="35">
        <v>9.8000000000000007</v>
      </c>
      <c r="I30" s="3">
        <v>9.3000000000000007</v>
      </c>
      <c r="J30" s="233" t="s">
        <v>401</v>
      </c>
      <c r="K30" s="233" t="s">
        <v>401</v>
      </c>
      <c r="M30" s="245" t="s">
        <v>327</v>
      </c>
      <c r="N30" s="216">
        <v>550</v>
      </c>
      <c r="O30" s="216">
        <v>429</v>
      </c>
      <c r="P30" s="216">
        <v>374</v>
      </c>
      <c r="Q30" s="216">
        <v>513</v>
      </c>
      <c r="R30" s="216">
        <v>590</v>
      </c>
      <c r="S30" s="216">
        <v>791</v>
      </c>
      <c r="T30" s="216">
        <v>632</v>
      </c>
      <c r="U30" s="213">
        <v>522</v>
      </c>
      <c r="V30" s="246">
        <v>594</v>
      </c>
      <c r="W30" s="99"/>
      <c r="AE30" s="182"/>
    </row>
    <row r="31" spans="1:31">
      <c r="A31" s="8"/>
      <c r="C31" s="60" t="s">
        <v>113</v>
      </c>
      <c r="F31" s="35" t="s">
        <v>388</v>
      </c>
      <c r="G31" s="35" t="s">
        <v>389</v>
      </c>
      <c r="H31" s="35">
        <v>9.8000000000000007</v>
      </c>
      <c r="I31" s="3">
        <v>9.3000000000000007</v>
      </c>
      <c r="J31" s="233" t="s">
        <v>401</v>
      </c>
      <c r="K31" s="233" t="s">
        <v>401</v>
      </c>
      <c r="M31" s="245" t="s">
        <v>330</v>
      </c>
      <c r="N31" s="216">
        <v>735</v>
      </c>
      <c r="O31" s="216">
        <v>535</v>
      </c>
      <c r="P31" s="216">
        <v>464</v>
      </c>
      <c r="Q31" s="216">
        <v>620</v>
      </c>
      <c r="R31" s="216">
        <v>742</v>
      </c>
      <c r="S31" s="216">
        <v>911</v>
      </c>
      <c r="T31" s="216">
        <v>816</v>
      </c>
      <c r="U31" s="213">
        <v>603</v>
      </c>
      <c r="V31" s="246">
        <v>648</v>
      </c>
      <c r="W31" s="99"/>
      <c r="AE31" s="182"/>
    </row>
    <row r="32" spans="1:31" ht="15.75" thickBot="1">
      <c r="A32" s="8"/>
      <c r="C32" s="214">
        <v>9</v>
      </c>
      <c r="D32" s="48" t="s">
        <v>323</v>
      </c>
      <c r="F32" s="35" t="s">
        <v>388</v>
      </c>
      <c r="G32" s="35" t="s">
        <v>392</v>
      </c>
      <c r="H32" s="35">
        <v>9.8000000000000007</v>
      </c>
      <c r="I32" s="3">
        <v>9.3000000000000007</v>
      </c>
      <c r="J32" s="233" t="s">
        <v>401</v>
      </c>
      <c r="K32" s="233" t="s">
        <v>401</v>
      </c>
      <c r="M32" s="245" t="s">
        <v>402</v>
      </c>
      <c r="N32" s="216">
        <v>174</v>
      </c>
      <c r="O32" s="216">
        <v>97</v>
      </c>
      <c r="P32" s="216">
        <v>86</v>
      </c>
      <c r="Q32" s="216">
        <v>114</v>
      </c>
      <c r="R32" s="216">
        <v>235</v>
      </c>
      <c r="S32" s="216">
        <v>346</v>
      </c>
      <c r="T32" s="216">
        <v>192</v>
      </c>
      <c r="U32" s="213">
        <v>130</v>
      </c>
      <c r="V32" s="246">
        <v>178</v>
      </c>
      <c r="W32" s="99"/>
      <c r="Y32" s="475" t="s">
        <v>403</v>
      </c>
      <c r="Z32" s="475"/>
      <c r="AE32" s="182"/>
    </row>
    <row r="33" spans="1:31" ht="48" thickBot="1">
      <c r="A33" s="8"/>
      <c r="F33" s="35" t="s">
        <v>388</v>
      </c>
      <c r="G33" s="35" t="s">
        <v>395</v>
      </c>
      <c r="H33" s="233" t="s">
        <v>401</v>
      </c>
      <c r="I33" s="233" t="s">
        <v>401</v>
      </c>
      <c r="J33" s="35">
        <v>10.8</v>
      </c>
      <c r="K33" s="35">
        <v>9.6</v>
      </c>
      <c r="M33" s="247" t="s">
        <v>404</v>
      </c>
      <c r="N33" s="248">
        <v>3130</v>
      </c>
      <c r="O33" s="248">
        <v>3048</v>
      </c>
      <c r="P33" s="248">
        <v>3010</v>
      </c>
      <c r="Q33" s="248">
        <v>3080</v>
      </c>
      <c r="R33" s="248">
        <v>3163</v>
      </c>
      <c r="S33" s="248">
        <v>3200</v>
      </c>
      <c r="T33" s="248">
        <v>3116</v>
      </c>
      <c r="U33" s="249">
        <v>3094</v>
      </c>
      <c r="V33" s="250">
        <v>3135</v>
      </c>
      <c r="W33" s="99"/>
      <c r="Y33" s="236" t="s">
        <v>405</v>
      </c>
      <c r="Z33" s="238" t="s">
        <v>406</v>
      </c>
      <c r="AE33" s="182"/>
    </row>
    <row r="34" spans="1:31">
      <c r="A34" s="8"/>
      <c r="F34" s="35" t="s">
        <v>388</v>
      </c>
      <c r="G34" s="35" t="s">
        <v>397</v>
      </c>
      <c r="H34" s="233" t="s">
        <v>401</v>
      </c>
      <c r="I34" s="233" t="s">
        <v>401</v>
      </c>
      <c r="J34" s="35">
        <v>10.199999999999999</v>
      </c>
      <c r="K34" s="35">
        <v>9.6</v>
      </c>
      <c r="U34" s="99"/>
      <c r="V34" s="99"/>
      <c r="W34" s="99"/>
      <c r="Y34" s="234" t="s">
        <v>366</v>
      </c>
      <c r="Z34" s="237">
        <v>178.25</v>
      </c>
      <c r="AE34" s="182"/>
    </row>
    <row r="35" spans="1:31">
      <c r="A35" s="8"/>
      <c r="F35" s="35" t="s">
        <v>388</v>
      </c>
      <c r="G35" s="3" t="s">
        <v>398</v>
      </c>
      <c r="H35" s="233" t="s">
        <v>401</v>
      </c>
      <c r="I35" s="233" t="s">
        <v>401</v>
      </c>
      <c r="J35" s="35">
        <v>10.199999999999999</v>
      </c>
      <c r="K35" s="35">
        <v>9.6</v>
      </c>
      <c r="U35" s="99"/>
      <c r="V35" s="99"/>
      <c r="W35" s="99"/>
      <c r="Y35" s="234" t="s">
        <v>407</v>
      </c>
      <c r="Z35" s="237">
        <v>103.23</v>
      </c>
      <c r="AE35" s="182"/>
    </row>
    <row r="36" spans="1:31">
      <c r="A36" s="8"/>
      <c r="F36" s="35" t="s">
        <v>388</v>
      </c>
      <c r="G36" s="3" t="s">
        <v>399</v>
      </c>
      <c r="H36" s="233" t="s">
        <v>401</v>
      </c>
      <c r="I36" s="233" t="s">
        <v>401</v>
      </c>
      <c r="J36" s="35">
        <v>10.199999999999999</v>
      </c>
      <c r="K36" s="35">
        <v>9.6</v>
      </c>
      <c r="U36" s="99"/>
      <c r="V36" s="99"/>
      <c r="W36" s="99"/>
      <c r="Y36" s="234" t="s">
        <v>368</v>
      </c>
      <c r="Z36" s="237">
        <v>63.86</v>
      </c>
      <c r="AE36" s="182"/>
    </row>
    <row r="37" spans="1:31">
      <c r="A37" s="8"/>
      <c r="F37" s="35" t="s">
        <v>391</v>
      </c>
      <c r="G37" s="35" t="s">
        <v>385</v>
      </c>
      <c r="H37" s="35">
        <v>9.5</v>
      </c>
      <c r="I37" s="35">
        <v>9.5</v>
      </c>
      <c r="J37" s="35">
        <v>10.5</v>
      </c>
      <c r="K37" s="35">
        <v>10.5</v>
      </c>
      <c r="U37" s="99"/>
      <c r="V37" s="99"/>
      <c r="W37" s="99"/>
      <c r="Y37" s="234" t="s">
        <v>369</v>
      </c>
      <c r="Z37" s="237">
        <v>145.08000000000001</v>
      </c>
      <c r="AE37" s="182"/>
    </row>
    <row r="38" spans="1:31">
      <c r="A38" s="8"/>
      <c r="F38" s="35" t="s">
        <v>391</v>
      </c>
      <c r="G38" s="35" t="s">
        <v>387</v>
      </c>
      <c r="H38" s="35">
        <v>9.5</v>
      </c>
      <c r="I38" s="35">
        <v>9.5</v>
      </c>
      <c r="J38" s="35">
        <v>10.5</v>
      </c>
      <c r="K38" s="35">
        <v>10.5</v>
      </c>
      <c r="U38" s="99"/>
      <c r="V38" s="99"/>
      <c r="W38" s="99"/>
      <c r="Y38" s="234" t="s">
        <v>370</v>
      </c>
      <c r="Z38" s="237">
        <v>226.60999999999999</v>
      </c>
      <c r="AE38" s="182"/>
    </row>
    <row r="39" spans="1:31">
      <c r="A39" s="8"/>
      <c r="F39" s="35" t="s">
        <v>391</v>
      </c>
      <c r="G39" s="35" t="s">
        <v>389</v>
      </c>
      <c r="H39" s="35">
        <v>9.5</v>
      </c>
      <c r="I39" s="35">
        <v>9.5</v>
      </c>
      <c r="J39" s="35">
        <v>10.5</v>
      </c>
      <c r="K39" s="35">
        <v>10.5</v>
      </c>
      <c r="U39" s="99"/>
      <c r="V39" s="99"/>
      <c r="W39" s="99"/>
      <c r="Y39" s="234" t="s">
        <v>371</v>
      </c>
      <c r="Z39" s="237">
        <v>242.10999999999999</v>
      </c>
      <c r="AE39" s="182"/>
    </row>
    <row r="40" spans="1:31">
      <c r="A40" s="8"/>
      <c r="F40" s="35" t="s">
        <v>391</v>
      </c>
      <c r="G40" s="35" t="s">
        <v>392</v>
      </c>
      <c r="H40" s="35">
        <v>9.5</v>
      </c>
      <c r="I40" s="35">
        <v>9.5</v>
      </c>
      <c r="J40" s="35">
        <v>10.5</v>
      </c>
      <c r="K40" s="35">
        <v>10.5</v>
      </c>
      <c r="U40" s="99"/>
      <c r="V40" s="99"/>
      <c r="W40" s="99"/>
      <c r="Y40" s="234" t="s">
        <v>372</v>
      </c>
      <c r="Z40" s="237">
        <v>168.64</v>
      </c>
      <c r="AE40" s="182"/>
    </row>
    <row r="41" spans="1:31">
      <c r="A41" s="8"/>
      <c r="F41" s="35" t="s">
        <v>391</v>
      </c>
      <c r="G41" s="35" t="s">
        <v>395</v>
      </c>
      <c r="H41" s="35">
        <v>9.5</v>
      </c>
      <c r="I41" s="35">
        <v>9.5</v>
      </c>
      <c r="J41" s="35">
        <v>10.5</v>
      </c>
      <c r="K41" s="35">
        <v>10.5</v>
      </c>
      <c r="U41" s="99"/>
      <c r="V41" s="99"/>
      <c r="W41" s="99"/>
      <c r="Y41" s="234" t="s">
        <v>373</v>
      </c>
      <c r="Z41" s="237">
        <v>146.94</v>
      </c>
      <c r="AE41" s="182"/>
    </row>
    <row r="42" spans="1:31" ht="15.75" thickBot="1">
      <c r="A42" s="8"/>
      <c r="F42" s="35" t="s">
        <v>391</v>
      </c>
      <c r="G42" s="35" t="s">
        <v>397</v>
      </c>
      <c r="H42" s="35">
        <v>9.5</v>
      </c>
      <c r="I42" s="35">
        <v>9.5</v>
      </c>
      <c r="J42" s="35">
        <v>10.5</v>
      </c>
      <c r="K42" s="35">
        <v>10.5</v>
      </c>
      <c r="U42" s="99"/>
      <c r="V42" s="99"/>
      <c r="W42" s="99"/>
      <c r="Y42" s="235" t="s">
        <v>374</v>
      </c>
      <c r="Z42" s="239">
        <v>173.29</v>
      </c>
      <c r="AE42" s="182"/>
    </row>
    <row r="43" spans="1:31">
      <c r="A43" s="8"/>
      <c r="F43" s="35" t="s">
        <v>391</v>
      </c>
      <c r="G43" s="3" t="s">
        <v>398</v>
      </c>
      <c r="H43" s="35">
        <v>9.5</v>
      </c>
      <c r="I43" s="35">
        <v>9.5</v>
      </c>
      <c r="J43" s="35">
        <v>10.5</v>
      </c>
      <c r="K43" s="35">
        <v>10.5</v>
      </c>
      <c r="M43" s="465" t="s">
        <v>408</v>
      </c>
      <c r="N43" s="466"/>
      <c r="O43" s="466"/>
      <c r="P43" s="466"/>
      <c r="Q43" s="466"/>
      <c r="R43" s="466"/>
      <c r="S43" s="466"/>
      <c r="T43" s="466"/>
      <c r="U43" s="466"/>
      <c r="V43" s="467"/>
      <c r="W43" s="99"/>
      <c r="AE43" s="182"/>
    </row>
    <row r="44" spans="1:31">
      <c r="A44" s="8"/>
      <c r="F44" s="35" t="s">
        <v>391</v>
      </c>
      <c r="G44" s="3" t="s">
        <v>399</v>
      </c>
      <c r="H44" s="35">
        <v>9.5</v>
      </c>
      <c r="I44" s="35">
        <v>9.5</v>
      </c>
      <c r="J44" s="35">
        <v>10.5</v>
      </c>
      <c r="K44" s="35">
        <v>10.5</v>
      </c>
      <c r="M44" s="251" t="s">
        <v>365</v>
      </c>
      <c r="N44" s="214" t="s">
        <v>366</v>
      </c>
      <c r="O44" s="214" t="s">
        <v>367</v>
      </c>
      <c r="P44" s="214" t="s">
        <v>368</v>
      </c>
      <c r="Q44" s="214" t="s">
        <v>369</v>
      </c>
      <c r="R44" s="214" t="s">
        <v>370</v>
      </c>
      <c r="S44" s="214" t="s">
        <v>371</v>
      </c>
      <c r="T44" s="214" t="s">
        <v>372</v>
      </c>
      <c r="U44" s="213" t="s">
        <v>373</v>
      </c>
      <c r="V44" s="246" t="s">
        <v>374</v>
      </c>
      <c r="W44" s="99"/>
      <c r="AE44" s="182"/>
    </row>
    <row r="45" spans="1:31">
      <c r="A45" s="8"/>
      <c r="F45" s="35" t="s">
        <v>394</v>
      </c>
      <c r="G45" s="35" t="s">
        <v>385</v>
      </c>
      <c r="H45" s="35">
        <v>10.4</v>
      </c>
      <c r="I45" s="35">
        <v>10.4</v>
      </c>
      <c r="J45" s="35">
        <v>11.4</v>
      </c>
      <c r="K45" s="35">
        <v>11.4</v>
      </c>
      <c r="M45" s="245" t="s">
        <v>381</v>
      </c>
      <c r="N45" s="213">
        <v>0.48</v>
      </c>
      <c r="O45" s="213">
        <v>0.4</v>
      </c>
      <c r="P45" s="213">
        <v>0.37</v>
      </c>
      <c r="Q45" s="213">
        <v>0.38</v>
      </c>
      <c r="R45" s="213">
        <v>0.48</v>
      </c>
      <c r="S45" s="213">
        <v>0.51</v>
      </c>
      <c r="T45" s="213">
        <v>0.48</v>
      </c>
      <c r="U45" s="213">
        <v>0.45</v>
      </c>
      <c r="V45" s="246">
        <v>0.49</v>
      </c>
      <c r="W45" s="99"/>
      <c r="AE45" s="182"/>
    </row>
    <row r="46" spans="1:31">
      <c r="A46" s="8"/>
      <c r="F46" s="35" t="s">
        <v>394</v>
      </c>
      <c r="G46" s="35" t="s">
        <v>387</v>
      </c>
      <c r="H46" s="35">
        <v>10.4</v>
      </c>
      <c r="I46" s="35">
        <v>10.4</v>
      </c>
      <c r="J46" s="35">
        <v>11.4</v>
      </c>
      <c r="K46" s="35">
        <v>11.4</v>
      </c>
      <c r="M46" s="245" t="s">
        <v>386</v>
      </c>
      <c r="N46" s="213">
        <v>0.12</v>
      </c>
      <c r="O46" s="213">
        <v>0.09</v>
      </c>
      <c r="P46" s="213">
        <v>7.0000000000000007E-2</v>
      </c>
      <c r="Q46" s="213">
        <v>0.09</v>
      </c>
      <c r="R46" s="213">
        <v>0.18</v>
      </c>
      <c r="S46" s="213">
        <v>0.19</v>
      </c>
      <c r="T46" s="213">
        <v>0.18</v>
      </c>
      <c r="U46" s="213">
        <v>0.13</v>
      </c>
      <c r="V46" s="244">
        <v>0.15</v>
      </c>
      <c r="AE46" s="182"/>
    </row>
    <row r="47" spans="1:31">
      <c r="A47" s="8"/>
      <c r="F47" s="35" t="s">
        <v>394</v>
      </c>
      <c r="G47" s="35" t="s">
        <v>389</v>
      </c>
      <c r="H47" s="35">
        <v>10.4</v>
      </c>
      <c r="I47" s="35">
        <v>10.4</v>
      </c>
      <c r="J47" s="35">
        <v>11.4</v>
      </c>
      <c r="K47" s="35">
        <v>11.4</v>
      </c>
      <c r="M47" s="245" t="s">
        <v>317</v>
      </c>
      <c r="N47" s="213">
        <v>0.33</v>
      </c>
      <c r="O47" s="213">
        <v>0.26</v>
      </c>
      <c r="P47" s="213">
        <v>0.26</v>
      </c>
      <c r="Q47" s="213">
        <v>0.27</v>
      </c>
      <c r="R47" s="213">
        <v>0.24</v>
      </c>
      <c r="S47" s="213">
        <v>0.26</v>
      </c>
      <c r="T47" s="213">
        <v>0.27</v>
      </c>
      <c r="U47" s="213">
        <v>0.21</v>
      </c>
      <c r="V47" s="244">
        <v>0.24</v>
      </c>
      <c r="AE47" s="182"/>
    </row>
    <row r="48" spans="1:31">
      <c r="A48" s="8"/>
      <c r="F48" s="35" t="s">
        <v>394</v>
      </c>
      <c r="G48" s="35" t="s">
        <v>392</v>
      </c>
      <c r="H48" s="35">
        <v>10.4</v>
      </c>
      <c r="I48" s="35">
        <v>10.4</v>
      </c>
      <c r="J48" s="35">
        <v>11.4</v>
      </c>
      <c r="K48" s="35">
        <v>11.4</v>
      </c>
      <c r="M48" s="245" t="s">
        <v>390</v>
      </c>
      <c r="N48" s="213">
        <v>0.43</v>
      </c>
      <c r="O48" s="213">
        <v>0.36</v>
      </c>
      <c r="P48" s="213">
        <v>0.34</v>
      </c>
      <c r="Q48" s="213">
        <v>0.37</v>
      </c>
      <c r="R48" s="213">
        <v>0.39</v>
      </c>
      <c r="S48" s="213">
        <v>0.44</v>
      </c>
      <c r="T48" s="213">
        <v>0.39</v>
      </c>
      <c r="U48" s="213">
        <v>0.37</v>
      </c>
      <c r="V48" s="244">
        <v>0.42</v>
      </c>
      <c r="AE48" s="182"/>
    </row>
    <row r="49" spans="1:31">
      <c r="A49" s="8"/>
      <c r="F49" s="35" t="s">
        <v>394</v>
      </c>
      <c r="G49" s="35" t="s">
        <v>395</v>
      </c>
      <c r="H49" s="35">
        <v>10.4</v>
      </c>
      <c r="I49" s="35">
        <v>10.4</v>
      </c>
      <c r="J49" s="35">
        <v>11.4</v>
      </c>
      <c r="K49" s="35">
        <v>11.4</v>
      </c>
      <c r="M49" s="245" t="s">
        <v>393</v>
      </c>
      <c r="N49" s="213">
        <v>0.26</v>
      </c>
      <c r="O49" s="213">
        <v>0.25</v>
      </c>
      <c r="P49" s="213">
        <v>0.23</v>
      </c>
      <c r="Q49" s="213">
        <v>0.27</v>
      </c>
      <c r="R49" s="213">
        <v>0.3</v>
      </c>
      <c r="S49" s="213">
        <v>0.34</v>
      </c>
      <c r="T49" s="213">
        <v>0.32</v>
      </c>
      <c r="U49" s="213">
        <v>0.28000000000000003</v>
      </c>
      <c r="V49" s="244">
        <v>0.28999999999999998</v>
      </c>
      <c r="AE49" s="182"/>
    </row>
    <row r="50" spans="1:31">
      <c r="A50" s="8"/>
      <c r="F50" s="35" t="s">
        <v>394</v>
      </c>
      <c r="G50" s="35" t="s">
        <v>397</v>
      </c>
      <c r="H50" s="35">
        <v>10.4</v>
      </c>
      <c r="I50" s="35">
        <v>10.4</v>
      </c>
      <c r="J50" s="35">
        <v>11.4</v>
      </c>
      <c r="K50" s="35">
        <v>11.4</v>
      </c>
      <c r="M50" s="245" t="s">
        <v>396</v>
      </c>
      <c r="N50" s="213">
        <v>0.51</v>
      </c>
      <c r="O50" s="213">
        <v>0.37</v>
      </c>
      <c r="P50" s="213">
        <v>0.33</v>
      </c>
      <c r="Q50" s="213">
        <v>0.39</v>
      </c>
      <c r="R50" s="213">
        <v>0.55000000000000004</v>
      </c>
      <c r="S50" s="213">
        <v>0.6</v>
      </c>
      <c r="T50" s="213">
        <v>0.53</v>
      </c>
      <c r="U50" s="213">
        <v>0.45</v>
      </c>
      <c r="V50" s="244">
        <v>0.48</v>
      </c>
      <c r="AE50" s="182"/>
    </row>
    <row r="51" spans="1:31">
      <c r="A51" s="8"/>
      <c r="F51" s="35" t="s">
        <v>394</v>
      </c>
      <c r="G51" s="35" t="s">
        <v>398</v>
      </c>
      <c r="H51" s="35">
        <v>10.4</v>
      </c>
      <c r="I51" s="35">
        <v>10.4</v>
      </c>
      <c r="J51" s="35">
        <v>11.4</v>
      </c>
      <c r="K51" s="35">
        <v>11.4</v>
      </c>
      <c r="M51" s="245" t="s">
        <v>334</v>
      </c>
      <c r="N51" s="213">
        <v>0.53</v>
      </c>
      <c r="O51" s="213">
        <v>0.38</v>
      </c>
      <c r="P51" s="213">
        <v>0.34</v>
      </c>
      <c r="Q51" s="213">
        <v>0.45</v>
      </c>
      <c r="R51" s="213">
        <v>0.6</v>
      </c>
      <c r="S51" s="213">
        <v>0.72</v>
      </c>
      <c r="T51" s="213">
        <v>0.56000000000000005</v>
      </c>
      <c r="U51" s="213">
        <v>0.48</v>
      </c>
      <c r="V51" s="244">
        <v>0.52</v>
      </c>
      <c r="AE51" s="182"/>
    </row>
    <row r="52" spans="1:31">
      <c r="A52" s="8"/>
      <c r="F52" s="35" t="s">
        <v>394</v>
      </c>
      <c r="G52" s="3" t="s">
        <v>399</v>
      </c>
      <c r="H52" s="35">
        <v>10.4</v>
      </c>
      <c r="I52" s="35">
        <v>10.4</v>
      </c>
      <c r="J52" s="35">
        <v>11.4</v>
      </c>
      <c r="K52" s="35">
        <v>11.4</v>
      </c>
      <c r="M52" s="245" t="s">
        <v>321</v>
      </c>
      <c r="N52" s="213">
        <v>0.72</v>
      </c>
      <c r="O52" s="213">
        <v>0.73</v>
      </c>
      <c r="P52" s="213">
        <v>0.71</v>
      </c>
      <c r="Q52" s="213">
        <v>0.77</v>
      </c>
      <c r="R52" s="213">
        <v>0.78</v>
      </c>
      <c r="S52" s="213">
        <v>0.83</v>
      </c>
      <c r="T52" s="213">
        <v>0.83</v>
      </c>
      <c r="U52" s="213">
        <v>0.73</v>
      </c>
      <c r="V52" s="244">
        <v>0.78</v>
      </c>
      <c r="AE52" s="182"/>
    </row>
    <row r="53" spans="1:31">
      <c r="A53" s="8"/>
      <c r="M53" s="245" t="s">
        <v>400</v>
      </c>
      <c r="N53" s="213">
        <v>0.48</v>
      </c>
      <c r="O53" s="213">
        <v>0.48</v>
      </c>
      <c r="P53" s="213">
        <v>0.48</v>
      </c>
      <c r="Q53" s="213">
        <v>0.48</v>
      </c>
      <c r="R53" s="213">
        <v>0.48</v>
      </c>
      <c r="S53" s="213">
        <v>0.48</v>
      </c>
      <c r="T53" s="213">
        <v>0.48</v>
      </c>
      <c r="U53" s="213">
        <v>0.48</v>
      </c>
      <c r="V53" s="244">
        <v>0.48</v>
      </c>
      <c r="AE53" s="182"/>
    </row>
    <row r="54" spans="1:31">
      <c r="A54" s="8"/>
      <c r="M54" s="245" t="s">
        <v>324</v>
      </c>
      <c r="N54" s="213">
        <v>0.32</v>
      </c>
      <c r="O54" s="213">
        <v>0.16</v>
      </c>
      <c r="P54" s="213">
        <v>0.26</v>
      </c>
      <c r="Q54" s="213">
        <v>0.31</v>
      </c>
      <c r="R54" s="213">
        <v>0.41</v>
      </c>
      <c r="S54" s="213">
        <v>0.27</v>
      </c>
      <c r="T54" s="213">
        <v>0.35</v>
      </c>
      <c r="U54" s="213">
        <v>0.36</v>
      </c>
      <c r="V54" s="244">
        <v>0.37</v>
      </c>
      <c r="AE54" s="182"/>
    </row>
    <row r="55" spans="1:31">
      <c r="A55" s="8"/>
      <c r="M55" s="245" t="s">
        <v>327</v>
      </c>
      <c r="N55" s="213">
        <v>0.38</v>
      </c>
      <c r="O55" s="213">
        <v>0.36</v>
      </c>
      <c r="P55" s="213">
        <v>0.33</v>
      </c>
      <c r="Q55" s="213">
        <v>0.37</v>
      </c>
      <c r="R55" s="213">
        <v>0.42</v>
      </c>
      <c r="S55" s="213">
        <v>0.5</v>
      </c>
      <c r="T55" s="213">
        <v>0.49</v>
      </c>
      <c r="U55" s="213">
        <v>0.39</v>
      </c>
      <c r="V55" s="244">
        <v>0.45</v>
      </c>
      <c r="AE55" s="182"/>
    </row>
    <row r="56" spans="1:31">
      <c r="A56" s="8"/>
      <c r="M56" s="245" t="s">
        <v>330</v>
      </c>
      <c r="N56" s="213">
        <v>0.52</v>
      </c>
      <c r="O56" s="213">
        <v>0.45</v>
      </c>
      <c r="P56" s="213">
        <v>0.42</v>
      </c>
      <c r="Q56" s="213">
        <v>0.46</v>
      </c>
      <c r="R56" s="213">
        <v>0.53</v>
      </c>
      <c r="S56" s="213">
        <v>0.56999999999999995</v>
      </c>
      <c r="T56" s="213">
        <v>0.56000000000000005</v>
      </c>
      <c r="U56" s="213">
        <v>0.47</v>
      </c>
      <c r="V56" s="244">
        <v>0.49</v>
      </c>
      <c r="AE56" s="182"/>
    </row>
    <row r="57" spans="1:31">
      <c r="A57" s="8"/>
      <c r="M57" s="245" t="s">
        <v>402</v>
      </c>
      <c r="N57" s="213">
        <v>0.18</v>
      </c>
      <c r="O57" s="213">
        <v>0.11</v>
      </c>
      <c r="P57" s="213">
        <v>0.1</v>
      </c>
      <c r="Q57" s="213">
        <v>0.13</v>
      </c>
      <c r="R57" s="213">
        <v>0.24</v>
      </c>
      <c r="S57" s="213">
        <v>0.3</v>
      </c>
      <c r="T57" s="213">
        <v>0.23</v>
      </c>
      <c r="U57" s="213">
        <v>0.15</v>
      </c>
      <c r="V57" s="246">
        <v>0.2</v>
      </c>
      <c r="W57" s="99"/>
      <c r="AE57" s="182"/>
    </row>
    <row r="58" spans="1:31" ht="15.75" thickBot="1">
      <c r="A58" s="8"/>
      <c r="M58" s="247" t="s">
        <v>404</v>
      </c>
      <c r="N58" s="249">
        <v>0.5</v>
      </c>
      <c r="O58" s="249">
        <v>0.47</v>
      </c>
      <c r="P58" s="249">
        <v>0.45</v>
      </c>
      <c r="Q58" s="249">
        <v>0.48</v>
      </c>
      <c r="R58" s="249">
        <v>0.52</v>
      </c>
      <c r="S58" s="249">
        <v>0.53</v>
      </c>
      <c r="T58" s="249">
        <v>0.51</v>
      </c>
      <c r="U58" s="249">
        <v>0.48</v>
      </c>
      <c r="V58" s="250">
        <v>0.51</v>
      </c>
      <c r="W58" s="99"/>
      <c r="AE58" s="182"/>
    </row>
    <row r="59" spans="1:31">
      <c r="A59" s="8"/>
      <c r="W59" s="99"/>
      <c r="AE59" s="182"/>
    </row>
    <row r="60" spans="1:31">
      <c r="A60" s="8"/>
      <c r="W60" s="99"/>
      <c r="AE60" s="182"/>
    </row>
    <row r="61" spans="1:31">
      <c r="A61" s="8"/>
      <c r="W61" s="99"/>
      <c r="AE61" s="182"/>
    </row>
    <row r="62" spans="1:31">
      <c r="A62" s="8"/>
      <c r="W62" s="99"/>
      <c r="AE62" s="182"/>
    </row>
    <row r="63" spans="1:31">
      <c r="A63" s="8"/>
      <c r="W63" s="99"/>
      <c r="AE63" s="182"/>
    </row>
    <row r="64" spans="1:31">
      <c r="A64" s="8"/>
      <c r="W64" s="99"/>
      <c r="AE64" s="182"/>
    </row>
    <row r="65" spans="1:31">
      <c r="A65" s="8"/>
      <c r="W65" s="99"/>
      <c r="AE65" s="182"/>
    </row>
    <row r="66" spans="1:31">
      <c r="A66" s="8"/>
      <c r="W66" s="99"/>
      <c r="AE66" s="182"/>
    </row>
    <row r="67" spans="1:31">
      <c r="A67" s="182"/>
      <c r="B67" s="182"/>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row>
    <row r="68" spans="1:31">
      <c r="A68" s="182"/>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row>
    <row r="69" spans="1:31">
      <c r="A69" s="132"/>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c r="AA69" s="132"/>
      <c r="AB69" s="132"/>
      <c r="AC69" s="132"/>
      <c r="AD69" s="132"/>
      <c r="AE69" s="132"/>
    </row>
    <row r="70" spans="1:31">
      <c r="A70" s="132"/>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row>
    <row r="71" spans="1:31">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row>
    <row r="72" spans="1:31">
      <c r="A72" s="132"/>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row>
    <row r="73" spans="1:31">
      <c r="A73" s="132"/>
      <c r="B73" s="132"/>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row>
    <row r="74" spans="1:31">
      <c r="A74" s="132"/>
      <c r="B74" s="132"/>
      <c r="C74" s="132"/>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row>
    <row r="75" spans="1:31">
      <c r="A75" s="132"/>
      <c r="B75" s="132"/>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row>
    <row r="76" spans="1:31">
      <c r="A76" s="132"/>
      <c r="B76" s="132"/>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row>
    <row r="77" spans="1:31">
      <c r="A77" s="132"/>
      <c r="B77" s="132"/>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row>
    <row r="78" spans="1:31">
      <c r="A78" s="132"/>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row>
    <row r="79" spans="1:31">
      <c r="A79" s="132"/>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row>
    <row r="80" spans="1:31">
      <c r="A80" s="132"/>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row>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row r="218" s="132" customFormat="1"/>
    <row r="219" s="132" customFormat="1"/>
    <row r="220" s="132" customFormat="1"/>
    <row r="221" s="132" customFormat="1"/>
    <row r="222" s="132" customFormat="1"/>
    <row r="223" s="132" customFormat="1"/>
    <row r="224" s="132" customFormat="1"/>
    <row r="225" s="132" customFormat="1"/>
    <row r="226" s="132" customFormat="1"/>
    <row r="227" s="132" customFormat="1"/>
    <row r="228" s="132" customFormat="1"/>
    <row r="229" s="132" customFormat="1"/>
    <row r="230" s="132" customFormat="1"/>
    <row r="231" s="132" customFormat="1"/>
    <row r="232" s="132" customFormat="1"/>
    <row r="233" s="132" customFormat="1"/>
    <row r="234" s="132" customFormat="1"/>
    <row r="235" s="132" customFormat="1"/>
    <row r="236" s="132" customFormat="1"/>
    <row r="237" s="132" customFormat="1"/>
    <row r="238" s="132" customFormat="1"/>
    <row r="239" s="132" customFormat="1"/>
    <row r="240" s="132" customFormat="1"/>
    <row r="241" s="132" customFormat="1"/>
    <row r="242" s="132" customFormat="1"/>
    <row r="243" s="132" customFormat="1"/>
    <row r="244" s="132" customFormat="1"/>
    <row r="245" s="132" customFormat="1"/>
    <row r="246" s="132" customFormat="1"/>
    <row r="247" s="132" customFormat="1"/>
    <row r="248" s="132" customFormat="1"/>
    <row r="249" s="132" customFormat="1"/>
    <row r="250" s="132" customFormat="1"/>
    <row r="251" s="132" customFormat="1"/>
    <row r="252" s="132" customFormat="1"/>
    <row r="253" s="132" customFormat="1"/>
    <row r="254" s="132" customFormat="1"/>
    <row r="255" s="132" customFormat="1"/>
    <row r="256" s="132" customFormat="1"/>
    <row r="257" s="132" customFormat="1"/>
    <row r="258" s="132" customFormat="1"/>
    <row r="259" s="132" customFormat="1"/>
    <row r="260" s="132" customFormat="1"/>
    <row r="261" s="132" customFormat="1"/>
    <row r="262" s="132" customFormat="1"/>
    <row r="263" s="132" customFormat="1"/>
    <row r="264" s="132" customFormat="1"/>
    <row r="265" s="132" customFormat="1"/>
    <row r="266" s="132" customFormat="1"/>
    <row r="267" s="132" customFormat="1"/>
    <row r="268" s="132" customFormat="1"/>
    <row r="269" s="132" customFormat="1"/>
    <row r="270" s="132" customFormat="1"/>
    <row r="271" s="132" customFormat="1"/>
    <row r="272" s="132" customFormat="1"/>
    <row r="273" s="132" customFormat="1"/>
    <row r="274" s="132" customFormat="1"/>
    <row r="275" s="132" customFormat="1"/>
    <row r="276" s="132" customFormat="1"/>
    <row r="277" s="132" customFormat="1"/>
    <row r="278" s="132" customFormat="1"/>
    <row r="279" s="132" customFormat="1"/>
    <row r="280" s="132" customFormat="1"/>
    <row r="281" s="132" customFormat="1"/>
    <row r="282" s="132" customFormat="1"/>
    <row r="283" s="132" customFormat="1"/>
    <row r="284" s="132" customFormat="1"/>
    <row r="285" s="132" customFormat="1"/>
    <row r="286" s="132" customFormat="1"/>
    <row r="287" s="132" customFormat="1"/>
    <row r="288" s="132" customFormat="1"/>
    <row r="289" s="132" customFormat="1"/>
    <row r="290" s="132" customFormat="1"/>
    <row r="291" s="132" customFormat="1"/>
    <row r="292" s="132" customFormat="1"/>
    <row r="293" s="132" customFormat="1"/>
    <row r="294" s="132" customFormat="1"/>
    <row r="295" s="132" customFormat="1"/>
    <row r="296" s="132" customFormat="1"/>
    <row r="297" s="132" customFormat="1"/>
    <row r="298" s="132" customFormat="1"/>
    <row r="299" s="132" customFormat="1"/>
    <row r="300" s="132" customFormat="1"/>
    <row r="301" s="132" customFormat="1"/>
    <row r="302" s="132" customFormat="1"/>
    <row r="303" s="132" customFormat="1"/>
    <row r="304" s="132" customFormat="1"/>
    <row r="305" s="132" customFormat="1"/>
    <row r="306" s="132" customFormat="1"/>
    <row r="307" s="132" customFormat="1"/>
    <row r="308" s="132" customFormat="1"/>
    <row r="309" s="132" customFormat="1"/>
    <row r="310" s="132" customFormat="1"/>
    <row r="311" s="132" customFormat="1"/>
    <row r="312" s="132" customFormat="1"/>
    <row r="313" s="132" customFormat="1"/>
    <row r="314" s="132" customFormat="1"/>
    <row r="315" s="132" customFormat="1"/>
    <row r="316" s="132" customFormat="1"/>
    <row r="317" s="132" customFormat="1"/>
    <row r="318" s="132" customFormat="1"/>
    <row r="319" s="132" customFormat="1"/>
    <row r="320" s="132" customFormat="1"/>
    <row r="321" s="132" customFormat="1"/>
    <row r="322" s="132" customFormat="1"/>
    <row r="323" s="132" customFormat="1"/>
    <row r="324" s="132" customFormat="1"/>
    <row r="325" s="132" customFormat="1"/>
    <row r="326" s="132" customFormat="1"/>
    <row r="327" s="132" customFormat="1"/>
    <row r="328" s="132" customFormat="1"/>
    <row r="329" s="132" customFormat="1"/>
    <row r="330" s="132" customFormat="1"/>
    <row r="331" s="132" customFormat="1"/>
    <row r="332" s="132" customFormat="1"/>
    <row r="333" s="132" customFormat="1"/>
    <row r="334" s="132" customFormat="1"/>
    <row r="335" s="132" customFormat="1"/>
    <row r="336" s="132" customFormat="1"/>
    <row r="337" s="132" customFormat="1"/>
    <row r="338" s="132" customFormat="1"/>
    <row r="339" s="132" customFormat="1"/>
    <row r="340" s="132" customFormat="1"/>
    <row r="341" s="132" customFormat="1"/>
    <row r="342" s="132" customFormat="1"/>
    <row r="343" s="132" customFormat="1"/>
    <row r="344" s="132" customFormat="1"/>
    <row r="345" s="132" customFormat="1"/>
    <row r="346" s="132" customFormat="1"/>
    <row r="347" s="132" customFormat="1"/>
    <row r="348" s="132" customFormat="1"/>
    <row r="349" s="132" customFormat="1"/>
    <row r="350" s="132" customFormat="1"/>
    <row r="351" s="132" customFormat="1"/>
    <row r="352" s="132" customFormat="1"/>
    <row r="353" s="132" customFormat="1"/>
    <row r="354" s="132" customFormat="1"/>
    <row r="355" s="132" customFormat="1"/>
    <row r="356" s="132" customFormat="1"/>
    <row r="357" s="132" customFormat="1"/>
    <row r="358" s="132" customFormat="1"/>
    <row r="359" s="132" customFormat="1"/>
    <row r="360" s="132" customFormat="1"/>
    <row r="361" s="132" customFormat="1"/>
    <row r="362" s="132" customFormat="1"/>
    <row r="363" s="132" customFormat="1"/>
    <row r="364" s="132" customFormat="1"/>
    <row r="365" s="132" customFormat="1"/>
    <row r="366" s="132" customFormat="1"/>
    <row r="367" s="132" customFormat="1"/>
    <row r="368" s="132" customFormat="1"/>
    <row r="369" s="132" customFormat="1"/>
    <row r="370" s="132" customFormat="1"/>
    <row r="371" s="132" customFormat="1"/>
    <row r="372" s="132" customFormat="1"/>
    <row r="373" s="132" customFormat="1"/>
    <row r="374" s="132" customFormat="1"/>
    <row r="375" s="132" customFormat="1"/>
    <row r="376" s="132" customFormat="1"/>
    <row r="377" s="132" customFormat="1"/>
    <row r="378" s="132" customFormat="1"/>
    <row r="379" s="132" customFormat="1"/>
    <row r="380" s="132" customFormat="1"/>
    <row r="381" s="132" customFormat="1"/>
    <row r="382" s="132" customFormat="1"/>
    <row r="383" s="132" customFormat="1"/>
    <row r="384" s="132" customFormat="1"/>
    <row r="385" s="132" customFormat="1"/>
    <row r="386" s="132" customFormat="1"/>
    <row r="387" s="132" customFormat="1"/>
    <row r="388" s="132" customFormat="1"/>
    <row r="389" s="132" customFormat="1"/>
    <row r="390" s="132" customFormat="1"/>
    <row r="391" s="132" customFormat="1"/>
    <row r="392" s="132" customFormat="1"/>
    <row r="393" s="132" customFormat="1"/>
    <row r="394" s="132" customFormat="1"/>
    <row r="395" s="132" customFormat="1"/>
    <row r="396" s="132" customFormat="1"/>
    <row r="397" s="132" customFormat="1"/>
    <row r="398" s="132" customFormat="1"/>
    <row r="399" s="132" customFormat="1"/>
    <row r="400" s="132" customFormat="1"/>
    <row r="401" s="132" customFormat="1"/>
    <row r="402" s="132" customFormat="1"/>
    <row r="403" s="132" customFormat="1"/>
    <row r="404" s="132" customFormat="1"/>
    <row r="405" s="132" customFormat="1"/>
    <row r="406" s="132" customFormat="1"/>
    <row r="407" s="132" customFormat="1"/>
    <row r="408" s="132" customFormat="1"/>
    <row r="409" s="132" customFormat="1"/>
    <row r="410" s="132" customFormat="1"/>
    <row r="411" s="132" customFormat="1"/>
    <row r="412" s="132" customFormat="1"/>
    <row r="413" s="132" customFormat="1"/>
    <row r="414" s="132" customFormat="1"/>
    <row r="415" s="132" customFormat="1"/>
    <row r="416" s="132" customFormat="1"/>
    <row r="417" s="132" customFormat="1"/>
    <row r="418" s="132" customFormat="1"/>
    <row r="419" s="132" customFormat="1"/>
    <row r="420" s="132" customFormat="1"/>
    <row r="421" s="132" customFormat="1"/>
    <row r="422" s="132" customFormat="1"/>
    <row r="423" s="132" customFormat="1"/>
    <row r="424" s="132" customFormat="1"/>
    <row r="425" s="132" customFormat="1"/>
    <row r="426" s="132" customFormat="1"/>
    <row r="427" s="132" customFormat="1"/>
    <row r="428" s="132" customFormat="1"/>
    <row r="429" s="132" customFormat="1"/>
    <row r="430" s="132" customFormat="1"/>
    <row r="431" s="132" customFormat="1"/>
    <row r="432" s="132" customFormat="1"/>
    <row r="433" s="132" customFormat="1"/>
    <row r="434" s="132" customFormat="1"/>
    <row r="435" s="132" customFormat="1"/>
    <row r="436" s="132" customFormat="1"/>
    <row r="437" s="132" customFormat="1"/>
    <row r="438" s="132" customFormat="1"/>
    <row r="439" s="132" customFormat="1"/>
    <row r="440" s="132" customFormat="1"/>
    <row r="441" s="132" customFormat="1"/>
    <row r="442" s="132" customFormat="1"/>
    <row r="443" s="132" customFormat="1"/>
    <row r="444" s="132" customFormat="1"/>
    <row r="445" s="132" customFormat="1"/>
    <row r="446" s="132" customFormat="1"/>
    <row r="447" s="132" customFormat="1"/>
    <row r="448" s="132" customFormat="1"/>
    <row r="449" s="132" customFormat="1"/>
    <row r="450" s="132" customFormat="1"/>
    <row r="451" s="132" customFormat="1"/>
    <row r="452" s="132" customFormat="1"/>
    <row r="453" s="132" customFormat="1"/>
    <row r="454" s="132" customFormat="1"/>
    <row r="455" s="132" customFormat="1"/>
    <row r="456" s="132" customFormat="1"/>
    <row r="457" s="132" customFormat="1"/>
    <row r="458" s="132" customFormat="1"/>
    <row r="459" s="132" customFormat="1"/>
    <row r="460" s="132" customFormat="1"/>
    <row r="461" s="132" customFormat="1"/>
    <row r="462" s="132" customFormat="1"/>
    <row r="463" s="132" customFormat="1"/>
    <row r="464" s="132" customFormat="1"/>
    <row r="465" s="132" customFormat="1"/>
    <row r="466" s="132" customFormat="1"/>
    <row r="467" s="132" customFormat="1"/>
    <row r="468" s="132" customFormat="1"/>
    <row r="469" s="132" customFormat="1"/>
    <row r="470" s="132" customFormat="1"/>
    <row r="471" s="132" customFormat="1"/>
    <row r="472" s="132" customFormat="1"/>
    <row r="473" s="132" customFormat="1"/>
    <row r="474" s="132" customFormat="1"/>
    <row r="475" s="132" customFormat="1"/>
    <row r="476" s="132" customFormat="1"/>
    <row r="477" s="132" customFormat="1"/>
    <row r="478" s="132" customFormat="1"/>
    <row r="479" s="132" customFormat="1"/>
    <row r="480" s="132" customFormat="1"/>
    <row r="481" s="132" customFormat="1"/>
    <row r="482" s="132" customFormat="1"/>
    <row r="483" s="132" customFormat="1"/>
    <row r="484" s="132" customFormat="1"/>
    <row r="485" s="132" customFormat="1"/>
    <row r="486" s="132" customFormat="1"/>
    <row r="487" s="132" customFormat="1"/>
    <row r="488" s="132" customFormat="1"/>
    <row r="489" s="132" customFormat="1"/>
    <row r="490" s="132" customFormat="1"/>
    <row r="491" s="132" customFormat="1"/>
    <row r="492" s="132" customFormat="1"/>
    <row r="493" s="132" customFormat="1"/>
    <row r="494" s="132" customFormat="1"/>
    <row r="495" s="132" customFormat="1"/>
    <row r="496" s="132" customFormat="1"/>
    <row r="497" s="132" customFormat="1"/>
    <row r="498" s="132" customFormat="1"/>
    <row r="499" s="132" customFormat="1"/>
    <row r="500" s="132" customFormat="1"/>
    <row r="501" s="132" customFormat="1"/>
    <row r="502" s="132" customFormat="1"/>
    <row r="503" s="132" customFormat="1"/>
    <row r="504" s="132" customFormat="1"/>
    <row r="505" s="132" customFormat="1"/>
    <row r="506" s="132" customFormat="1"/>
    <row r="507" s="132" customFormat="1"/>
    <row r="508" s="132" customFormat="1"/>
    <row r="509" s="132" customFormat="1"/>
    <row r="510" s="132" customFormat="1"/>
    <row r="511" s="132" customFormat="1"/>
    <row r="512" s="132" customFormat="1"/>
    <row r="513" s="132" customFormat="1"/>
    <row r="514" s="132" customFormat="1"/>
    <row r="515" s="132" customFormat="1"/>
    <row r="516" s="132" customFormat="1"/>
    <row r="517" s="132" customFormat="1"/>
    <row r="518" s="132" customFormat="1"/>
    <row r="519" s="132" customFormat="1"/>
    <row r="520" s="132" customFormat="1"/>
    <row r="521" s="132" customFormat="1"/>
    <row r="522" s="132" customFormat="1"/>
    <row r="523" s="132" customFormat="1"/>
    <row r="524" s="132" customFormat="1"/>
    <row r="525" s="132" customFormat="1"/>
    <row r="526" s="132" customFormat="1"/>
  </sheetData>
  <sheetProtection selectLockedCells="1"/>
  <mergeCells count="7">
    <mergeCell ref="M43:V43"/>
    <mergeCell ref="B3:C3"/>
    <mergeCell ref="F18:K18"/>
    <mergeCell ref="D3:G4"/>
    <mergeCell ref="B2:AB2"/>
    <mergeCell ref="Y32:Z32"/>
    <mergeCell ref="M18:V18"/>
  </mergeCells>
  <conditionalFormatting sqref="M7:N7">
    <cfRule type="expression" dxfId="4" priority="1">
      <formula>#REF!=#REF!</formula>
    </cfRule>
  </conditionalFormatting>
  <conditionalFormatting sqref="M8:N8">
    <cfRule type="expression" dxfId="3" priority="2">
      <formula>#REF!=#REF!</formula>
    </cfRule>
  </conditionalFormatting>
  <conditionalFormatting sqref="M9:N14">
    <cfRule type="expression" dxfId="2" priority="3">
      <formula>#REF!=#REF!</formula>
    </cfRule>
  </conditionalFormatting>
  <dataValidations count="4">
    <dataValidation type="list" allowBlank="1" showInputMessage="1" showErrorMessage="1" sqref="J7:J14" xr:uid="{00000000-0002-0000-0800-000000000000}">
      <formula1>$C$22:$C$25</formula1>
    </dataValidation>
    <dataValidation type="list" allowBlank="1" showInputMessage="1" showErrorMessage="1" sqref="K7:K14" xr:uid="{00000000-0002-0000-0800-000001000000}">
      <formula1>$D$22:$D$23</formula1>
    </dataValidation>
    <dataValidation type="list" allowBlank="1" showInputMessage="1" showErrorMessage="1" sqref="D7:D14" xr:uid="{00000000-0002-0000-0800-000002000000}">
      <formula1>C$28:C$29</formula1>
    </dataValidation>
    <dataValidation type="list" allowBlank="1" showInputMessage="1" showErrorMessage="1" sqref="G7:G14" xr:uid="{00000000-0002-0000-0800-000003000000}">
      <formula1>$M$20:$M$33</formula1>
    </dataValidation>
  </dataValidations>
  <hyperlinks>
    <hyperlink ref="B3" location="'Calculator Index'!A1" display="Return to Index" xr:uid="{00000000-0004-0000-0800-000000000000}"/>
    <hyperlink ref="B3:C3" location="'Project Summary'!A1" display="Return to Index" xr:uid="{00000000-0004-0000-0800-000001000000}"/>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rgb="FF0070C0"/>
  </sheetPr>
  <dimension ref="A1:C2223"/>
  <sheetViews>
    <sheetView workbookViewId="0">
      <selection activeCell="A4" sqref="A4"/>
    </sheetView>
  </sheetViews>
  <sheetFormatPr defaultRowHeight="15"/>
  <sheetData>
    <row r="1" spans="1:3" ht="15.75">
      <c r="A1" s="253" t="s">
        <v>409</v>
      </c>
      <c r="B1" s="254" t="s">
        <v>410</v>
      </c>
      <c r="C1" s="253" t="s">
        <v>405</v>
      </c>
    </row>
    <row r="2" spans="1:3">
      <c r="A2" s="48">
        <v>15001</v>
      </c>
      <c r="B2" s="25" t="s">
        <v>411</v>
      </c>
      <c r="C2" s="48" t="s">
        <v>372</v>
      </c>
    </row>
    <row r="3" spans="1:3">
      <c r="A3" s="48">
        <v>15003</v>
      </c>
      <c r="B3" s="25" t="s">
        <v>411</v>
      </c>
      <c r="C3" s="48" t="s">
        <v>372</v>
      </c>
    </row>
    <row r="4" spans="1:3">
      <c r="A4" s="48">
        <v>15004</v>
      </c>
      <c r="B4" s="25" t="s">
        <v>411</v>
      </c>
      <c r="C4" s="48" t="s">
        <v>372</v>
      </c>
    </row>
    <row r="5" spans="1:3">
      <c r="A5" s="48">
        <v>15005</v>
      </c>
      <c r="B5" s="25" t="s">
        <v>411</v>
      </c>
      <c r="C5" s="48" t="s">
        <v>372</v>
      </c>
    </row>
    <row r="6" spans="1:3">
      <c r="A6" s="48">
        <v>15006</v>
      </c>
      <c r="B6" s="25" t="s">
        <v>411</v>
      </c>
      <c r="C6" s="48" t="s">
        <v>372</v>
      </c>
    </row>
    <row r="7" spans="1:3">
      <c r="A7" s="48">
        <v>15007</v>
      </c>
      <c r="B7" s="25" t="s">
        <v>411</v>
      </c>
      <c r="C7" s="48" t="s">
        <v>372</v>
      </c>
    </row>
    <row r="8" spans="1:3">
      <c r="A8" s="48">
        <v>15009</v>
      </c>
      <c r="B8" s="25" t="s">
        <v>411</v>
      </c>
      <c r="C8" s="48" t="s">
        <v>372</v>
      </c>
    </row>
    <row r="9" spans="1:3">
      <c r="A9" s="48">
        <v>15010</v>
      </c>
      <c r="B9" s="25" t="s">
        <v>411</v>
      </c>
      <c r="C9" s="48" t="s">
        <v>372</v>
      </c>
    </row>
    <row r="10" spans="1:3">
      <c r="A10" s="48">
        <v>15012</v>
      </c>
      <c r="B10" s="25" t="s">
        <v>411</v>
      </c>
      <c r="C10" s="48" t="s">
        <v>372</v>
      </c>
    </row>
    <row r="11" spans="1:3">
      <c r="A11" s="48">
        <v>15014</v>
      </c>
      <c r="B11" s="25" t="s">
        <v>411</v>
      </c>
      <c r="C11" s="48" t="s">
        <v>372</v>
      </c>
    </row>
    <row r="12" spans="1:3">
      <c r="A12" s="48">
        <v>15015</v>
      </c>
      <c r="B12" s="25" t="s">
        <v>411</v>
      </c>
      <c r="C12" s="48" t="s">
        <v>372</v>
      </c>
    </row>
    <row r="13" spans="1:3">
      <c r="A13" s="48">
        <v>15017</v>
      </c>
      <c r="B13" s="25" t="s">
        <v>411</v>
      </c>
      <c r="C13" s="48" t="s">
        <v>372</v>
      </c>
    </row>
    <row r="14" spans="1:3">
      <c r="A14" s="48">
        <v>15018</v>
      </c>
      <c r="B14" s="25" t="s">
        <v>411</v>
      </c>
      <c r="C14" s="48" t="s">
        <v>372</v>
      </c>
    </row>
    <row r="15" spans="1:3">
      <c r="A15" s="48">
        <v>15019</v>
      </c>
      <c r="B15" s="25" t="s">
        <v>411</v>
      </c>
      <c r="C15" s="48" t="s">
        <v>372</v>
      </c>
    </row>
    <row r="16" spans="1:3">
      <c r="A16" s="48">
        <v>15020</v>
      </c>
      <c r="B16" s="25" t="s">
        <v>411</v>
      </c>
      <c r="C16" s="48" t="s">
        <v>372</v>
      </c>
    </row>
    <row r="17" spans="1:3">
      <c r="A17" s="48">
        <v>15021</v>
      </c>
      <c r="B17" s="25" t="s">
        <v>411</v>
      </c>
      <c r="C17" s="48" t="s">
        <v>372</v>
      </c>
    </row>
    <row r="18" spans="1:3">
      <c r="A18" s="48">
        <v>15022</v>
      </c>
      <c r="B18" s="25" t="s">
        <v>411</v>
      </c>
      <c r="C18" s="48" t="s">
        <v>372</v>
      </c>
    </row>
    <row r="19" spans="1:3">
      <c r="A19" s="48">
        <v>15024</v>
      </c>
      <c r="B19" s="25" t="s">
        <v>411</v>
      </c>
      <c r="C19" s="48" t="s">
        <v>372</v>
      </c>
    </row>
    <row r="20" spans="1:3">
      <c r="A20" s="48">
        <v>15025</v>
      </c>
      <c r="B20" s="25" t="s">
        <v>411</v>
      </c>
      <c r="C20" s="48" t="s">
        <v>372</v>
      </c>
    </row>
    <row r="21" spans="1:3">
      <c r="A21" s="48">
        <v>15026</v>
      </c>
      <c r="B21" s="25" t="s">
        <v>411</v>
      </c>
      <c r="C21" s="48" t="s">
        <v>372</v>
      </c>
    </row>
    <row r="22" spans="1:3">
      <c r="A22" s="48">
        <v>15027</v>
      </c>
      <c r="B22" s="25" t="s">
        <v>411</v>
      </c>
      <c r="C22" s="48" t="s">
        <v>372</v>
      </c>
    </row>
    <row r="23" spans="1:3">
      <c r="A23" s="48">
        <v>15028</v>
      </c>
      <c r="B23" s="25" t="s">
        <v>411</v>
      </c>
      <c r="C23" s="48" t="s">
        <v>372</v>
      </c>
    </row>
    <row r="24" spans="1:3">
      <c r="A24" s="48">
        <v>15030</v>
      </c>
      <c r="B24" s="25" t="s">
        <v>411</v>
      </c>
      <c r="C24" s="48" t="s">
        <v>372</v>
      </c>
    </row>
    <row r="25" spans="1:3">
      <c r="A25" s="48">
        <v>15031</v>
      </c>
      <c r="B25" s="25" t="s">
        <v>411</v>
      </c>
      <c r="C25" s="48" t="s">
        <v>372</v>
      </c>
    </row>
    <row r="26" spans="1:3">
      <c r="A26" s="48">
        <v>15032</v>
      </c>
      <c r="B26" s="25" t="s">
        <v>411</v>
      </c>
      <c r="C26" s="48" t="s">
        <v>372</v>
      </c>
    </row>
    <row r="27" spans="1:3">
      <c r="A27" s="48">
        <v>15033</v>
      </c>
      <c r="B27" s="25" t="s">
        <v>411</v>
      </c>
      <c r="C27" s="48" t="s">
        <v>372</v>
      </c>
    </row>
    <row r="28" spans="1:3">
      <c r="A28" s="48">
        <v>15034</v>
      </c>
      <c r="B28" s="25" t="s">
        <v>411</v>
      </c>
      <c r="C28" s="48" t="s">
        <v>372</v>
      </c>
    </row>
    <row r="29" spans="1:3">
      <c r="A29" s="48">
        <v>15035</v>
      </c>
      <c r="B29" s="25" t="s">
        <v>411</v>
      </c>
      <c r="C29" s="48" t="s">
        <v>372</v>
      </c>
    </row>
    <row r="30" spans="1:3">
      <c r="A30" s="48">
        <v>15036</v>
      </c>
      <c r="B30" s="25" t="s">
        <v>411</v>
      </c>
      <c r="C30" s="48" t="s">
        <v>372</v>
      </c>
    </row>
    <row r="31" spans="1:3">
      <c r="A31" s="48">
        <v>15037</v>
      </c>
      <c r="B31" s="25" t="s">
        <v>411</v>
      </c>
      <c r="C31" s="48" t="s">
        <v>372</v>
      </c>
    </row>
    <row r="32" spans="1:3">
      <c r="A32" s="48">
        <v>15038</v>
      </c>
      <c r="B32" s="25" t="s">
        <v>411</v>
      </c>
      <c r="C32" s="48" t="s">
        <v>372</v>
      </c>
    </row>
    <row r="33" spans="1:3">
      <c r="A33" s="48">
        <v>15042</v>
      </c>
      <c r="B33" s="25" t="s">
        <v>411</v>
      </c>
      <c r="C33" s="48" t="s">
        <v>372</v>
      </c>
    </row>
    <row r="34" spans="1:3">
      <c r="A34" s="48">
        <v>15043</v>
      </c>
      <c r="B34" s="25" t="s">
        <v>411</v>
      </c>
      <c r="C34" s="48" t="s">
        <v>372</v>
      </c>
    </row>
    <row r="35" spans="1:3">
      <c r="A35" s="48">
        <v>15044</v>
      </c>
      <c r="B35" s="25" t="s">
        <v>411</v>
      </c>
      <c r="C35" s="48" t="s">
        <v>372</v>
      </c>
    </row>
    <row r="36" spans="1:3">
      <c r="A36" s="48">
        <v>15045</v>
      </c>
      <c r="B36" s="25" t="s">
        <v>411</v>
      </c>
      <c r="C36" s="48" t="s">
        <v>372</v>
      </c>
    </row>
    <row r="37" spans="1:3">
      <c r="A37" s="48">
        <v>15046</v>
      </c>
      <c r="B37" s="25" t="s">
        <v>411</v>
      </c>
      <c r="C37" s="48" t="s">
        <v>372</v>
      </c>
    </row>
    <row r="38" spans="1:3">
      <c r="A38" s="48">
        <v>15047</v>
      </c>
      <c r="B38" s="25" t="s">
        <v>411</v>
      </c>
      <c r="C38" s="48" t="s">
        <v>372</v>
      </c>
    </row>
    <row r="39" spans="1:3">
      <c r="A39" s="48">
        <v>15049</v>
      </c>
      <c r="B39" s="25" t="s">
        <v>411</v>
      </c>
      <c r="C39" s="48" t="s">
        <v>372</v>
      </c>
    </row>
    <row r="40" spans="1:3">
      <c r="A40" s="48">
        <v>15050</v>
      </c>
      <c r="B40" s="25" t="s">
        <v>411</v>
      </c>
      <c r="C40" s="48" t="s">
        <v>372</v>
      </c>
    </row>
    <row r="41" spans="1:3">
      <c r="A41" s="48">
        <v>15051</v>
      </c>
      <c r="B41" s="25" t="s">
        <v>411</v>
      </c>
      <c r="C41" s="48" t="s">
        <v>372</v>
      </c>
    </row>
    <row r="42" spans="1:3">
      <c r="A42" s="48">
        <v>15052</v>
      </c>
      <c r="B42" s="25" t="s">
        <v>411</v>
      </c>
      <c r="C42" s="48" t="s">
        <v>372</v>
      </c>
    </row>
    <row r="43" spans="1:3">
      <c r="A43" s="48">
        <v>15053</v>
      </c>
      <c r="B43" s="25" t="s">
        <v>411</v>
      </c>
      <c r="C43" s="48" t="s">
        <v>372</v>
      </c>
    </row>
    <row r="44" spans="1:3">
      <c r="A44" s="48">
        <v>15054</v>
      </c>
      <c r="B44" s="25" t="s">
        <v>411</v>
      </c>
      <c r="C44" s="48" t="s">
        <v>372</v>
      </c>
    </row>
    <row r="45" spans="1:3">
      <c r="A45" s="48">
        <v>15055</v>
      </c>
      <c r="B45" s="25" t="s">
        <v>411</v>
      </c>
      <c r="C45" s="48" t="s">
        <v>372</v>
      </c>
    </row>
    <row r="46" spans="1:3">
      <c r="A46" s="48">
        <v>15056</v>
      </c>
      <c r="B46" s="25" t="s">
        <v>411</v>
      </c>
      <c r="C46" s="48" t="s">
        <v>372</v>
      </c>
    </row>
    <row r="47" spans="1:3">
      <c r="A47" s="48">
        <v>15057</v>
      </c>
      <c r="B47" s="25" t="s">
        <v>411</v>
      </c>
      <c r="C47" s="48" t="s">
        <v>372</v>
      </c>
    </row>
    <row r="48" spans="1:3">
      <c r="A48" s="48">
        <v>15059</v>
      </c>
      <c r="B48" s="25" t="s">
        <v>411</v>
      </c>
      <c r="C48" s="48" t="s">
        <v>372</v>
      </c>
    </row>
    <row r="49" spans="1:3">
      <c r="A49" s="48">
        <v>15060</v>
      </c>
      <c r="B49" s="25" t="s">
        <v>411</v>
      </c>
      <c r="C49" s="48" t="s">
        <v>372</v>
      </c>
    </row>
    <row r="50" spans="1:3">
      <c r="A50" s="48">
        <v>15061</v>
      </c>
      <c r="B50" s="25" t="s">
        <v>411</v>
      </c>
      <c r="C50" s="48" t="s">
        <v>372</v>
      </c>
    </row>
    <row r="51" spans="1:3">
      <c r="A51" s="48">
        <v>15062</v>
      </c>
      <c r="B51" s="25" t="s">
        <v>411</v>
      </c>
      <c r="C51" s="48" t="s">
        <v>372</v>
      </c>
    </row>
    <row r="52" spans="1:3">
      <c r="A52" s="48">
        <v>15063</v>
      </c>
      <c r="B52" s="25" t="s">
        <v>411</v>
      </c>
      <c r="C52" s="48" t="s">
        <v>372</v>
      </c>
    </row>
    <row r="53" spans="1:3">
      <c r="A53" s="48">
        <v>15064</v>
      </c>
      <c r="B53" s="25" t="s">
        <v>411</v>
      </c>
      <c r="C53" s="48" t="s">
        <v>372</v>
      </c>
    </row>
    <row r="54" spans="1:3">
      <c r="A54" s="48">
        <v>15065</v>
      </c>
      <c r="B54" s="25" t="s">
        <v>411</v>
      </c>
      <c r="C54" s="48" t="s">
        <v>372</v>
      </c>
    </row>
    <row r="55" spans="1:3">
      <c r="A55" s="48">
        <v>15066</v>
      </c>
      <c r="B55" s="25" t="s">
        <v>411</v>
      </c>
      <c r="C55" s="48" t="s">
        <v>372</v>
      </c>
    </row>
    <row r="56" spans="1:3">
      <c r="A56" s="48">
        <v>15067</v>
      </c>
      <c r="B56" s="25" t="s">
        <v>411</v>
      </c>
      <c r="C56" s="48" t="s">
        <v>372</v>
      </c>
    </row>
    <row r="57" spans="1:3">
      <c r="A57" s="48">
        <v>15068</v>
      </c>
      <c r="B57" s="25" t="s">
        <v>411</v>
      </c>
      <c r="C57" s="48" t="s">
        <v>372</v>
      </c>
    </row>
    <row r="58" spans="1:3">
      <c r="A58" s="48">
        <v>15069</v>
      </c>
      <c r="B58" s="25" t="s">
        <v>411</v>
      </c>
      <c r="C58" s="48" t="s">
        <v>372</v>
      </c>
    </row>
    <row r="59" spans="1:3">
      <c r="A59" s="48">
        <v>15071</v>
      </c>
      <c r="B59" s="25" t="s">
        <v>411</v>
      </c>
      <c r="C59" s="48" t="s">
        <v>372</v>
      </c>
    </row>
    <row r="60" spans="1:3">
      <c r="A60" s="48">
        <v>15072</v>
      </c>
      <c r="B60" s="25" t="s">
        <v>411</v>
      </c>
      <c r="C60" s="48" t="s">
        <v>372</v>
      </c>
    </row>
    <row r="61" spans="1:3">
      <c r="A61" s="48">
        <v>15074</v>
      </c>
      <c r="B61" s="25" t="s">
        <v>411</v>
      </c>
      <c r="C61" s="48" t="s">
        <v>372</v>
      </c>
    </row>
    <row r="62" spans="1:3">
      <c r="A62" s="48">
        <v>15075</v>
      </c>
      <c r="B62" s="25" t="s">
        <v>411</v>
      </c>
      <c r="C62" s="48" t="s">
        <v>372</v>
      </c>
    </row>
    <row r="63" spans="1:3">
      <c r="A63" s="48">
        <v>15076</v>
      </c>
      <c r="B63" s="25" t="s">
        <v>411</v>
      </c>
      <c r="C63" s="48" t="s">
        <v>372</v>
      </c>
    </row>
    <row r="64" spans="1:3">
      <c r="A64" s="48">
        <v>15077</v>
      </c>
      <c r="B64" s="25" t="s">
        <v>411</v>
      </c>
      <c r="C64" s="48" t="s">
        <v>372</v>
      </c>
    </row>
    <row r="65" spans="1:3">
      <c r="A65" s="48">
        <v>15078</v>
      </c>
      <c r="B65" s="25" t="s">
        <v>411</v>
      </c>
      <c r="C65" s="48" t="s">
        <v>372</v>
      </c>
    </row>
    <row r="66" spans="1:3">
      <c r="A66" s="48">
        <v>15081</v>
      </c>
      <c r="B66" s="25" t="s">
        <v>411</v>
      </c>
      <c r="C66" s="48" t="s">
        <v>372</v>
      </c>
    </row>
    <row r="67" spans="1:3">
      <c r="A67" s="48">
        <v>15082</v>
      </c>
      <c r="B67" s="25" t="s">
        <v>411</v>
      </c>
      <c r="C67" s="48" t="s">
        <v>372</v>
      </c>
    </row>
    <row r="68" spans="1:3">
      <c r="A68" s="48">
        <v>15083</v>
      </c>
      <c r="B68" s="25" t="s">
        <v>411</v>
      </c>
      <c r="C68" s="48" t="s">
        <v>372</v>
      </c>
    </row>
    <row r="69" spans="1:3">
      <c r="A69" s="48">
        <v>15084</v>
      </c>
      <c r="B69" s="25" t="s">
        <v>411</v>
      </c>
      <c r="C69" s="48" t="s">
        <v>372</v>
      </c>
    </row>
    <row r="70" spans="1:3">
      <c r="A70" s="48">
        <v>15085</v>
      </c>
      <c r="B70" s="25" t="s">
        <v>411</v>
      </c>
      <c r="C70" s="48" t="s">
        <v>372</v>
      </c>
    </row>
    <row r="71" spans="1:3">
      <c r="A71" s="48">
        <v>15086</v>
      </c>
      <c r="B71" s="25" t="s">
        <v>411</v>
      </c>
      <c r="C71" s="48" t="s">
        <v>372</v>
      </c>
    </row>
    <row r="72" spans="1:3">
      <c r="A72" s="48">
        <v>15087</v>
      </c>
      <c r="B72" s="25" t="s">
        <v>411</v>
      </c>
      <c r="C72" s="48" t="s">
        <v>372</v>
      </c>
    </row>
    <row r="73" spans="1:3">
      <c r="A73" s="48">
        <v>15088</v>
      </c>
      <c r="B73" s="25" t="s">
        <v>411</v>
      </c>
      <c r="C73" s="48" t="s">
        <v>372</v>
      </c>
    </row>
    <row r="74" spans="1:3">
      <c r="A74" s="48">
        <v>15089</v>
      </c>
      <c r="B74" s="25" t="s">
        <v>411</v>
      </c>
      <c r="C74" s="48" t="s">
        <v>372</v>
      </c>
    </row>
    <row r="75" spans="1:3">
      <c r="A75" s="48">
        <v>15090</v>
      </c>
      <c r="B75" s="25" t="s">
        <v>411</v>
      </c>
      <c r="C75" s="48" t="s">
        <v>372</v>
      </c>
    </row>
    <row r="76" spans="1:3">
      <c r="A76" s="48">
        <v>15091</v>
      </c>
      <c r="B76" s="25" t="s">
        <v>411</v>
      </c>
      <c r="C76" s="48" t="s">
        <v>372</v>
      </c>
    </row>
    <row r="77" spans="1:3">
      <c r="A77" s="48">
        <v>15095</v>
      </c>
      <c r="B77" s="25" t="s">
        <v>411</v>
      </c>
      <c r="C77" s="48" t="s">
        <v>372</v>
      </c>
    </row>
    <row r="78" spans="1:3">
      <c r="A78" s="48">
        <v>15096</v>
      </c>
      <c r="B78" s="25" t="s">
        <v>411</v>
      </c>
      <c r="C78" s="48" t="s">
        <v>372</v>
      </c>
    </row>
    <row r="79" spans="1:3">
      <c r="A79" s="48">
        <v>15101</v>
      </c>
      <c r="B79" s="25" t="s">
        <v>411</v>
      </c>
      <c r="C79" s="48" t="s">
        <v>372</v>
      </c>
    </row>
    <row r="80" spans="1:3">
      <c r="A80" s="48">
        <v>15102</v>
      </c>
      <c r="B80" s="25" t="s">
        <v>411</v>
      </c>
      <c r="C80" s="48" t="s">
        <v>372</v>
      </c>
    </row>
    <row r="81" spans="1:3">
      <c r="A81" s="48">
        <v>15104</v>
      </c>
      <c r="B81" s="25" t="s">
        <v>411</v>
      </c>
      <c r="C81" s="48" t="s">
        <v>372</v>
      </c>
    </row>
    <row r="82" spans="1:3">
      <c r="A82" s="48">
        <v>15106</v>
      </c>
      <c r="B82" s="25" t="s">
        <v>411</v>
      </c>
      <c r="C82" s="48" t="s">
        <v>372</v>
      </c>
    </row>
    <row r="83" spans="1:3">
      <c r="A83" s="48">
        <v>15108</v>
      </c>
      <c r="B83" s="25" t="s">
        <v>411</v>
      </c>
      <c r="C83" s="48" t="s">
        <v>372</v>
      </c>
    </row>
    <row r="84" spans="1:3">
      <c r="A84" s="48">
        <v>15110</v>
      </c>
      <c r="B84" s="25" t="s">
        <v>411</v>
      </c>
      <c r="C84" s="48" t="s">
        <v>372</v>
      </c>
    </row>
    <row r="85" spans="1:3">
      <c r="A85" s="48">
        <v>15112</v>
      </c>
      <c r="B85" s="25" t="s">
        <v>411</v>
      </c>
      <c r="C85" s="48" t="s">
        <v>372</v>
      </c>
    </row>
    <row r="86" spans="1:3">
      <c r="A86" s="48">
        <v>15116</v>
      </c>
      <c r="B86" s="25" t="s">
        <v>411</v>
      </c>
      <c r="C86" s="48" t="s">
        <v>372</v>
      </c>
    </row>
    <row r="87" spans="1:3">
      <c r="A87" s="48">
        <v>15120</v>
      </c>
      <c r="B87" s="25" t="s">
        <v>411</v>
      </c>
      <c r="C87" s="48" t="s">
        <v>372</v>
      </c>
    </row>
    <row r="88" spans="1:3">
      <c r="A88" s="48">
        <v>15122</v>
      </c>
      <c r="B88" s="25" t="s">
        <v>411</v>
      </c>
      <c r="C88" s="48" t="s">
        <v>372</v>
      </c>
    </row>
    <row r="89" spans="1:3">
      <c r="A89" s="48">
        <v>15123</v>
      </c>
      <c r="B89" s="25" t="s">
        <v>411</v>
      </c>
      <c r="C89" s="48" t="s">
        <v>372</v>
      </c>
    </row>
    <row r="90" spans="1:3">
      <c r="A90" s="48">
        <v>15126</v>
      </c>
      <c r="B90" s="25" t="s">
        <v>411</v>
      </c>
      <c r="C90" s="48" t="s">
        <v>372</v>
      </c>
    </row>
    <row r="91" spans="1:3">
      <c r="A91" s="48">
        <v>15127</v>
      </c>
      <c r="B91" s="25" t="s">
        <v>411</v>
      </c>
      <c r="C91" s="48" t="s">
        <v>372</v>
      </c>
    </row>
    <row r="92" spans="1:3">
      <c r="A92" s="48">
        <v>15129</v>
      </c>
      <c r="B92" s="25" t="s">
        <v>411</v>
      </c>
      <c r="C92" s="48" t="s">
        <v>372</v>
      </c>
    </row>
    <row r="93" spans="1:3">
      <c r="A93" s="48">
        <v>15130</v>
      </c>
      <c r="B93" s="25" t="s">
        <v>411</v>
      </c>
      <c r="C93" s="48" t="s">
        <v>372</v>
      </c>
    </row>
    <row r="94" spans="1:3">
      <c r="A94" s="48">
        <v>15131</v>
      </c>
      <c r="B94" s="25" t="s">
        <v>411</v>
      </c>
      <c r="C94" s="48" t="s">
        <v>372</v>
      </c>
    </row>
    <row r="95" spans="1:3">
      <c r="A95" s="48">
        <v>15132</v>
      </c>
      <c r="B95" s="25" t="s">
        <v>411</v>
      </c>
      <c r="C95" s="48" t="s">
        <v>372</v>
      </c>
    </row>
    <row r="96" spans="1:3">
      <c r="A96" s="48">
        <v>15133</v>
      </c>
      <c r="B96" s="25" t="s">
        <v>411</v>
      </c>
      <c r="C96" s="48" t="s">
        <v>372</v>
      </c>
    </row>
    <row r="97" spans="1:3">
      <c r="A97" s="48">
        <v>15134</v>
      </c>
      <c r="B97" s="25" t="s">
        <v>411</v>
      </c>
      <c r="C97" s="48" t="s">
        <v>372</v>
      </c>
    </row>
    <row r="98" spans="1:3">
      <c r="A98" s="48">
        <v>15135</v>
      </c>
      <c r="B98" s="25" t="s">
        <v>411</v>
      </c>
      <c r="C98" s="48" t="s">
        <v>372</v>
      </c>
    </row>
    <row r="99" spans="1:3">
      <c r="A99" s="48">
        <v>15136</v>
      </c>
      <c r="B99" s="25" t="s">
        <v>411</v>
      </c>
      <c r="C99" s="48" t="s">
        <v>372</v>
      </c>
    </row>
    <row r="100" spans="1:3">
      <c r="A100" s="48">
        <v>15137</v>
      </c>
      <c r="B100" s="25" t="s">
        <v>411</v>
      </c>
      <c r="C100" s="48" t="s">
        <v>372</v>
      </c>
    </row>
    <row r="101" spans="1:3">
      <c r="A101" s="48">
        <v>15139</v>
      </c>
      <c r="B101" s="25" t="s">
        <v>411</v>
      </c>
      <c r="C101" s="48" t="s">
        <v>372</v>
      </c>
    </row>
    <row r="102" spans="1:3">
      <c r="A102" s="48">
        <v>15140</v>
      </c>
      <c r="B102" s="25" t="s">
        <v>411</v>
      </c>
      <c r="C102" s="48" t="s">
        <v>372</v>
      </c>
    </row>
    <row r="103" spans="1:3">
      <c r="A103" s="48">
        <v>15142</v>
      </c>
      <c r="B103" s="25" t="s">
        <v>411</v>
      </c>
      <c r="C103" s="48" t="s">
        <v>372</v>
      </c>
    </row>
    <row r="104" spans="1:3">
      <c r="A104" s="48">
        <v>15143</v>
      </c>
      <c r="B104" s="25" t="s">
        <v>411</v>
      </c>
      <c r="C104" s="48" t="s">
        <v>372</v>
      </c>
    </row>
    <row r="105" spans="1:3">
      <c r="A105" s="48">
        <v>15144</v>
      </c>
      <c r="B105" s="25" t="s">
        <v>411</v>
      </c>
      <c r="C105" s="48" t="s">
        <v>372</v>
      </c>
    </row>
    <row r="106" spans="1:3">
      <c r="A106" s="48">
        <v>15145</v>
      </c>
      <c r="B106" s="25" t="s">
        <v>411</v>
      </c>
      <c r="C106" s="48" t="s">
        <v>372</v>
      </c>
    </row>
    <row r="107" spans="1:3">
      <c r="A107" s="48">
        <v>15146</v>
      </c>
      <c r="B107" s="25" t="s">
        <v>411</v>
      </c>
      <c r="C107" s="48" t="s">
        <v>372</v>
      </c>
    </row>
    <row r="108" spans="1:3">
      <c r="A108" s="48">
        <v>15147</v>
      </c>
      <c r="B108" s="25" t="s">
        <v>411</v>
      </c>
      <c r="C108" s="48" t="s">
        <v>372</v>
      </c>
    </row>
    <row r="109" spans="1:3">
      <c r="A109" s="48">
        <v>15148</v>
      </c>
      <c r="B109" s="25" t="s">
        <v>411</v>
      </c>
      <c r="C109" s="48" t="s">
        <v>372</v>
      </c>
    </row>
    <row r="110" spans="1:3">
      <c r="A110" s="48">
        <v>15189</v>
      </c>
      <c r="B110" s="25" t="s">
        <v>411</v>
      </c>
      <c r="C110" s="48" t="s">
        <v>372</v>
      </c>
    </row>
    <row r="111" spans="1:3">
      <c r="A111" s="48">
        <v>15201</v>
      </c>
      <c r="B111" s="25" t="s">
        <v>411</v>
      </c>
      <c r="C111" s="48" t="s">
        <v>372</v>
      </c>
    </row>
    <row r="112" spans="1:3">
      <c r="A112" s="48">
        <v>15202</v>
      </c>
      <c r="B112" s="25" t="s">
        <v>411</v>
      </c>
      <c r="C112" s="48" t="s">
        <v>372</v>
      </c>
    </row>
    <row r="113" spans="1:3">
      <c r="A113" s="48">
        <v>15203</v>
      </c>
      <c r="B113" s="25" t="s">
        <v>411</v>
      </c>
      <c r="C113" s="48" t="s">
        <v>372</v>
      </c>
    </row>
    <row r="114" spans="1:3">
      <c r="A114" s="48">
        <v>15204</v>
      </c>
      <c r="B114" s="25" t="s">
        <v>411</v>
      </c>
      <c r="C114" s="48" t="s">
        <v>372</v>
      </c>
    </row>
    <row r="115" spans="1:3">
      <c r="A115" s="48">
        <v>15205</v>
      </c>
      <c r="B115" s="25" t="s">
        <v>411</v>
      </c>
      <c r="C115" s="48" t="s">
        <v>372</v>
      </c>
    </row>
    <row r="116" spans="1:3">
      <c r="A116" s="48">
        <v>15206</v>
      </c>
      <c r="B116" s="25" t="s">
        <v>411</v>
      </c>
      <c r="C116" s="48" t="s">
        <v>372</v>
      </c>
    </row>
    <row r="117" spans="1:3">
      <c r="A117" s="48">
        <v>15207</v>
      </c>
      <c r="B117" s="25" t="s">
        <v>411</v>
      </c>
      <c r="C117" s="48" t="s">
        <v>372</v>
      </c>
    </row>
    <row r="118" spans="1:3">
      <c r="A118" s="48">
        <v>15208</v>
      </c>
      <c r="B118" s="25" t="s">
        <v>411</v>
      </c>
      <c r="C118" s="48" t="s">
        <v>372</v>
      </c>
    </row>
    <row r="119" spans="1:3">
      <c r="A119" s="48">
        <v>15209</v>
      </c>
      <c r="B119" s="25" t="s">
        <v>411</v>
      </c>
      <c r="C119" s="48" t="s">
        <v>372</v>
      </c>
    </row>
    <row r="120" spans="1:3">
      <c r="A120" s="48">
        <v>15210</v>
      </c>
      <c r="B120" s="25" t="s">
        <v>411</v>
      </c>
      <c r="C120" s="48" t="s">
        <v>372</v>
      </c>
    </row>
    <row r="121" spans="1:3">
      <c r="A121" s="48">
        <v>15211</v>
      </c>
      <c r="B121" s="25" t="s">
        <v>411</v>
      </c>
      <c r="C121" s="48" t="s">
        <v>372</v>
      </c>
    </row>
    <row r="122" spans="1:3">
      <c r="A122" s="48">
        <v>15212</v>
      </c>
      <c r="B122" s="25" t="s">
        <v>411</v>
      </c>
      <c r="C122" s="48" t="s">
        <v>372</v>
      </c>
    </row>
    <row r="123" spans="1:3">
      <c r="A123" s="48">
        <v>15213</v>
      </c>
      <c r="B123" s="25" t="s">
        <v>411</v>
      </c>
      <c r="C123" s="48" t="s">
        <v>372</v>
      </c>
    </row>
    <row r="124" spans="1:3">
      <c r="A124" s="48">
        <v>15214</v>
      </c>
      <c r="B124" s="25" t="s">
        <v>411</v>
      </c>
      <c r="C124" s="48" t="s">
        <v>372</v>
      </c>
    </row>
    <row r="125" spans="1:3">
      <c r="A125" s="48">
        <v>15215</v>
      </c>
      <c r="B125" s="25" t="s">
        <v>411</v>
      </c>
      <c r="C125" s="48" t="s">
        <v>372</v>
      </c>
    </row>
    <row r="126" spans="1:3">
      <c r="A126" s="48">
        <v>15216</v>
      </c>
      <c r="B126" s="25" t="s">
        <v>411</v>
      </c>
      <c r="C126" s="48" t="s">
        <v>372</v>
      </c>
    </row>
    <row r="127" spans="1:3">
      <c r="A127" s="48">
        <v>15217</v>
      </c>
      <c r="B127" s="25" t="s">
        <v>411</v>
      </c>
      <c r="C127" s="48" t="s">
        <v>372</v>
      </c>
    </row>
    <row r="128" spans="1:3">
      <c r="A128" s="48">
        <v>15218</v>
      </c>
      <c r="B128" s="25" t="s">
        <v>411</v>
      </c>
      <c r="C128" s="48" t="s">
        <v>372</v>
      </c>
    </row>
    <row r="129" spans="1:3">
      <c r="A129" s="48">
        <v>15219</v>
      </c>
      <c r="B129" s="25" t="s">
        <v>411</v>
      </c>
      <c r="C129" s="48" t="s">
        <v>372</v>
      </c>
    </row>
    <row r="130" spans="1:3">
      <c r="A130" s="48">
        <v>15220</v>
      </c>
      <c r="B130" s="25" t="s">
        <v>411</v>
      </c>
      <c r="C130" s="48" t="s">
        <v>372</v>
      </c>
    </row>
    <row r="131" spans="1:3">
      <c r="A131" s="48">
        <v>15221</v>
      </c>
      <c r="B131" s="25" t="s">
        <v>411</v>
      </c>
      <c r="C131" s="48" t="s">
        <v>372</v>
      </c>
    </row>
    <row r="132" spans="1:3">
      <c r="A132" s="48">
        <v>15222</v>
      </c>
      <c r="B132" s="25" t="s">
        <v>411</v>
      </c>
      <c r="C132" s="48" t="s">
        <v>372</v>
      </c>
    </row>
    <row r="133" spans="1:3">
      <c r="A133" s="48">
        <v>15223</v>
      </c>
      <c r="B133" s="25" t="s">
        <v>411</v>
      </c>
      <c r="C133" s="48" t="s">
        <v>372</v>
      </c>
    </row>
    <row r="134" spans="1:3">
      <c r="A134" s="48">
        <v>15224</v>
      </c>
      <c r="B134" s="25" t="s">
        <v>411</v>
      </c>
      <c r="C134" s="48" t="s">
        <v>372</v>
      </c>
    </row>
    <row r="135" spans="1:3">
      <c r="A135" s="48">
        <v>15225</v>
      </c>
      <c r="B135" s="25" t="s">
        <v>411</v>
      </c>
      <c r="C135" s="48" t="s">
        <v>372</v>
      </c>
    </row>
    <row r="136" spans="1:3">
      <c r="A136" s="48">
        <v>15226</v>
      </c>
      <c r="B136" s="25" t="s">
        <v>411</v>
      </c>
      <c r="C136" s="48" t="s">
        <v>372</v>
      </c>
    </row>
    <row r="137" spans="1:3">
      <c r="A137" s="48">
        <v>15227</v>
      </c>
      <c r="B137" s="25" t="s">
        <v>411</v>
      </c>
      <c r="C137" s="48" t="s">
        <v>372</v>
      </c>
    </row>
    <row r="138" spans="1:3">
      <c r="A138" s="48">
        <v>15228</v>
      </c>
      <c r="B138" s="25" t="s">
        <v>411</v>
      </c>
      <c r="C138" s="48" t="s">
        <v>372</v>
      </c>
    </row>
    <row r="139" spans="1:3">
      <c r="A139" s="48">
        <v>15229</v>
      </c>
      <c r="B139" s="25" t="s">
        <v>411</v>
      </c>
      <c r="C139" s="48" t="s">
        <v>372</v>
      </c>
    </row>
    <row r="140" spans="1:3">
      <c r="A140" s="48">
        <v>15230</v>
      </c>
      <c r="B140" s="25" t="s">
        <v>411</v>
      </c>
      <c r="C140" s="48" t="s">
        <v>372</v>
      </c>
    </row>
    <row r="141" spans="1:3">
      <c r="A141" s="48">
        <v>15231</v>
      </c>
      <c r="B141" s="25" t="s">
        <v>411</v>
      </c>
      <c r="C141" s="48" t="s">
        <v>372</v>
      </c>
    </row>
    <row r="142" spans="1:3">
      <c r="A142" s="48">
        <v>15232</v>
      </c>
      <c r="B142" s="25" t="s">
        <v>411</v>
      </c>
      <c r="C142" s="48" t="s">
        <v>372</v>
      </c>
    </row>
    <row r="143" spans="1:3">
      <c r="A143" s="48">
        <v>15233</v>
      </c>
      <c r="B143" s="25" t="s">
        <v>411</v>
      </c>
      <c r="C143" s="48" t="s">
        <v>372</v>
      </c>
    </row>
    <row r="144" spans="1:3">
      <c r="A144" s="48">
        <v>15234</v>
      </c>
      <c r="B144" s="25" t="s">
        <v>411</v>
      </c>
      <c r="C144" s="48" t="s">
        <v>372</v>
      </c>
    </row>
    <row r="145" spans="1:3">
      <c r="A145" s="48">
        <v>15235</v>
      </c>
      <c r="B145" s="25" t="s">
        <v>411</v>
      </c>
      <c r="C145" s="48" t="s">
        <v>372</v>
      </c>
    </row>
    <row r="146" spans="1:3">
      <c r="A146" s="48">
        <v>15236</v>
      </c>
      <c r="B146" s="25" t="s">
        <v>411</v>
      </c>
      <c r="C146" s="48" t="s">
        <v>372</v>
      </c>
    </row>
    <row r="147" spans="1:3">
      <c r="A147" s="48">
        <v>15237</v>
      </c>
      <c r="B147" s="25" t="s">
        <v>411</v>
      </c>
      <c r="C147" s="48" t="s">
        <v>372</v>
      </c>
    </row>
    <row r="148" spans="1:3">
      <c r="A148" s="48">
        <v>15238</v>
      </c>
      <c r="B148" s="25" t="s">
        <v>411</v>
      </c>
      <c r="C148" s="48" t="s">
        <v>372</v>
      </c>
    </row>
    <row r="149" spans="1:3">
      <c r="A149" s="48">
        <v>15239</v>
      </c>
      <c r="B149" s="25" t="s">
        <v>411</v>
      </c>
      <c r="C149" s="48" t="s">
        <v>372</v>
      </c>
    </row>
    <row r="150" spans="1:3">
      <c r="A150" s="48">
        <v>15240</v>
      </c>
      <c r="B150" s="25" t="s">
        <v>411</v>
      </c>
      <c r="C150" s="48" t="s">
        <v>372</v>
      </c>
    </row>
    <row r="151" spans="1:3">
      <c r="A151" s="48">
        <v>15241</v>
      </c>
      <c r="B151" s="25" t="s">
        <v>411</v>
      </c>
      <c r="C151" s="48" t="s">
        <v>372</v>
      </c>
    </row>
    <row r="152" spans="1:3">
      <c r="A152" s="48">
        <v>15242</v>
      </c>
      <c r="B152" s="25" t="s">
        <v>411</v>
      </c>
      <c r="C152" s="48" t="s">
        <v>372</v>
      </c>
    </row>
    <row r="153" spans="1:3">
      <c r="A153" s="48">
        <v>15243</v>
      </c>
      <c r="B153" s="25" t="s">
        <v>411</v>
      </c>
      <c r="C153" s="48" t="s">
        <v>372</v>
      </c>
    </row>
    <row r="154" spans="1:3">
      <c r="A154" s="48">
        <v>15244</v>
      </c>
      <c r="B154" s="25" t="s">
        <v>411</v>
      </c>
      <c r="C154" s="48" t="s">
        <v>372</v>
      </c>
    </row>
    <row r="155" spans="1:3">
      <c r="A155" s="48">
        <v>15250</v>
      </c>
      <c r="B155" s="25" t="s">
        <v>411</v>
      </c>
      <c r="C155" s="48" t="s">
        <v>372</v>
      </c>
    </row>
    <row r="156" spans="1:3">
      <c r="A156" s="48">
        <v>15251</v>
      </c>
      <c r="B156" s="25" t="s">
        <v>411</v>
      </c>
      <c r="C156" s="48" t="s">
        <v>372</v>
      </c>
    </row>
    <row r="157" spans="1:3">
      <c r="A157" s="48">
        <v>15252</v>
      </c>
      <c r="B157" s="25" t="s">
        <v>411</v>
      </c>
      <c r="C157" s="48" t="s">
        <v>372</v>
      </c>
    </row>
    <row r="158" spans="1:3">
      <c r="A158" s="48">
        <v>15253</v>
      </c>
      <c r="B158" s="25" t="s">
        <v>411</v>
      </c>
      <c r="C158" s="48" t="s">
        <v>372</v>
      </c>
    </row>
    <row r="159" spans="1:3">
      <c r="A159" s="48">
        <v>15254</v>
      </c>
      <c r="B159" s="25" t="s">
        <v>411</v>
      </c>
      <c r="C159" s="48" t="s">
        <v>372</v>
      </c>
    </row>
    <row r="160" spans="1:3">
      <c r="A160" s="48">
        <v>15255</v>
      </c>
      <c r="B160" s="25" t="s">
        <v>411</v>
      </c>
      <c r="C160" s="48" t="s">
        <v>372</v>
      </c>
    </row>
    <row r="161" spans="1:3">
      <c r="A161" s="48">
        <v>15257</v>
      </c>
      <c r="B161" s="25" t="s">
        <v>411</v>
      </c>
      <c r="C161" s="48" t="s">
        <v>372</v>
      </c>
    </row>
    <row r="162" spans="1:3">
      <c r="A162" s="48">
        <v>15258</v>
      </c>
      <c r="B162" s="25" t="s">
        <v>411</v>
      </c>
      <c r="C162" s="48" t="s">
        <v>372</v>
      </c>
    </row>
    <row r="163" spans="1:3">
      <c r="A163" s="48">
        <v>15259</v>
      </c>
      <c r="B163" s="25" t="s">
        <v>411</v>
      </c>
      <c r="C163" s="48" t="s">
        <v>372</v>
      </c>
    </row>
    <row r="164" spans="1:3">
      <c r="A164" s="48">
        <v>15260</v>
      </c>
      <c r="B164" s="25" t="s">
        <v>411</v>
      </c>
      <c r="C164" s="48" t="s">
        <v>372</v>
      </c>
    </row>
    <row r="165" spans="1:3">
      <c r="A165" s="48">
        <v>15261</v>
      </c>
      <c r="B165" s="25" t="s">
        <v>411</v>
      </c>
      <c r="C165" s="48" t="s">
        <v>372</v>
      </c>
    </row>
    <row r="166" spans="1:3">
      <c r="A166" s="48">
        <v>15262</v>
      </c>
      <c r="B166" s="25" t="s">
        <v>411</v>
      </c>
      <c r="C166" s="48" t="s">
        <v>372</v>
      </c>
    </row>
    <row r="167" spans="1:3">
      <c r="A167" s="48">
        <v>15263</v>
      </c>
      <c r="B167" s="25" t="s">
        <v>411</v>
      </c>
      <c r="C167" s="48" t="s">
        <v>372</v>
      </c>
    </row>
    <row r="168" spans="1:3">
      <c r="A168" s="48">
        <v>15264</v>
      </c>
      <c r="B168" s="25" t="s">
        <v>411</v>
      </c>
      <c r="C168" s="48" t="s">
        <v>372</v>
      </c>
    </row>
    <row r="169" spans="1:3">
      <c r="A169" s="48">
        <v>15265</v>
      </c>
      <c r="B169" s="25" t="s">
        <v>411</v>
      </c>
      <c r="C169" s="48" t="s">
        <v>372</v>
      </c>
    </row>
    <row r="170" spans="1:3">
      <c r="A170" s="48">
        <v>15267</v>
      </c>
      <c r="B170" s="25" t="s">
        <v>411</v>
      </c>
      <c r="C170" s="48" t="s">
        <v>372</v>
      </c>
    </row>
    <row r="171" spans="1:3">
      <c r="A171" s="48">
        <v>15268</v>
      </c>
      <c r="B171" s="25" t="s">
        <v>411</v>
      </c>
      <c r="C171" s="48" t="s">
        <v>372</v>
      </c>
    </row>
    <row r="172" spans="1:3">
      <c r="A172" s="48">
        <v>15270</v>
      </c>
      <c r="B172" s="25" t="s">
        <v>411</v>
      </c>
      <c r="C172" s="48" t="s">
        <v>372</v>
      </c>
    </row>
    <row r="173" spans="1:3">
      <c r="A173" s="48">
        <v>15272</v>
      </c>
      <c r="B173" s="25" t="s">
        <v>411</v>
      </c>
      <c r="C173" s="48" t="s">
        <v>372</v>
      </c>
    </row>
    <row r="174" spans="1:3">
      <c r="A174" s="48">
        <v>15274</v>
      </c>
      <c r="B174" s="25" t="s">
        <v>411</v>
      </c>
      <c r="C174" s="48" t="s">
        <v>372</v>
      </c>
    </row>
    <row r="175" spans="1:3">
      <c r="A175" s="48">
        <v>15275</v>
      </c>
      <c r="B175" s="25" t="s">
        <v>411</v>
      </c>
      <c r="C175" s="48" t="s">
        <v>372</v>
      </c>
    </row>
    <row r="176" spans="1:3">
      <c r="A176" s="48">
        <v>15276</v>
      </c>
      <c r="B176" s="25" t="s">
        <v>411</v>
      </c>
      <c r="C176" s="48" t="s">
        <v>372</v>
      </c>
    </row>
    <row r="177" spans="1:3">
      <c r="A177" s="48">
        <v>15277</v>
      </c>
      <c r="B177" s="25" t="s">
        <v>411</v>
      </c>
      <c r="C177" s="48" t="s">
        <v>372</v>
      </c>
    </row>
    <row r="178" spans="1:3">
      <c r="A178" s="48">
        <v>15278</v>
      </c>
      <c r="B178" s="25" t="s">
        <v>411</v>
      </c>
      <c r="C178" s="48" t="s">
        <v>372</v>
      </c>
    </row>
    <row r="179" spans="1:3">
      <c r="A179" s="48">
        <v>15279</v>
      </c>
      <c r="B179" s="25" t="s">
        <v>411</v>
      </c>
      <c r="C179" s="48" t="s">
        <v>372</v>
      </c>
    </row>
    <row r="180" spans="1:3">
      <c r="A180" s="48">
        <v>15281</v>
      </c>
      <c r="B180" s="25" t="s">
        <v>411</v>
      </c>
      <c r="C180" s="48" t="s">
        <v>372</v>
      </c>
    </row>
    <row r="181" spans="1:3">
      <c r="A181" s="48">
        <v>15282</v>
      </c>
      <c r="B181" s="25" t="s">
        <v>411</v>
      </c>
      <c r="C181" s="48" t="s">
        <v>372</v>
      </c>
    </row>
    <row r="182" spans="1:3">
      <c r="A182" s="48">
        <v>15283</v>
      </c>
      <c r="B182" s="25" t="s">
        <v>411</v>
      </c>
      <c r="C182" s="48" t="s">
        <v>372</v>
      </c>
    </row>
    <row r="183" spans="1:3">
      <c r="A183" s="48">
        <v>15285</v>
      </c>
      <c r="B183" s="25" t="s">
        <v>411</v>
      </c>
      <c r="C183" s="48" t="s">
        <v>372</v>
      </c>
    </row>
    <row r="184" spans="1:3">
      <c r="A184" s="48">
        <v>15286</v>
      </c>
      <c r="B184" s="25" t="s">
        <v>411</v>
      </c>
      <c r="C184" s="48" t="s">
        <v>372</v>
      </c>
    </row>
    <row r="185" spans="1:3">
      <c r="A185" s="48">
        <v>15290</v>
      </c>
      <c r="B185" s="25" t="s">
        <v>411</v>
      </c>
      <c r="C185" s="48" t="s">
        <v>372</v>
      </c>
    </row>
    <row r="186" spans="1:3">
      <c r="A186" s="48">
        <v>15295</v>
      </c>
      <c r="B186" s="25" t="s">
        <v>411</v>
      </c>
      <c r="C186" s="48" t="s">
        <v>372</v>
      </c>
    </row>
    <row r="187" spans="1:3">
      <c r="A187" s="48">
        <v>15301</v>
      </c>
      <c r="B187" s="25" t="s">
        <v>411</v>
      </c>
      <c r="C187" s="48" t="s">
        <v>372</v>
      </c>
    </row>
    <row r="188" spans="1:3">
      <c r="A188" s="48">
        <v>15310</v>
      </c>
      <c r="B188" s="25" t="s">
        <v>411</v>
      </c>
      <c r="C188" s="48" t="s">
        <v>372</v>
      </c>
    </row>
    <row r="189" spans="1:3">
      <c r="A189" s="48">
        <v>15311</v>
      </c>
      <c r="B189" s="25" t="s">
        <v>411</v>
      </c>
      <c r="C189" s="48" t="s">
        <v>372</v>
      </c>
    </row>
    <row r="190" spans="1:3">
      <c r="A190" s="48">
        <v>15312</v>
      </c>
      <c r="B190" s="25" t="s">
        <v>411</v>
      </c>
      <c r="C190" s="48" t="s">
        <v>372</v>
      </c>
    </row>
    <row r="191" spans="1:3">
      <c r="A191" s="48">
        <v>15313</v>
      </c>
      <c r="B191" s="25" t="s">
        <v>411</v>
      </c>
      <c r="C191" s="48" t="s">
        <v>372</v>
      </c>
    </row>
    <row r="192" spans="1:3">
      <c r="A192" s="48">
        <v>15314</v>
      </c>
      <c r="B192" s="25" t="s">
        <v>411</v>
      </c>
      <c r="C192" s="48" t="s">
        <v>372</v>
      </c>
    </row>
    <row r="193" spans="1:3">
      <c r="A193" s="48">
        <v>15315</v>
      </c>
      <c r="B193" s="25" t="s">
        <v>411</v>
      </c>
      <c r="C193" s="48" t="s">
        <v>372</v>
      </c>
    </row>
    <row r="194" spans="1:3">
      <c r="A194" s="48">
        <v>15316</v>
      </c>
      <c r="B194" s="25" t="s">
        <v>411</v>
      </c>
      <c r="C194" s="48" t="s">
        <v>372</v>
      </c>
    </row>
    <row r="195" spans="1:3">
      <c r="A195" s="48">
        <v>15317</v>
      </c>
      <c r="B195" s="25" t="s">
        <v>411</v>
      </c>
      <c r="C195" s="48" t="s">
        <v>372</v>
      </c>
    </row>
    <row r="196" spans="1:3">
      <c r="A196" s="48">
        <v>15320</v>
      </c>
      <c r="B196" s="25" t="s">
        <v>411</v>
      </c>
      <c r="C196" s="48" t="s">
        <v>372</v>
      </c>
    </row>
    <row r="197" spans="1:3">
      <c r="A197" s="48">
        <v>15321</v>
      </c>
      <c r="B197" s="25" t="s">
        <v>411</v>
      </c>
      <c r="C197" s="48" t="s">
        <v>372</v>
      </c>
    </row>
    <row r="198" spans="1:3">
      <c r="A198" s="48">
        <v>15322</v>
      </c>
      <c r="B198" s="25" t="s">
        <v>411</v>
      </c>
      <c r="C198" s="48" t="s">
        <v>372</v>
      </c>
    </row>
    <row r="199" spans="1:3">
      <c r="A199" s="48">
        <v>15323</v>
      </c>
      <c r="B199" s="25" t="s">
        <v>411</v>
      </c>
      <c r="C199" s="48" t="s">
        <v>372</v>
      </c>
    </row>
    <row r="200" spans="1:3">
      <c r="A200" s="48">
        <v>15324</v>
      </c>
      <c r="B200" s="25" t="s">
        <v>411</v>
      </c>
      <c r="C200" s="48" t="s">
        <v>372</v>
      </c>
    </row>
    <row r="201" spans="1:3">
      <c r="A201" s="48">
        <v>15325</v>
      </c>
      <c r="B201" s="25" t="s">
        <v>411</v>
      </c>
      <c r="C201" s="48" t="s">
        <v>372</v>
      </c>
    </row>
    <row r="202" spans="1:3">
      <c r="A202" s="48">
        <v>15327</v>
      </c>
      <c r="B202" s="25" t="s">
        <v>411</v>
      </c>
      <c r="C202" s="48" t="s">
        <v>372</v>
      </c>
    </row>
    <row r="203" spans="1:3">
      <c r="A203" s="48">
        <v>15329</v>
      </c>
      <c r="B203" s="25" t="s">
        <v>411</v>
      </c>
      <c r="C203" s="48" t="s">
        <v>372</v>
      </c>
    </row>
    <row r="204" spans="1:3">
      <c r="A204" s="48">
        <v>15330</v>
      </c>
      <c r="B204" s="25" t="s">
        <v>411</v>
      </c>
      <c r="C204" s="48" t="s">
        <v>372</v>
      </c>
    </row>
    <row r="205" spans="1:3">
      <c r="A205" s="48">
        <v>15331</v>
      </c>
      <c r="B205" s="25" t="s">
        <v>411</v>
      </c>
      <c r="C205" s="48" t="s">
        <v>372</v>
      </c>
    </row>
    <row r="206" spans="1:3">
      <c r="A206" s="48">
        <v>15332</v>
      </c>
      <c r="B206" s="25" t="s">
        <v>411</v>
      </c>
      <c r="C206" s="48" t="s">
        <v>372</v>
      </c>
    </row>
    <row r="207" spans="1:3">
      <c r="A207" s="48">
        <v>15333</v>
      </c>
      <c r="B207" s="25" t="s">
        <v>411</v>
      </c>
      <c r="C207" s="48" t="s">
        <v>372</v>
      </c>
    </row>
    <row r="208" spans="1:3">
      <c r="A208" s="48">
        <v>15334</v>
      </c>
      <c r="B208" s="25" t="s">
        <v>411</v>
      </c>
      <c r="C208" s="48" t="s">
        <v>372</v>
      </c>
    </row>
    <row r="209" spans="1:3">
      <c r="A209" s="48">
        <v>15336</v>
      </c>
      <c r="B209" s="25" t="s">
        <v>411</v>
      </c>
      <c r="C209" s="48" t="s">
        <v>372</v>
      </c>
    </row>
    <row r="210" spans="1:3">
      <c r="A210" s="48">
        <v>15337</v>
      </c>
      <c r="B210" s="25" t="s">
        <v>411</v>
      </c>
      <c r="C210" s="48" t="s">
        <v>372</v>
      </c>
    </row>
    <row r="211" spans="1:3">
      <c r="A211" s="48">
        <v>15338</v>
      </c>
      <c r="B211" s="25" t="s">
        <v>411</v>
      </c>
      <c r="C211" s="48" t="s">
        <v>372</v>
      </c>
    </row>
    <row r="212" spans="1:3">
      <c r="A212" s="48">
        <v>15339</v>
      </c>
      <c r="B212" s="25" t="s">
        <v>411</v>
      </c>
      <c r="C212" s="48" t="s">
        <v>372</v>
      </c>
    </row>
    <row r="213" spans="1:3">
      <c r="A213" s="48">
        <v>15340</v>
      </c>
      <c r="B213" s="25" t="s">
        <v>411</v>
      </c>
      <c r="C213" s="48" t="s">
        <v>372</v>
      </c>
    </row>
    <row r="214" spans="1:3">
      <c r="A214" s="48">
        <v>15341</v>
      </c>
      <c r="B214" s="25" t="s">
        <v>411</v>
      </c>
      <c r="C214" s="48" t="s">
        <v>372</v>
      </c>
    </row>
    <row r="215" spans="1:3">
      <c r="A215" s="48">
        <v>15342</v>
      </c>
      <c r="B215" s="25" t="s">
        <v>411</v>
      </c>
      <c r="C215" s="48" t="s">
        <v>372</v>
      </c>
    </row>
    <row r="216" spans="1:3">
      <c r="A216" s="48">
        <v>15344</v>
      </c>
      <c r="B216" s="25" t="s">
        <v>411</v>
      </c>
      <c r="C216" s="48" t="s">
        <v>372</v>
      </c>
    </row>
    <row r="217" spans="1:3">
      <c r="A217" s="48">
        <v>15345</v>
      </c>
      <c r="B217" s="25" t="s">
        <v>411</v>
      </c>
      <c r="C217" s="48" t="s">
        <v>372</v>
      </c>
    </row>
    <row r="218" spans="1:3">
      <c r="A218" s="48">
        <v>15346</v>
      </c>
      <c r="B218" s="25" t="s">
        <v>411</v>
      </c>
      <c r="C218" s="48" t="s">
        <v>372</v>
      </c>
    </row>
    <row r="219" spans="1:3">
      <c r="A219" s="48">
        <v>15347</v>
      </c>
      <c r="B219" s="25" t="s">
        <v>411</v>
      </c>
      <c r="C219" s="48" t="s">
        <v>372</v>
      </c>
    </row>
    <row r="220" spans="1:3">
      <c r="A220" s="48">
        <v>15348</v>
      </c>
      <c r="B220" s="25" t="s">
        <v>411</v>
      </c>
      <c r="C220" s="48" t="s">
        <v>372</v>
      </c>
    </row>
    <row r="221" spans="1:3">
      <c r="A221" s="48">
        <v>15349</v>
      </c>
      <c r="B221" s="25" t="s">
        <v>411</v>
      </c>
      <c r="C221" s="48" t="s">
        <v>372</v>
      </c>
    </row>
    <row r="222" spans="1:3">
      <c r="A222" s="48">
        <v>15350</v>
      </c>
      <c r="B222" s="25" t="s">
        <v>411</v>
      </c>
      <c r="C222" s="48" t="s">
        <v>372</v>
      </c>
    </row>
    <row r="223" spans="1:3">
      <c r="A223" s="48">
        <v>15351</v>
      </c>
      <c r="B223" s="25" t="s">
        <v>411</v>
      </c>
      <c r="C223" s="48" t="s">
        <v>372</v>
      </c>
    </row>
    <row r="224" spans="1:3">
      <c r="A224" s="48">
        <v>15352</v>
      </c>
      <c r="B224" s="25" t="s">
        <v>411</v>
      </c>
      <c r="C224" s="48" t="s">
        <v>372</v>
      </c>
    </row>
    <row r="225" spans="1:3">
      <c r="A225" s="48">
        <v>15353</v>
      </c>
      <c r="B225" s="25" t="s">
        <v>411</v>
      </c>
      <c r="C225" s="48" t="s">
        <v>372</v>
      </c>
    </row>
    <row r="226" spans="1:3">
      <c r="A226" s="48">
        <v>15354</v>
      </c>
      <c r="B226" s="25" t="s">
        <v>411</v>
      </c>
      <c r="C226" s="48" t="s">
        <v>372</v>
      </c>
    </row>
    <row r="227" spans="1:3">
      <c r="A227" s="48">
        <v>15357</v>
      </c>
      <c r="B227" s="25" t="s">
        <v>411</v>
      </c>
      <c r="C227" s="48" t="s">
        <v>372</v>
      </c>
    </row>
    <row r="228" spans="1:3">
      <c r="A228" s="48">
        <v>15358</v>
      </c>
      <c r="B228" s="25" t="s">
        <v>411</v>
      </c>
      <c r="C228" s="48" t="s">
        <v>372</v>
      </c>
    </row>
    <row r="229" spans="1:3">
      <c r="A229" s="48">
        <v>15359</v>
      </c>
      <c r="B229" s="25" t="s">
        <v>411</v>
      </c>
      <c r="C229" s="48" t="s">
        <v>372</v>
      </c>
    </row>
    <row r="230" spans="1:3">
      <c r="A230" s="48">
        <v>15360</v>
      </c>
      <c r="B230" s="25" t="s">
        <v>411</v>
      </c>
      <c r="C230" s="48" t="s">
        <v>372</v>
      </c>
    </row>
    <row r="231" spans="1:3">
      <c r="A231" s="48">
        <v>15361</v>
      </c>
      <c r="B231" s="25" t="s">
        <v>411</v>
      </c>
      <c r="C231" s="48" t="s">
        <v>372</v>
      </c>
    </row>
    <row r="232" spans="1:3">
      <c r="A232" s="48">
        <v>15362</v>
      </c>
      <c r="B232" s="25" t="s">
        <v>411</v>
      </c>
      <c r="C232" s="48" t="s">
        <v>372</v>
      </c>
    </row>
    <row r="233" spans="1:3">
      <c r="A233" s="48">
        <v>15363</v>
      </c>
      <c r="B233" s="25" t="s">
        <v>411</v>
      </c>
      <c r="C233" s="48" t="s">
        <v>372</v>
      </c>
    </row>
    <row r="234" spans="1:3">
      <c r="A234" s="48">
        <v>15364</v>
      </c>
      <c r="B234" s="25" t="s">
        <v>411</v>
      </c>
      <c r="C234" s="48" t="s">
        <v>372</v>
      </c>
    </row>
    <row r="235" spans="1:3">
      <c r="A235" s="48">
        <v>15365</v>
      </c>
      <c r="B235" s="25" t="s">
        <v>411</v>
      </c>
      <c r="C235" s="48" t="s">
        <v>372</v>
      </c>
    </row>
    <row r="236" spans="1:3">
      <c r="A236" s="48">
        <v>15366</v>
      </c>
      <c r="B236" s="25" t="s">
        <v>411</v>
      </c>
      <c r="C236" s="48" t="s">
        <v>372</v>
      </c>
    </row>
    <row r="237" spans="1:3">
      <c r="A237" s="48">
        <v>15367</v>
      </c>
      <c r="B237" s="25" t="s">
        <v>411</v>
      </c>
      <c r="C237" s="48" t="s">
        <v>372</v>
      </c>
    </row>
    <row r="238" spans="1:3">
      <c r="A238" s="48">
        <v>15368</v>
      </c>
      <c r="B238" s="25" t="s">
        <v>411</v>
      </c>
      <c r="C238" s="48" t="s">
        <v>372</v>
      </c>
    </row>
    <row r="239" spans="1:3">
      <c r="A239" s="48">
        <v>15370</v>
      </c>
      <c r="B239" s="25" t="s">
        <v>411</v>
      </c>
      <c r="C239" s="48" t="s">
        <v>372</v>
      </c>
    </row>
    <row r="240" spans="1:3">
      <c r="A240" s="48">
        <v>15376</v>
      </c>
      <c r="B240" s="25" t="s">
        <v>411</v>
      </c>
      <c r="C240" s="48" t="s">
        <v>372</v>
      </c>
    </row>
    <row r="241" spans="1:3">
      <c r="A241" s="48">
        <v>15377</v>
      </c>
      <c r="B241" s="25" t="s">
        <v>411</v>
      </c>
      <c r="C241" s="48" t="s">
        <v>372</v>
      </c>
    </row>
    <row r="242" spans="1:3">
      <c r="A242" s="48">
        <v>15378</v>
      </c>
      <c r="B242" s="25" t="s">
        <v>411</v>
      </c>
      <c r="C242" s="48" t="s">
        <v>372</v>
      </c>
    </row>
    <row r="243" spans="1:3">
      <c r="A243" s="48">
        <v>15379</v>
      </c>
      <c r="B243" s="25" t="s">
        <v>411</v>
      </c>
      <c r="C243" s="48" t="s">
        <v>372</v>
      </c>
    </row>
    <row r="244" spans="1:3">
      <c r="A244" s="48">
        <v>15380</v>
      </c>
      <c r="B244" s="25" t="s">
        <v>411</v>
      </c>
      <c r="C244" s="48" t="s">
        <v>372</v>
      </c>
    </row>
    <row r="245" spans="1:3">
      <c r="A245" s="48">
        <v>15401</v>
      </c>
      <c r="B245" s="25" t="s">
        <v>411</v>
      </c>
      <c r="C245" s="48" t="s">
        <v>372</v>
      </c>
    </row>
    <row r="246" spans="1:3">
      <c r="A246" s="48">
        <v>15410</v>
      </c>
      <c r="B246" s="25" t="s">
        <v>411</v>
      </c>
      <c r="C246" s="48" t="s">
        <v>372</v>
      </c>
    </row>
    <row r="247" spans="1:3">
      <c r="A247" s="48">
        <v>15411</v>
      </c>
      <c r="B247" s="25" t="s">
        <v>411</v>
      </c>
      <c r="C247" s="48" t="s">
        <v>372</v>
      </c>
    </row>
    <row r="248" spans="1:3">
      <c r="A248" s="48">
        <v>15412</v>
      </c>
      <c r="B248" s="25" t="s">
        <v>411</v>
      </c>
      <c r="C248" s="48" t="s">
        <v>372</v>
      </c>
    </row>
    <row r="249" spans="1:3">
      <c r="A249" s="48">
        <v>15413</v>
      </c>
      <c r="B249" s="25" t="s">
        <v>411</v>
      </c>
      <c r="C249" s="48" t="s">
        <v>372</v>
      </c>
    </row>
    <row r="250" spans="1:3">
      <c r="A250" s="48">
        <v>15415</v>
      </c>
      <c r="B250" s="25" t="s">
        <v>411</v>
      </c>
      <c r="C250" s="48" t="s">
        <v>372</v>
      </c>
    </row>
    <row r="251" spans="1:3">
      <c r="A251" s="48">
        <v>15416</v>
      </c>
      <c r="B251" s="25" t="s">
        <v>411</v>
      </c>
      <c r="C251" s="48" t="s">
        <v>372</v>
      </c>
    </row>
    <row r="252" spans="1:3">
      <c r="A252" s="48">
        <v>15417</v>
      </c>
      <c r="B252" s="25" t="s">
        <v>411</v>
      </c>
      <c r="C252" s="48" t="s">
        <v>372</v>
      </c>
    </row>
    <row r="253" spans="1:3">
      <c r="A253" s="48">
        <v>15419</v>
      </c>
      <c r="B253" s="25" t="s">
        <v>411</v>
      </c>
      <c r="C253" s="48" t="s">
        <v>372</v>
      </c>
    </row>
    <row r="254" spans="1:3">
      <c r="A254" s="48">
        <v>15420</v>
      </c>
      <c r="B254" s="25" t="s">
        <v>411</v>
      </c>
      <c r="C254" s="48" t="s">
        <v>372</v>
      </c>
    </row>
    <row r="255" spans="1:3">
      <c r="A255" s="48">
        <v>15421</v>
      </c>
      <c r="B255" s="25" t="s">
        <v>411</v>
      </c>
      <c r="C255" s="48" t="s">
        <v>372</v>
      </c>
    </row>
    <row r="256" spans="1:3">
      <c r="A256" s="48">
        <v>15422</v>
      </c>
      <c r="B256" s="25" t="s">
        <v>411</v>
      </c>
      <c r="C256" s="48" t="s">
        <v>372</v>
      </c>
    </row>
    <row r="257" spans="1:3">
      <c r="A257" s="48">
        <v>15423</v>
      </c>
      <c r="B257" s="25" t="s">
        <v>411</v>
      </c>
      <c r="C257" s="48" t="s">
        <v>372</v>
      </c>
    </row>
    <row r="258" spans="1:3">
      <c r="A258" s="48">
        <v>15424</v>
      </c>
      <c r="B258" s="25" t="s">
        <v>411</v>
      </c>
      <c r="C258" s="48" t="s">
        <v>372</v>
      </c>
    </row>
    <row r="259" spans="1:3">
      <c r="A259" s="48">
        <v>15425</v>
      </c>
      <c r="B259" s="25" t="s">
        <v>411</v>
      </c>
      <c r="C259" s="48" t="s">
        <v>372</v>
      </c>
    </row>
    <row r="260" spans="1:3">
      <c r="A260" s="48">
        <v>15427</v>
      </c>
      <c r="B260" s="25" t="s">
        <v>411</v>
      </c>
      <c r="C260" s="48" t="s">
        <v>372</v>
      </c>
    </row>
    <row r="261" spans="1:3">
      <c r="A261" s="48">
        <v>15428</v>
      </c>
      <c r="B261" s="25" t="s">
        <v>411</v>
      </c>
      <c r="C261" s="48" t="s">
        <v>372</v>
      </c>
    </row>
    <row r="262" spans="1:3">
      <c r="A262" s="48">
        <v>15429</v>
      </c>
      <c r="B262" s="25" t="s">
        <v>411</v>
      </c>
      <c r="C262" s="48" t="s">
        <v>372</v>
      </c>
    </row>
    <row r="263" spans="1:3">
      <c r="A263" s="48">
        <v>15430</v>
      </c>
      <c r="B263" s="25" t="s">
        <v>411</v>
      </c>
      <c r="C263" s="48" t="s">
        <v>372</v>
      </c>
    </row>
    <row r="264" spans="1:3">
      <c r="A264" s="48">
        <v>15431</v>
      </c>
      <c r="B264" s="25" t="s">
        <v>411</v>
      </c>
      <c r="C264" s="48" t="s">
        <v>372</v>
      </c>
    </row>
    <row r="265" spans="1:3">
      <c r="A265" s="48">
        <v>15432</v>
      </c>
      <c r="B265" s="25" t="s">
        <v>411</v>
      </c>
      <c r="C265" s="48" t="s">
        <v>372</v>
      </c>
    </row>
    <row r="266" spans="1:3">
      <c r="A266" s="48">
        <v>15433</v>
      </c>
      <c r="B266" s="25" t="s">
        <v>411</v>
      </c>
      <c r="C266" s="48" t="s">
        <v>372</v>
      </c>
    </row>
    <row r="267" spans="1:3">
      <c r="A267" s="48">
        <v>15434</v>
      </c>
      <c r="B267" s="25" t="s">
        <v>411</v>
      </c>
      <c r="C267" s="48" t="s">
        <v>372</v>
      </c>
    </row>
    <row r="268" spans="1:3">
      <c r="A268" s="48">
        <v>15435</v>
      </c>
      <c r="B268" s="25" t="s">
        <v>411</v>
      </c>
      <c r="C268" s="48" t="s">
        <v>372</v>
      </c>
    </row>
    <row r="269" spans="1:3">
      <c r="A269" s="48">
        <v>15436</v>
      </c>
      <c r="B269" s="25" t="s">
        <v>411</v>
      </c>
      <c r="C269" s="48" t="s">
        <v>372</v>
      </c>
    </row>
    <row r="270" spans="1:3">
      <c r="A270" s="48">
        <v>15437</v>
      </c>
      <c r="B270" s="25" t="s">
        <v>411</v>
      </c>
      <c r="C270" s="48" t="s">
        <v>372</v>
      </c>
    </row>
    <row r="271" spans="1:3">
      <c r="A271" s="48">
        <v>15438</v>
      </c>
      <c r="B271" s="25" t="s">
        <v>411</v>
      </c>
      <c r="C271" s="48" t="s">
        <v>372</v>
      </c>
    </row>
    <row r="272" spans="1:3">
      <c r="A272" s="48">
        <v>15439</v>
      </c>
      <c r="B272" s="25" t="s">
        <v>411</v>
      </c>
      <c r="C272" s="48" t="s">
        <v>372</v>
      </c>
    </row>
    <row r="273" spans="1:3">
      <c r="A273" s="48">
        <v>15440</v>
      </c>
      <c r="B273" s="25" t="s">
        <v>411</v>
      </c>
      <c r="C273" s="48" t="s">
        <v>372</v>
      </c>
    </row>
    <row r="274" spans="1:3">
      <c r="A274" s="48">
        <v>15442</v>
      </c>
      <c r="B274" s="25" t="s">
        <v>411</v>
      </c>
      <c r="C274" s="48" t="s">
        <v>372</v>
      </c>
    </row>
    <row r="275" spans="1:3">
      <c r="A275" s="48">
        <v>15443</v>
      </c>
      <c r="B275" s="25" t="s">
        <v>411</v>
      </c>
      <c r="C275" s="48" t="s">
        <v>372</v>
      </c>
    </row>
    <row r="276" spans="1:3">
      <c r="A276" s="48">
        <v>15444</v>
      </c>
      <c r="B276" s="25" t="s">
        <v>411</v>
      </c>
      <c r="C276" s="48" t="s">
        <v>372</v>
      </c>
    </row>
    <row r="277" spans="1:3">
      <c r="A277" s="48">
        <v>15445</v>
      </c>
      <c r="B277" s="25" t="s">
        <v>411</v>
      </c>
      <c r="C277" s="48" t="s">
        <v>372</v>
      </c>
    </row>
    <row r="278" spans="1:3">
      <c r="A278" s="48">
        <v>15446</v>
      </c>
      <c r="B278" s="25" t="s">
        <v>411</v>
      </c>
      <c r="C278" s="48" t="s">
        <v>372</v>
      </c>
    </row>
    <row r="279" spans="1:3">
      <c r="A279" s="48">
        <v>15447</v>
      </c>
      <c r="B279" s="25" t="s">
        <v>411</v>
      </c>
      <c r="C279" s="48" t="s">
        <v>372</v>
      </c>
    </row>
    <row r="280" spans="1:3">
      <c r="A280" s="48">
        <v>15448</v>
      </c>
      <c r="B280" s="25" t="s">
        <v>411</v>
      </c>
      <c r="C280" s="48" t="s">
        <v>372</v>
      </c>
    </row>
    <row r="281" spans="1:3">
      <c r="A281" s="48">
        <v>15449</v>
      </c>
      <c r="B281" s="25" t="s">
        <v>411</v>
      </c>
      <c r="C281" s="48" t="s">
        <v>372</v>
      </c>
    </row>
    <row r="282" spans="1:3">
      <c r="A282" s="48">
        <v>15450</v>
      </c>
      <c r="B282" s="25" t="s">
        <v>411</v>
      </c>
      <c r="C282" s="48" t="s">
        <v>372</v>
      </c>
    </row>
    <row r="283" spans="1:3">
      <c r="A283" s="48">
        <v>15451</v>
      </c>
      <c r="B283" s="25" t="s">
        <v>411</v>
      </c>
      <c r="C283" s="48" t="s">
        <v>372</v>
      </c>
    </row>
    <row r="284" spans="1:3">
      <c r="A284" s="48">
        <v>15454</v>
      </c>
      <c r="B284" s="25" t="s">
        <v>411</v>
      </c>
      <c r="C284" s="48" t="s">
        <v>372</v>
      </c>
    </row>
    <row r="285" spans="1:3">
      <c r="A285" s="48">
        <v>15455</v>
      </c>
      <c r="B285" s="25" t="s">
        <v>411</v>
      </c>
      <c r="C285" s="48" t="s">
        <v>372</v>
      </c>
    </row>
    <row r="286" spans="1:3">
      <c r="A286" s="48">
        <v>15456</v>
      </c>
      <c r="B286" s="25" t="s">
        <v>411</v>
      </c>
      <c r="C286" s="48" t="s">
        <v>372</v>
      </c>
    </row>
    <row r="287" spans="1:3">
      <c r="A287" s="48">
        <v>15458</v>
      </c>
      <c r="B287" s="25" t="s">
        <v>411</v>
      </c>
      <c r="C287" s="48" t="s">
        <v>372</v>
      </c>
    </row>
    <row r="288" spans="1:3">
      <c r="A288" s="48">
        <v>15459</v>
      </c>
      <c r="B288" s="25" t="s">
        <v>411</v>
      </c>
      <c r="C288" s="48" t="s">
        <v>372</v>
      </c>
    </row>
    <row r="289" spans="1:3">
      <c r="A289" s="48">
        <v>15460</v>
      </c>
      <c r="B289" s="25" t="s">
        <v>411</v>
      </c>
      <c r="C289" s="48" t="s">
        <v>372</v>
      </c>
    </row>
    <row r="290" spans="1:3">
      <c r="A290" s="48">
        <v>15461</v>
      </c>
      <c r="B290" s="25" t="s">
        <v>411</v>
      </c>
      <c r="C290" s="48" t="s">
        <v>372</v>
      </c>
    </row>
    <row r="291" spans="1:3">
      <c r="A291" s="48">
        <v>15462</v>
      </c>
      <c r="B291" s="25" t="s">
        <v>411</v>
      </c>
      <c r="C291" s="48" t="s">
        <v>372</v>
      </c>
    </row>
    <row r="292" spans="1:3">
      <c r="A292" s="48">
        <v>15463</v>
      </c>
      <c r="B292" s="25" t="s">
        <v>411</v>
      </c>
      <c r="C292" s="48" t="s">
        <v>372</v>
      </c>
    </row>
    <row r="293" spans="1:3">
      <c r="A293" s="48">
        <v>15464</v>
      </c>
      <c r="B293" s="25" t="s">
        <v>411</v>
      </c>
      <c r="C293" s="48" t="s">
        <v>372</v>
      </c>
    </row>
    <row r="294" spans="1:3">
      <c r="A294" s="48">
        <v>15465</v>
      </c>
      <c r="B294" s="25" t="s">
        <v>411</v>
      </c>
      <c r="C294" s="48" t="s">
        <v>372</v>
      </c>
    </row>
    <row r="295" spans="1:3">
      <c r="A295" s="48">
        <v>15466</v>
      </c>
      <c r="B295" s="25" t="s">
        <v>411</v>
      </c>
      <c r="C295" s="48" t="s">
        <v>372</v>
      </c>
    </row>
    <row r="296" spans="1:3">
      <c r="A296" s="48">
        <v>15467</v>
      </c>
      <c r="B296" s="25" t="s">
        <v>411</v>
      </c>
      <c r="C296" s="48" t="s">
        <v>372</v>
      </c>
    </row>
    <row r="297" spans="1:3">
      <c r="A297" s="48">
        <v>15468</v>
      </c>
      <c r="B297" s="25" t="s">
        <v>411</v>
      </c>
      <c r="C297" s="48" t="s">
        <v>372</v>
      </c>
    </row>
    <row r="298" spans="1:3">
      <c r="A298" s="48">
        <v>15469</v>
      </c>
      <c r="B298" s="25" t="s">
        <v>411</v>
      </c>
      <c r="C298" s="48" t="s">
        <v>372</v>
      </c>
    </row>
    <row r="299" spans="1:3">
      <c r="A299" s="48">
        <v>15470</v>
      </c>
      <c r="B299" s="25" t="s">
        <v>411</v>
      </c>
      <c r="C299" s="48" t="s">
        <v>372</v>
      </c>
    </row>
    <row r="300" spans="1:3">
      <c r="A300" s="48">
        <v>15472</v>
      </c>
      <c r="B300" s="25" t="s">
        <v>411</v>
      </c>
      <c r="C300" s="48" t="s">
        <v>372</v>
      </c>
    </row>
    <row r="301" spans="1:3">
      <c r="A301" s="48">
        <v>15473</v>
      </c>
      <c r="B301" s="25" t="s">
        <v>411</v>
      </c>
      <c r="C301" s="48" t="s">
        <v>372</v>
      </c>
    </row>
    <row r="302" spans="1:3">
      <c r="A302" s="48">
        <v>15474</v>
      </c>
      <c r="B302" s="25" t="s">
        <v>411</v>
      </c>
      <c r="C302" s="48" t="s">
        <v>372</v>
      </c>
    </row>
    <row r="303" spans="1:3">
      <c r="A303" s="48">
        <v>15475</v>
      </c>
      <c r="B303" s="25" t="s">
        <v>411</v>
      </c>
      <c r="C303" s="48" t="s">
        <v>372</v>
      </c>
    </row>
    <row r="304" spans="1:3">
      <c r="A304" s="48">
        <v>15476</v>
      </c>
      <c r="B304" s="25" t="s">
        <v>411</v>
      </c>
      <c r="C304" s="48" t="s">
        <v>372</v>
      </c>
    </row>
    <row r="305" spans="1:3">
      <c r="A305" s="48">
        <v>15477</v>
      </c>
      <c r="B305" s="25" t="s">
        <v>411</v>
      </c>
      <c r="C305" s="48" t="s">
        <v>372</v>
      </c>
    </row>
    <row r="306" spans="1:3">
      <c r="A306" s="48">
        <v>15478</v>
      </c>
      <c r="B306" s="25" t="s">
        <v>411</v>
      </c>
      <c r="C306" s="48" t="s">
        <v>372</v>
      </c>
    </row>
    <row r="307" spans="1:3">
      <c r="A307" s="48">
        <v>15479</v>
      </c>
      <c r="B307" s="25" t="s">
        <v>411</v>
      </c>
      <c r="C307" s="48" t="s">
        <v>372</v>
      </c>
    </row>
    <row r="308" spans="1:3">
      <c r="A308" s="48">
        <v>15480</v>
      </c>
      <c r="B308" s="25" t="s">
        <v>411</v>
      </c>
      <c r="C308" s="48" t="s">
        <v>372</v>
      </c>
    </row>
    <row r="309" spans="1:3">
      <c r="A309" s="48">
        <v>15482</v>
      </c>
      <c r="B309" s="25" t="s">
        <v>411</v>
      </c>
      <c r="C309" s="48" t="s">
        <v>372</v>
      </c>
    </row>
    <row r="310" spans="1:3">
      <c r="A310" s="48">
        <v>15483</v>
      </c>
      <c r="B310" s="25" t="s">
        <v>411</v>
      </c>
      <c r="C310" s="48" t="s">
        <v>372</v>
      </c>
    </row>
    <row r="311" spans="1:3">
      <c r="A311" s="48">
        <v>15484</v>
      </c>
      <c r="B311" s="25" t="s">
        <v>411</v>
      </c>
      <c r="C311" s="48" t="s">
        <v>372</v>
      </c>
    </row>
    <row r="312" spans="1:3">
      <c r="A312" s="48">
        <v>15485</v>
      </c>
      <c r="B312" s="25" t="s">
        <v>411</v>
      </c>
      <c r="C312" s="48" t="s">
        <v>372</v>
      </c>
    </row>
    <row r="313" spans="1:3">
      <c r="A313" s="48">
        <v>15486</v>
      </c>
      <c r="B313" s="25" t="s">
        <v>411</v>
      </c>
      <c r="C313" s="48" t="s">
        <v>372</v>
      </c>
    </row>
    <row r="314" spans="1:3">
      <c r="A314" s="48">
        <v>15488</v>
      </c>
      <c r="B314" s="25" t="s">
        <v>411</v>
      </c>
      <c r="C314" s="48" t="s">
        <v>372</v>
      </c>
    </row>
    <row r="315" spans="1:3">
      <c r="A315" s="48">
        <v>15489</v>
      </c>
      <c r="B315" s="25" t="s">
        <v>411</v>
      </c>
      <c r="C315" s="48" t="s">
        <v>372</v>
      </c>
    </row>
    <row r="316" spans="1:3">
      <c r="A316" s="48">
        <v>15490</v>
      </c>
      <c r="B316" s="25" t="s">
        <v>411</v>
      </c>
      <c r="C316" s="48" t="s">
        <v>372</v>
      </c>
    </row>
    <row r="317" spans="1:3">
      <c r="A317" s="48">
        <v>15492</v>
      </c>
      <c r="B317" s="25" t="s">
        <v>411</v>
      </c>
      <c r="C317" s="48" t="s">
        <v>372</v>
      </c>
    </row>
    <row r="318" spans="1:3">
      <c r="A318" s="48">
        <v>15501</v>
      </c>
      <c r="B318" s="25" t="s">
        <v>411</v>
      </c>
      <c r="C318" s="48" t="s">
        <v>372</v>
      </c>
    </row>
    <row r="319" spans="1:3">
      <c r="A319" s="48">
        <v>15502</v>
      </c>
      <c r="B319" s="25" t="s">
        <v>411</v>
      </c>
      <c r="C319" s="48" t="s">
        <v>372</v>
      </c>
    </row>
    <row r="320" spans="1:3">
      <c r="A320" s="48">
        <v>15510</v>
      </c>
      <c r="B320" s="25" t="s">
        <v>411</v>
      </c>
      <c r="C320" s="48" t="s">
        <v>372</v>
      </c>
    </row>
    <row r="321" spans="1:3">
      <c r="A321" s="48">
        <v>15520</v>
      </c>
      <c r="B321" s="25" t="s">
        <v>411</v>
      </c>
      <c r="C321" s="48" t="s">
        <v>372</v>
      </c>
    </row>
    <row r="322" spans="1:3">
      <c r="A322" s="48">
        <v>15521</v>
      </c>
      <c r="B322" s="25" t="s">
        <v>411</v>
      </c>
      <c r="C322" s="48" t="s">
        <v>372</v>
      </c>
    </row>
    <row r="323" spans="1:3">
      <c r="A323" s="48">
        <v>15522</v>
      </c>
      <c r="B323" s="25" t="s">
        <v>411</v>
      </c>
      <c r="C323" s="48" t="s">
        <v>372</v>
      </c>
    </row>
    <row r="324" spans="1:3">
      <c r="A324" s="48">
        <v>15530</v>
      </c>
      <c r="B324" s="25" t="s">
        <v>411</v>
      </c>
      <c r="C324" s="48" t="s">
        <v>372</v>
      </c>
    </row>
    <row r="325" spans="1:3">
      <c r="A325" s="48">
        <v>15531</v>
      </c>
      <c r="B325" s="25" t="s">
        <v>411</v>
      </c>
      <c r="C325" s="48" t="s">
        <v>372</v>
      </c>
    </row>
    <row r="326" spans="1:3">
      <c r="A326" s="48">
        <v>15532</v>
      </c>
      <c r="B326" s="25" t="s">
        <v>411</v>
      </c>
      <c r="C326" s="48" t="s">
        <v>372</v>
      </c>
    </row>
    <row r="327" spans="1:3">
      <c r="A327" s="48">
        <v>15533</v>
      </c>
      <c r="B327" s="25" t="s">
        <v>411</v>
      </c>
      <c r="C327" s="48" t="s">
        <v>372</v>
      </c>
    </row>
    <row r="328" spans="1:3">
      <c r="A328" s="48">
        <v>15534</v>
      </c>
      <c r="B328" s="25" t="s">
        <v>411</v>
      </c>
      <c r="C328" s="48" t="s">
        <v>372</v>
      </c>
    </row>
    <row r="329" spans="1:3">
      <c r="A329" s="48">
        <v>15535</v>
      </c>
      <c r="B329" s="25" t="s">
        <v>411</v>
      </c>
      <c r="C329" s="48" t="s">
        <v>372</v>
      </c>
    </row>
    <row r="330" spans="1:3">
      <c r="A330" s="48">
        <v>15536</v>
      </c>
      <c r="B330" s="25" t="s">
        <v>412</v>
      </c>
      <c r="C330" s="48" t="s">
        <v>370</v>
      </c>
    </row>
    <row r="331" spans="1:3">
      <c r="A331" s="48">
        <v>15537</v>
      </c>
      <c r="B331" s="25" t="s">
        <v>411</v>
      </c>
      <c r="C331" s="48" t="s">
        <v>372</v>
      </c>
    </row>
    <row r="332" spans="1:3">
      <c r="A332" s="48">
        <v>15538</v>
      </c>
      <c r="B332" s="25" t="s">
        <v>411</v>
      </c>
      <c r="C332" s="48" t="s">
        <v>372</v>
      </c>
    </row>
    <row r="333" spans="1:3">
      <c r="A333" s="48">
        <v>15539</v>
      </c>
      <c r="B333" s="25" t="s">
        <v>411</v>
      </c>
      <c r="C333" s="48" t="s">
        <v>372</v>
      </c>
    </row>
    <row r="334" spans="1:3">
      <c r="A334" s="48">
        <v>15540</v>
      </c>
      <c r="B334" s="25" t="s">
        <v>411</v>
      </c>
      <c r="C334" s="48" t="s">
        <v>372</v>
      </c>
    </row>
    <row r="335" spans="1:3">
      <c r="A335" s="48">
        <v>15541</v>
      </c>
      <c r="B335" s="25" t="s">
        <v>411</v>
      </c>
      <c r="C335" s="48" t="s">
        <v>372</v>
      </c>
    </row>
    <row r="336" spans="1:3">
      <c r="A336" s="48">
        <v>15542</v>
      </c>
      <c r="B336" s="25" t="s">
        <v>411</v>
      </c>
      <c r="C336" s="48" t="s">
        <v>372</v>
      </c>
    </row>
    <row r="337" spans="1:3">
      <c r="A337" s="48">
        <v>15544</v>
      </c>
      <c r="B337" s="25" t="s">
        <v>411</v>
      </c>
      <c r="C337" s="48" t="s">
        <v>372</v>
      </c>
    </row>
    <row r="338" spans="1:3">
      <c r="A338" s="48">
        <v>15545</v>
      </c>
      <c r="B338" s="25" t="s">
        <v>411</v>
      </c>
      <c r="C338" s="48" t="s">
        <v>372</v>
      </c>
    </row>
    <row r="339" spans="1:3">
      <c r="A339" s="48">
        <v>15546</v>
      </c>
      <c r="B339" s="25" t="s">
        <v>411</v>
      </c>
      <c r="C339" s="48" t="s">
        <v>372</v>
      </c>
    </row>
    <row r="340" spans="1:3">
      <c r="A340" s="48">
        <v>15547</v>
      </c>
      <c r="B340" s="25" t="s">
        <v>411</v>
      </c>
      <c r="C340" s="48" t="s">
        <v>372</v>
      </c>
    </row>
    <row r="341" spans="1:3">
      <c r="A341" s="48">
        <v>15548</v>
      </c>
      <c r="B341" s="25" t="s">
        <v>411</v>
      </c>
      <c r="C341" s="48" t="s">
        <v>372</v>
      </c>
    </row>
    <row r="342" spans="1:3">
      <c r="A342" s="48">
        <v>15549</v>
      </c>
      <c r="B342" s="25" t="s">
        <v>411</v>
      </c>
      <c r="C342" s="48" t="s">
        <v>372</v>
      </c>
    </row>
    <row r="343" spans="1:3">
      <c r="A343" s="48">
        <v>15550</v>
      </c>
      <c r="B343" s="25" t="s">
        <v>411</v>
      </c>
      <c r="C343" s="48" t="s">
        <v>372</v>
      </c>
    </row>
    <row r="344" spans="1:3">
      <c r="A344" s="48">
        <v>15551</v>
      </c>
      <c r="B344" s="25" t="s">
        <v>411</v>
      </c>
      <c r="C344" s="48" t="s">
        <v>372</v>
      </c>
    </row>
    <row r="345" spans="1:3">
      <c r="A345" s="48">
        <v>15552</v>
      </c>
      <c r="B345" s="25" t="s">
        <v>411</v>
      </c>
      <c r="C345" s="48" t="s">
        <v>372</v>
      </c>
    </row>
    <row r="346" spans="1:3">
      <c r="A346" s="48">
        <v>15553</v>
      </c>
      <c r="B346" s="25" t="s">
        <v>411</v>
      </c>
      <c r="C346" s="48" t="s">
        <v>372</v>
      </c>
    </row>
    <row r="347" spans="1:3">
      <c r="A347" s="48">
        <v>15554</v>
      </c>
      <c r="B347" s="25" t="s">
        <v>411</v>
      </c>
      <c r="C347" s="48" t="s">
        <v>372</v>
      </c>
    </row>
    <row r="348" spans="1:3">
      <c r="A348" s="48">
        <v>15555</v>
      </c>
      <c r="B348" s="25" t="s">
        <v>411</v>
      </c>
      <c r="C348" s="48" t="s">
        <v>372</v>
      </c>
    </row>
    <row r="349" spans="1:3">
      <c r="A349" s="48">
        <v>15557</v>
      </c>
      <c r="B349" s="25" t="s">
        <v>411</v>
      </c>
      <c r="C349" s="48" t="s">
        <v>372</v>
      </c>
    </row>
    <row r="350" spans="1:3">
      <c r="A350" s="48">
        <v>15558</v>
      </c>
      <c r="B350" s="25" t="s">
        <v>411</v>
      </c>
      <c r="C350" s="48" t="s">
        <v>372</v>
      </c>
    </row>
    <row r="351" spans="1:3">
      <c r="A351" s="48">
        <v>15559</v>
      </c>
      <c r="B351" s="25" t="s">
        <v>411</v>
      </c>
      <c r="C351" s="48" t="s">
        <v>372</v>
      </c>
    </row>
    <row r="352" spans="1:3">
      <c r="A352" s="48">
        <v>15560</v>
      </c>
      <c r="B352" s="25" t="s">
        <v>411</v>
      </c>
      <c r="C352" s="48" t="s">
        <v>372</v>
      </c>
    </row>
    <row r="353" spans="1:3">
      <c r="A353" s="48">
        <v>15561</v>
      </c>
      <c r="B353" s="25" t="s">
        <v>411</v>
      </c>
      <c r="C353" s="48" t="s">
        <v>372</v>
      </c>
    </row>
    <row r="354" spans="1:3">
      <c r="A354" s="48">
        <v>15562</v>
      </c>
      <c r="B354" s="25" t="s">
        <v>411</v>
      </c>
      <c r="C354" s="48" t="s">
        <v>372</v>
      </c>
    </row>
    <row r="355" spans="1:3">
      <c r="A355" s="48">
        <v>15563</v>
      </c>
      <c r="B355" s="25" t="s">
        <v>411</v>
      </c>
      <c r="C355" s="48" t="s">
        <v>372</v>
      </c>
    </row>
    <row r="356" spans="1:3">
      <c r="A356" s="48">
        <v>15564</v>
      </c>
      <c r="B356" s="25" t="s">
        <v>411</v>
      </c>
      <c r="C356" s="48" t="s">
        <v>372</v>
      </c>
    </row>
    <row r="357" spans="1:3">
      <c r="A357" s="48">
        <v>15565</v>
      </c>
      <c r="B357" s="25" t="s">
        <v>411</v>
      </c>
      <c r="C357" s="48" t="s">
        <v>372</v>
      </c>
    </row>
    <row r="358" spans="1:3">
      <c r="A358" s="48">
        <v>15601</v>
      </c>
      <c r="B358" s="25" t="s">
        <v>411</v>
      </c>
      <c r="C358" s="48" t="s">
        <v>372</v>
      </c>
    </row>
    <row r="359" spans="1:3">
      <c r="A359" s="48">
        <v>15605</v>
      </c>
      <c r="B359" s="25" t="s">
        <v>411</v>
      </c>
      <c r="C359" s="48" t="s">
        <v>372</v>
      </c>
    </row>
    <row r="360" spans="1:3">
      <c r="A360" s="48">
        <v>15606</v>
      </c>
      <c r="B360" s="25" t="s">
        <v>411</v>
      </c>
      <c r="C360" s="48" t="s">
        <v>372</v>
      </c>
    </row>
    <row r="361" spans="1:3">
      <c r="A361" s="48">
        <v>15610</v>
      </c>
      <c r="B361" s="25" t="s">
        <v>411</v>
      </c>
      <c r="C361" s="48" t="s">
        <v>372</v>
      </c>
    </row>
    <row r="362" spans="1:3">
      <c r="A362" s="48">
        <v>15611</v>
      </c>
      <c r="B362" s="25" t="s">
        <v>411</v>
      </c>
      <c r="C362" s="48" t="s">
        <v>372</v>
      </c>
    </row>
    <row r="363" spans="1:3">
      <c r="A363" s="48">
        <v>15612</v>
      </c>
      <c r="B363" s="25" t="s">
        <v>411</v>
      </c>
      <c r="C363" s="48" t="s">
        <v>372</v>
      </c>
    </row>
    <row r="364" spans="1:3">
      <c r="A364" s="48">
        <v>15613</v>
      </c>
      <c r="B364" s="25" t="s">
        <v>411</v>
      </c>
      <c r="C364" s="48" t="s">
        <v>372</v>
      </c>
    </row>
    <row r="365" spans="1:3">
      <c r="A365" s="48">
        <v>15615</v>
      </c>
      <c r="B365" s="25" t="s">
        <v>411</v>
      </c>
      <c r="C365" s="48" t="s">
        <v>372</v>
      </c>
    </row>
    <row r="366" spans="1:3">
      <c r="A366" s="48">
        <v>15616</v>
      </c>
      <c r="B366" s="25" t="s">
        <v>411</v>
      </c>
      <c r="C366" s="48" t="s">
        <v>372</v>
      </c>
    </row>
    <row r="367" spans="1:3">
      <c r="A367" s="48">
        <v>15617</v>
      </c>
      <c r="B367" s="25" t="s">
        <v>411</v>
      </c>
      <c r="C367" s="48" t="s">
        <v>372</v>
      </c>
    </row>
    <row r="368" spans="1:3">
      <c r="A368" s="48">
        <v>15618</v>
      </c>
      <c r="B368" s="25" t="s">
        <v>411</v>
      </c>
      <c r="C368" s="48" t="s">
        <v>372</v>
      </c>
    </row>
    <row r="369" spans="1:3">
      <c r="A369" s="48">
        <v>15619</v>
      </c>
      <c r="B369" s="25" t="s">
        <v>411</v>
      </c>
      <c r="C369" s="48" t="s">
        <v>372</v>
      </c>
    </row>
    <row r="370" spans="1:3">
      <c r="A370" s="48">
        <v>15620</v>
      </c>
      <c r="B370" s="25" t="s">
        <v>411</v>
      </c>
      <c r="C370" s="48" t="s">
        <v>372</v>
      </c>
    </row>
    <row r="371" spans="1:3">
      <c r="A371" s="48">
        <v>15621</v>
      </c>
      <c r="B371" s="25" t="s">
        <v>411</v>
      </c>
      <c r="C371" s="48" t="s">
        <v>372</v>
      </c>
    </row>
    <row r="372" spans="1:3">
      <c r="A372" s="48">
        <v>15622</v>
      </c>
      <c r="B372" s="25" t="s">
        <v>411</v>
      </c>
      <c r="C372" s="48" t="s">
        <v>372</v>
      </c>
    </row>
    <row r="373" spans="1:3">
      <c r="A373" s="48">
        <v>15623</v>
      </c>
      <c r="B373" s="25" t="s">
        <v>411</v>
      </c>
      <c r="C373" s="48" t="s">
        <v>372</v>
      </c>
    </row>
    <row r="374" spans="1:3">
      <c r="A374" s="48">
        <v>15624</v>
      </c>
      <c r="B374" s="25" t="s">
        <v>411</v>
      </c>
      <c r="C374" s="48" t="s">
        <v>372</v>
      </c>
    </row>
    <row r="375" spans="1:3">
      <c r="A375" s="48">
        <v>15625</v>
      </c>
      <c r="B375" s="25" t="s">
        <v>411</v>
      </c>
      <c r="C375" s="48" t="s">
        <v>372</v>
      </c>
    </row>
    <row r="376" spans="1:3">
      <c r="A376" s="48">
        <v>15626</v>
      </c>
      <c r="B376" s="25" t="s">
        <v>411</v>
      </c>
      <c r="C376" s="48" t="s">
        <v>372</v>
      </c>
    </row>
    <row r="377" spans="1:3">
      <c r="A377" s="48">
        <v>15627</v>
      </c>
      <c r="B377" s="25" t="s">
        <v>411</v>
      </c>
      <c r="C377" s="48" t="s">
        <v>372</v>
      </c>
    </row>
    <row r="378" spans="1:3">
      <c r="A378" s="48">
        <v>15628</v>
      </c>
      <c r="B378" s="25" t="s">
        <v>411</v>
      </c>
      <c r="C378" s="48" t="s">
        <v>372</v>
      </c>
    </row>
    <row r="379" spans="1:3">
      <c r="A379" s="48">
        <v>15629</v>
      </c>
      <c r="B379" s="25" t="s">
        <v>411</v>
      </c>
      <c r="C379" s="48" t="s">
        <v>372</v>
      </c>
    </row>
    <row r="380" spans="1:3">
      <c r="A380" s="48">
        <v>15631</v>
      </c>
      <c r="B380" s="25" t="s">
        <v>411</v>
      </c>
      <c r="C380" s="48" t="s">
        <v>372</v>
      </c>
    </row>
    <row r="381" spans="1:3">
      <c r="A381" s="48">
        <v>15632</v>
      </c>
      <c r="B381" s="25" t="s">
        <v>411</v>
      </c>
      <c r="C381" s="48" t="s">
        <v>372</v>
      </c>
    </row>
    <row r="382" spans="1:3">
      <c r="A382" s="48">
        <v>15633</v>
      </c>
      <c r="B382" s="25" t="s">
        <v>411</v>
      </c>
      <c r="C382" s="48" t="s">
        <v>372</v>
      </c>
    </row>
    <row r="383" spans="1:3">
      <c r="A383" s="48">
        <v>15634</v>
      </c>
      <c r="B383" s="25" t="s">
        <v>411</v>
      </c>
      <c r="C383" s="48" t="s">
        <v>372</v>
      </c>
    </row>
    <row r="384" spans="1:3">
      <c r="A384" s="48">
        <v>15635</v>
      </c>
      <c r="B384" s="25" t="s">
        <v>411</v>
      </c>
      <c r="C384" s="48" t="s">
        <v>372</v>
      </c>
    </row>
    <row r="385" spans="1:3">
      <c r="A385" s="48">
        <v>15636</v>
      </c>
      <c r="B385" s="25" t="s">
        <v>411</v>
      </c>
      <c r="C385" s="48" t="s">
        <v>372</v>
      </c>
    </row>
    <row r="386" spans="1:3">
      <c r="A386" s="48">
        <v>15637</v>
      </c>
      <c r="B386" s="25" t="s">
        <v>411</v>
      </c>
      <c r="C386" s="48" t="s">
        <v>372</v>
      </c>
    </row>
    <row r="387" spans="1:3">
      <c r="A387" s="48">
        <v>15638</v>
      </c>
      <c r="B387" s="25" t="s">
        <v>411</v>
      </c>
      <c r="C387" s="48" t="s">
        <v>372</v>
      </c>
    </row>
    <row r="388" spans="1:3">
      <c r="A388" s="48">
        <v>15639</v>
      </c>
      <c r="B388" s="25" t="s">
        <v>411</v>
      </c>
      <c r="C388" s="48" t="s">
        <v>372</v>
      </c>
    </row>
    <row r="389" spans="1:3">
      <c r="A389" s="48">
        <v>15640</v>
      </c>
      <c r="B389" s="25" t="s">
        <v>411</v>
      </c>
      <c r="C389" s="48" t="s">
        <v>372</v>
      </c>
    </row>
    <row r="390" spans="1:3">
      <c r="A390" s="48">
        <v>15641</v>
      </c>
      <c r="B390" s="25" t="s">
        <v>411</v>
      </c>
      <c r="C390" s="48" t="s">
        <v>372</v>
      </c>
    </row>
    <row r="391" spans="1:3">
      <c r="A391" s="48">
        <v>15642</v>
      </c>
      <c r="B391" s="25" t="s">
        <v>411</v>
      </c>
      <c r="C391" s="48" t="s">
        <v>372</v>
      </c>
    </row>
    <row r="392" spans="1:3">
      <c r="A392" s="48">
        <v>15644</v>
      </c>
      <c r="B392" s="25" t="s">
        <v>411</v>
      </c>
      <c r="C392" s="48" t="s">
        <v>372</v>
      </c>
    </row>
    <row r="393" spans="1:3">
      <c r="A393" s="48">
        <v>15646</v>
      </c>
      <c r="B393" s="25" t="s">
        <v>411</v>
      </c>
      <c r="C393" s="48" t="s">
        <v>372</v>
      </c>
    </row>
    <row r="394" spans="1:3">
      <c r="A394" s="48">
        <v>15647</v>
      </c>
      <c r="B394" s="25" t="s">
        <v>411</v>
      </c>
      <c r="C394" s="48" t="s">
        <v>372</v>
      </c>
    </row>
    <row r="395" spans="1:3">
      <c r="A395" s="48">
        <v>15650</v>
      </c>
      <c r="B395" s="25" t="s">
        <v>411</v>
      </c>
      <c r="C395" s="48" t="s">
        <v>372</v>
      </c>
    </row>
    <row r="396" spans="1:3">
      <c r="A396" s="48">
        <v>15655</v>
      </c>
      <c r="B396" s="25" t="s">
        <v>411</v>
      </c>
      <c r="C396" s="48" t="s">
        <v>372</v>
      </c>
    </row>
    <row r="397" spans="1:3">
      <c r="A397" s="48">
        <v>15656</v>
      </c>
      <c r="B397" s="25" t="s">
        <v>411</v>
      </c>
      <c r="C397" s="48" t="s">
        <v>372</v>
      </c>
    </row>
    <row r="398" spans="1:3">
      <c r="A398" s="48">
        <v>15658</v>
      </c>
      <c r="B398" s="25" t="s">
        <v>411</v>
      </c>
      <c r="C398" s="48" t="s">
        <v>372</v>
      </c>
    </row>
    <row r="399" spans="1:3">
      <c r="A399" s="48">
        <v>15660</v>
      </c>
      <c r="B399" s="25" t="s">
        <v>411</v>
      </c>
      <c r="C399" s="48" t="s">
        <v>372</v>
      </c>
    </row>
    <row r="400" spans="1:3">
      <c r="A400" s="48">
        <v>15661</v>
      </c>
      <c r="B400" s="25" t="s">
        <v>411</v>
      </c>
      <c r="C400" s="48" t="s">
        <v>372</v>
      </c>
    </row>
    <row r="401" spans="1:3">
      <c r="A401" s="48">
        <v>15662</v>
      </c>
      <c r="B401" s="25" t="s">
        <v>411</v>
      </c>
      <c r="C401" s="48" t="s">
        <v>372</v>
      </c>
    </row>
    <row r="402" spans="1:3">
      <c r="A402" s="48">
        <v>15663</v>
      </c>
      <c r="B402" s="25" t="s">
        <v>411</v>
      </c>
      <c r="C402" s="48" t="s">
        <v>372</v>
      </c>
    </row>
    <row r="403" spans="1:3">
      <c r="A403" s="48">
        <v>15664</v>
      </c>
      <c r="B403" s="25" t="s">
        <v>411</v>
      </c>
      <c r="C403" s="48" t="s">
        <v>372</v>
      </c>
    </row>
    <row r="404" spans="1:3">
      <c r="A404" s="48">
        <v>15665</v>
      </c>
      <c r="B404" s="25" t="s">
        <v>411</v>
      </c>
      <c r="C404" s="48" t="s">
        <v>372</v>
      </c>
    </row>
    <row r="405" spans="1:3">
      <c r="A405" s="48">
        <v>15666</v>
      </c>
      <c r="B405" s="25" t="s">
        <v>411</v>
      </c>
      <c r="C405" s="48" t="s">
        <v>372</v>
      </c>
    </row>
    <row r="406" spans="1:3">
      <c r="A406" s="48">
        <v>15668</v>
      </c>
      <c r="B406" s="25" t="s">
        <v>411</v>
      </c>
      <c r="C406" s="48" t="s">
        <v>372</v>
      </c>
    </row>
    <row r="407" spans="1:3">
      <c r="A407" s="48">
        <v>15670</v>
      </c>
      <c r="B407" s="25" t="s">
        <v>411</v>
      </c>
      <c r="C407" s="48" t="s">
        <v>372</v>
      </c>
    </row>
    <row r="408" spans="1:3">
      <c r="A408" s="48">
        <v>15671</v>
      </c>
      <c r="B408" s="25" t="s">
        <v>411</v>
      </c>
      <c r="C408" s="48" t="s">
        <v>372</v>
      </c>
    </row>
    <row r="409" spans="1:3">
      <c r="A409" s="48">
        <v>15672</v>
      </c>
      <c r="B409" s="25" t="s">
        <v>411</v>
      </c>
      <c r="C409" s="48" t="s">
        <v>372</v>
      </c>
    </row>
    <row r="410" spans="1:3">
      <c r="A410" s="48">
        <v>15673</v>
      </c>
      <c r="B410" s="25" t="s">
        <v>411</v>
      </c>
      <c r="C410" s="48" t="s">
        <v>372</v>
      </c>
    </row>
    <row r="411" spans="1:3">
      <c r="A411" s="48">
        <v>15674</v>
      </c>
      <c r="B411" s="25" t="s">
        <v>411</v>
      </c>
      <c r="C411" s="48" t="s">
        <v>372</v>
      </c>
    </row>
    <row r="412" spans="1:3">
      <c r="A412" s="48">
        <v>15675</v>
      </c>
      <c r="B412" s="25" t="s">
        <v>411</v>
      </c>
      <c r="C412" s="48" t="s">
        <v>372</v>
      </c>
    </row>
    <row r="413" spans="1:3">
      <c r="A413" s="48">
        <v>15676</v>
      </c>
      <c r="B413" s="25" t="s">
        <v>411</v>
      </c>
      <c r="C413" s="48" t="s">
        <v>372</v>
      </c>
    </row>
    <row r="414" spans="1:3">
      <c r="A414" s="48">
        <v>15677</v>
      </c>
      <c r="B414" s="25" t="s">
        <v>411</v>
      </c>
      <c r="C414" s="48" t="s">
        <v>372</v>
      </c>
    </row>
    <row r="415" spans="1:3">
      <c r="A415" s="48">
        <v>15678</v>
      </c>
      <c r="B415" s="25" t="s">
        <v>411</v>
      </c>
      <c r="C415" s="48" t="s">
        <v>372</v>
      </c>
    </row>
    <row r="416" spans="1:3">
      <c r="A416" s="48">
        <v>15679</v>
      </c>
      <c r="B416" s="25" t="s">
        <v>411</v>
      </c>
      <c r="C416" s="48" t="s">
        <v>372</v>
      </c>
    </row>
    <row r="417" spans="1:3">
      <c r="A417" s="48">
        <v>15680</v>
      </c>
      <c r="B417" s="25" t="s">
        <v>411</v>
      </c>
      <c r="C417" s="48" t="s">
        <v>372</v>
      </c>
    </row>
    <row r="418" spans="1:3">
      <c r="A418" s="48">
        <v>15681</v>
      </c>
      <c r="B418" s="25" t="s">
        <v>411</v>
      </c>
      <c r="C418" s="48" t="s">
        <v>372</v>
      </c>
    </row>
    <row r="419" spans="1:3">
      <c r="A419" s="48">
        <v>15682</v>
      </c>
      <c r="B419" s="25" t="s">
        <v>411</v>
      </c>
      <c r="C419" s="48" t="s">
        <v>372</v>
      </c>
    </row>
    <row r="420" spans="1:3">
      <c r="A420" s="48">
        <v>15683</v>
      </c>
      <c r="B420" s="25" t="s">
        <v>411</v>
      </c>
      <c r="C420" s="48" t="s">
        <v>372</v>
      </c>
    </row>
    <row r="421" spans="1:3">
      <c r="A421" s="48">
        <v>15684</v>
      </c>
      <c r="B421" s="25" t="s">
        <v>411</v>
      </c>
      <c r="C421" s="48" t="s">
        <v>372</v>
      </c>
    </row>
    <row r="422" spans="1:3">
      <c r="A422" s="48">
        <v>15685</v>
      </c>
      <c r="B422" s="25" t="s">
        <v>411</v>
      </c>
      <c r="C422" s="48" t="s">
        <v>372</v>
      </c>
    </row>
    <row r="423" spans="1:3">
      <c r="A423" s="48">
        <v>15686</v>
      </c>
      <c r="B423" s="25" t="s">
        <v>411</v>
      </c>
      <c r="C423" s="48" t="s">
        <v>372</v>
      </c>
    </row>
    <row r="424" spans="1:3">
      <c r="A424" s="48">
        <v>15687</v>
      </c>
      <c r="B424" s="25" t="s">
        <v>411</v>
      </c>
      <c r="C424" s="48" t="s">
        <v>372</v>
      </c>
    </row>
    <row r="425" spans="1:3">
      <c r="A425" s="48">
        <v>15688</v>
      </c>
      <c r="B425" s="25" t="s">
        <v>411</v>
      </c>
      <c r="C425" s="48" t="s">
        <v>372</v>
      </c>
    </row>
    <row r="426" spans="1:3">
      <c r="A426" s="48">
        <v>15689</v>
      </c>
      <c r="B426" s="25" t="s">
        <v>411</v>
      </c>
      <c r="C426" s="48" t="s">
        <v>372</v>
      </c>
    </row>
    <row r="427" spans="1:3">
      <c r="A427" s="48">
        <v>15690</v>
      </c>
      <c r="B427" s="25" t="s">
        <v>411</v>
      </c>
      <c r="C427" s="48" t="s">
        <v>372</v>
      </c>
    </row>
    <row r="428" spans="1:3">
      <c r="A428" s="48">
        <v>15691</v>
      </c>
      <c r="B428" s="25" t="s">
        <v>411</v>
      </c>
      <c r="C428" s="48" t="s">
        <v>372</v>
      </c>
    </row>
    <row r="429" spans="1:3">
      <c r="A429" s="48">
        <v>15692</v>
      </c>
      <c r="B429" s="25" t="s">
        <v>411</v>
      </c>
      <c r="C429" s="48" t="s">
        <v>372</v>
      </c>
    </row>
    <row r="430" spans="1:3">
      <c r="A430" s="48">
        <v>15693</v>
      </c>
      <c r="B430" s="25" t="s">
        <v>411</v>
      </c>
      <c r="C430" s="48" t="s">
        <v>372</v>
      </c>
    </row>
    <row r="431" spans="1:3">
      <c r="A431" s="48">
        <v>15695</v>
      </c>
      <c r="B431" s="25" t="s">
        <v>411</v>
      </c>
      <c r="C431" s="48" t="s">
        <v>372</v>
      </c>
    </row>
    <row r="432" spans="1:3">
      <c r="A432" s="48">
        <v>15696</v>
      </c>
      <c r="B432" s="25" t="s">
        <v>411</v>
      </c>
      <c r="C432" s="48" t="s">
        <v>372</v>
      </c>
    </row>
    <row r="433" spans="1:3">
      <c r="A433" s="48">
        <v>15697</v>
      </c>
      <c r="B433" s="25" t="s">
        <v>411</v>
      </c>
      <c r="C433" s="48" t="s">
        <v>372</v>
      </c>
    </row>
    <row r="434" spans="1:3">
      <c r="A434" s="48">
        <v>15698</v>
      </c>
      <c r="B434" s="25" t="s">
        <v>411</v>
      </c>
      <c r="C434" s="48" t="s">
        <v>372</v>
      </c>
    </row>
    <row r="435" spans="1:3">
      <c r="A435" s="48">
        <v>15701</v>
      </c>
      <c r="B435" s="25" t="s">
        <v>411</v>
      </c>
      <c r="C435" s="48" t="s">
        <v>372</v>
      </c>
    </row>
    <row r="436" spans="1:3">
      <c r="A436" s="48">
        <v>15705</v>
      </c>
      <c r="B436" s="25" t="s">
        <v>411</v>
      </c>
      <c r="C436" s="48" t="s">
        <v>372</v>
      </c>
    </row>
    <row r="437" spans="1:3">
      <c r="A437" s="48">
        <v>15710</v>
      </c>
      <c r="B437" s="25" t="s">
        <v>411</v>
      </c>
      <c r="C437" s="48" t="s">
        <v>372</v>
      </c>
    </row>
    <row r="438" spans="1:3">
      <c r="A438" s="48">
        <v>15711</v>
      </c>
      <c r="B438" s="25" t="s">
        <v>413</v>
      </c>
      <c r="C438" s="48" t="s">
        <v>369</v>
      </c>
    </row>
    <row r="439" spans="1:3">
      <c r="A439" s="48">
        <v>15712</v>
      </c>
      <c r="B439" s="25" t="s">
        <v>411</v>
      </c>
      <c r="C439" s="48" t="s">
        <v>372</v>
      </c>
    </row>
    <row r="440" spans="1:3">
      <c r="A440" s="48">
        <v>15713</v>
      </c>
      <c r="B440" s="25" t="s">
        <v>411</v>
      </c>
      <c r="C440" s="48" t="s">
        <v>372</v>
      </c>
    </row>
    <row r="441" spans="1:3">
      <c r="A441" s="48">
        <v>15714</v>
      </c>
      <c r="B441" s="25" t="s">
        <v>411</v>
      </c>
      <c r="C441" s="48" t="s">
        <v>372</v>
      </c>
    </row>
    <row r="442" spans="1:3">
      <c r="A442" s="48">
        <v>15715</v>
      </c>
      <c r="B442" s="25" t="s">
        <v>413</v>
      </c>
      <c r="C442" s="48" t="s">
        <v>369</v>
      </c>
    </row>
    <row r="443" spans="1:3">
      <c r="A443" s="48">
        <v>15716</v>
      </c>
      <c r="B443" s="25" t="s">
        <v>411</v>
      </c>
      <c r="C443" s="48" t="s">
        <v>372</v>
      </c>
    </row>
    <row r="444" spans="1:3">
      <c r="A444" s="48">
        <v>15717</v>
      </c>
      <c r="B444" s="25" t="s">
        <v>411</v>
      </c>
      <c r="C444" s="48" t="s">
        <v>372</v>
      </c>
    </row>
    <row r="445" spans="1:3">
      <c r="A445" s="48">
        <v>15720</v>
      </c>
      <c r="B445" s="25" t="s">
        <v>411</v>
      </c>
      <c r="C445" s="48" t="s">
        <v>372</v>
      </c>
    </row>
    <row r="446" spans="1:3">
      <c r="A446" s="48">
        <v>15721</v>
      </c>
      <c r="B446" s="25" t="s">
        <v>414</v>
      </c>
      <c r="C446" s="48" t="s">
        <v>368</v>
      </c>
    </row>
    <row r="447" spans="1:3">
      <c r="A447" s="48">
        <v>15722</v>
      </c>
      <c r="B447" s="25" t="s">
        <v>411</v>
      </c>
      <c r="C447" s="48" t="s">
        <v>372</v>
      </c>
    </row>
    <row r="448" spans="1:3">
      <c r="A448" s="48">
        <v>15723</v>
      </c>
      <c r="B448" s="25" t="s">
        <v>411</v>
      </c>
      <c r="C448" s="48" t="s">
        <v>372</v>
      </c>
    </row>
    <row r="449" spans="1:3">
      <c r="A449" s="48">
        <v>15724</v>
      </c>
      <c r="B449" s="25" t="s">
        <v>411</v>
      </c>
      <c r="C449" s="48" t="s">
        <v>372</v>
      </c>
    </row>
    <row r="450" spans="1:3">
      <c r="A450" s="48">
        <v>15725</v>
      </c>
      <c r="B450" s="25" t="s">
        <v>411</v>
      </c>
      <c r="C450" s="48" t="s">
        <v>372</v>
      </c>
    </row>
    <row r="451" spans="1:3">
      <c r="A451" s="48">
        <v>15727</v>
      </c>
      <c r="B451" s="25" t="s">
        <v>411</v>
      </c>
      <c r="C451" s="48" t="s">
        <v>372</v>
      </c>
    </row>
    <row r="452" spans="1:3">
      <c r="A452" s="48">
        <v>15728</v>
      </c>
      <c r="B452" s="25" t="s">
        <v>411</v>
      </c>
      <c r="C452" s="48" t="s">
        <v>372</v>
      </c>
    </row>
    <row r="453" spans="1:3">
      <c r="A453" s="48">
        <v>15729</v>
      </c>
      <c r="B453" s="25" t="s">
        <v>411</v>
      </c>
      <c r="C453" s="48" t="s">
        <v>372</v>
      </c>
    </row>
    <row r="454" spans="1:3">
      <c r="A454" s="48">
        <v>15730</v>
      </c>
      <c r="B454" s="25" t="s">
        <v>413</v>
      </c>
      <c r="C454" s="48" t="s">
        <v>369</v>
      </c>
    </row>
    <row r="455" spans="1:3">
      <c r="A455" s="48">
        <v>15731</v>
      </c>
      <c r="B455" s="25" t="s">
        <v>411</v>
      </c>
      <c r="C455" s="48" t="s">
        <v>372</v>
      </c>
    </row>
    <row r="456" spans="1:3">
      <c r="A456" s="48">
        <v>15732</v>
      </c>
      <c r="B456" s="25" t="s">
        <v>411</v>
      </c>
      <c r="C456" s="48" t="s">
        <v>372</v>
      </c>
    </row>
    <row r="457" spans="1:3">
      <c r="A457" s="48">
        <v>15733</v>
      </c>
      <c r="B457" s="25" t="s">
        <v>413</v>
      </c>
      <c r="C457" s="48" t="s">
        <v>369</v>
      </c>
    </row>
    <row r="458" spans="1:3">
      <c r="A458" s="48">
        <v>15734</v>
      </c>
      <c r="B458" s="25" t="s">
        <v>411</v>
      </c>
      <c r="C458" s="48" t="s">
        <v>372</v>
      </c>
    </row>
    <row r="459" spans="1:3">
      <c r="A459" s="48">
        <v>15736</v>
      </c>
      <c r="B459" s="25" t="s">
        <v>411</v>
      </c>
      <c r="C459" s="48" t="s">
        <v>372</v>
      </c>
    </row>
    <row r="460" spans="1:3">
      <c r="A460" s="48">
        <v>15737</v>
      </c>
      <c r="B460" s="25" t="s">
        <v>411</v>
      </c>
      <c r="C460" s="48" t="s">
        <v>372</v>
      </c>
    </row>
    <row r="461" spans="1:3">
      <c r="A461" s="48">
        <v>15738</v>
      </c>
      <c r="B461" s="25" t="s">
        <v>411</v>
      </c>
      <c r="C461" s="48" t="s">
        <v>372</v>
      </c>
    </row>
    <row r="462" spans="1:3">
      <c r="A462" s="48">
        <v>15739</v>
      </c>
      <c r="B462" s="25" t="s">
        <v>411</v>
      </c>
      <c r="C462" s="48" t="s">
        <v>372</v>
      </c>
    </row>
    <row r="463" spans="1:3">
      <c r="A463" s="48">
        <v>15740</v>
      </c>
      <c r="B463" s="25" t="s">
        <v>413</v>
      </c>
      <c r="C463" s="48" t="s">
        <v>369</v>
      </c>
    </row>
    <row r="464" spans="1:3">
      <c r="A464" s="48">
        <v>15741</v>
      </c>
      <c r="B464" s="25" t="s">
        <v>411</v>
      </c>
      <c r="C464" s="48" t="s">
        <v>372</v>
      </c>
    </row>
    <row r="465" spans="1:3">
      <c r="A465" s="48">
        <v>15742</v>
      </c>
      <c r="B465" s="25" t="s">
        <v>411</v>
      </c>
      <c r="C465" s="48" t="s">
        <v>372</v>
      </c>
    </row>
    <row r="466" spans="1:3">
      <c r="A466" s="48">
        <v>15744</v>
      </c>
      <c r="B466" s="25" t="s">
        <v>413</v>
      </c>
      <c r="C466" s="48" t="s">
        <v>369</v>
      </c>
    </row>
    <row r="467" spans="1:3">
      <c r="A467" s="48">
        <v>15745</v>
      </c>
      <c r="B467" s="25" t="s">
        <v>411</v>
      </c>
      <c r="C467" s="48" t="s">
        <v>372</v>
      </c>
    </row>
    <row r="468" spans="1:3">
      <c r="A468" s="48">
        <v>15746</v>
      </c>
      <c r="B468" s="25" t="s">
        <v>411</v>
      </c>
      <c r="C468" s="48" t="s">
        <v>372</v>
      </c>
    </row>
    <row r="469" spans="1:3">
      <c r="A469" s="48">
        <v>15747</v>
      </c>
      <c r="B469" s="25" t="s">
        <v>411</v>
      </c>
      <c r="C469" s="48" t="s">
        <v>372</v>
      </c>
    </row>
    <row r="470" spans="1:3">
      <c r="A470" s="48">
        <v>15748</v>
      </c>
      <c r="B470" s="25" t="s">
        <v>411</v>
      </c>
      <c r="C470" s="48" t="s">
        <v>372</v>
      </c>
    </row>
    <row r="471" spans="1:3">
      <c r="A471" s="48">
        <v>15750</v>
      </c>
      <c r="B471" s="25" t="s">
        <v>411</v>
      </c>
      <c r="C471" s="48" t="s">
        <v>372</v>
      </c>
    </row>
    <row r="472" spans="1:3">
      <c r="A472" s="48">
        <v>15752</v>
      </c>
      <c r="B472" s="25" t="s">
        <v>411</v>
      </c>
      <c r="C472" s="48" t="s">
        <v>372</v>
      </c>
    </row>
    <row r="473" spans="1:3">
      <c r="A473" s="48">
        <v>15753</v>
      </c>
      <c r="B473" s="25" t="s">
        <v>414</v>
      </c>
      <c r="C473" s="48" t="s">
        <v>368</v>
      </c>
    </row>
    <row r="474" spans="1:3">
      <c r="A474" s="48">
        <v>15754</v>
      </c>
      <c r="B474" s="25" t="s">
        <v>411</v>
      </c>
      <c r="C474" s="48" t="s">
        <v>372</v>
      </c>
    </row>
    <row r="475" spans="1:3">
      <c r="A475" s="48">
        <v>15756</v>
      </c>
      <c r="B475" s="25" t="s">
        <v>411</v>
      </c>
      <c r="C475" s="48" t="s">
        <v>372</v>
      </c>
    </row>
    <row r="476" spans="1:3">
      <c r="A476" s="48">
        <v>15757</v>
      </c>
      <c r="B476" s="25" t="s">
        <v>414</v>
      </c>
      <c r="C476" s="48" t="s">
        <v>368</v>
      </c>
    </row>
    <row r="477" spans="1:3">
      <c r="A477" s="48">
        <v>15758</v>
      </c>
      <c r="B477" s="25" t="s">
        <v>411</v>
      </c>
      <c r="C477" s="48" t="s">
        <v>372</v>
      </c>
    </row>
    <row r="478" spans="1:3">
      <c r="A478" s="48">
        <v>15759</v>
      </c>
      <c r="B478" s="25" t="s">
        <v>411</v>
      </c>
      <c r="C478" s="48" t="s">
        <v>372</v>
      </c>
    </row>
    <row r="479" spans="1:3">
      <c r="A479" s="48">
        <v>15760</v>
      </c>
      <c r="B479" s="25" t="s">
        <v>411</v>
      </c>
      <c r="C479" s="48" t="s">
        <v>372</v>
      </c>
    </row>
    <row r="480" spans="1:3">
      <c r="A480" s="48">
        <v>15761</v>
      </c>
      <c r="B480" s="25" t="s">
        <v>411</v>
      </c>
      <c r="C480" s="48" t="s">
        <v>372</v>
      </c>
    </row>
    <row r="481" spans="1:3">
      <c r="A481" s="48">
        <v>15762</v>
      </c>
      <c r="B481" s="25" t="s">
        <v>411</v>
      </c>
      <c r="C481" s="48" t="s">
        <v>372</v>
      </c>
    </row>
    <row r="482" spans="1:3">
      <c r="A482" s="48">
        <v>15763</v>
      </c>
      <c r="B482" s="25" t="s">
        <v>411</v>
      </c>
      <c r="C482" s="48" t="s">
        <v>372</v>
      </c>
    </row>
    <row r="483" spans="1:3">
      <c r="A483" s="48">
        <v>15764</v>
      </c>
      <c r="B483" s="25" t="s">
        <v>413</v>
      </c>
      <c r="C483" s="48" t="s">
        <v>369</v>
      </c>
    </row>
    <row r="484" spans="1:3">
      <c r="A484" s="48">
        <v>15765</v>
      </c>
      <c r="B484" s="25" t="s">
        <v>411</v>
      </c>
      <c r="C484" s="48" t="s">
        <v>372</v>
      </c>
    </row>
    <row r="485" spans="1:3">
      <c r="A485" s="48">
        <v>15767</v>
      </c>
      <c r="B485" s="25" t="s">
        <v>413</v>
      </c>
      <c r="C485" s="48" t="s">
        <v>369</v>
      </c>
    </row>
    <row r="486" spans="1:3">
      <c r="A486" s="48">
        <v>15770</v>
      </c>
      <c r="B486" s="25" t="s">
        <v>413</v>
      </c>
      <c r="C486" s="48" t="s">
        <v>369</v>
      </c>
    </row>
    <row r="487" spans="1:3">
      <c r="A487" s="48">
        <v>15771</v>
      </c>
      <c r="B487" s="25" t="s">
        <v>411</v>
      </c>
      <c r="C487" s="48" t="s">
        <v>372</v>
      </c>
    </row>
    <row r="488" spans="1:3">
      <c r="A488" s="48">
        <v>15772</v>
      </c>
      <c r="B488" s="25" t="s">
        <v>411</v>
      </c>
      <c r="C488" s="48" t="s">
        <v>372</v>
      </c>
    </row>
    <row r="489" spans="1:3">
      <c r="A489" s="48">
        <v>15773</v>
      </c>
      <c r="B489" s="25" t="s">
        <v>411</v>
      </c>
      <c r="C489" s="48" t="s">
        <v>372</v>
      </c>
    </row>
    <row r="490" spans="1:3">
      <c r="A490" s="48">
        <v>15774</v>
      </c>
      <c r="B490" s="25" t="s">
        <v>411</v>
      </c>
      <c r="C490" s="48" t="s">
        <v>372</v>
      </c>
    </row>
    <row r="491" spans="1:3">
      <c r="A491" s="48">
        <v>15775</v>
      </c>
      <c r="B491" s="25" t="s">
        <v>411</v>
      </c>
      <c r="C491" s="48" t="s">
        <v>372</v>
      </c>
    </row>
    <row r="492" spans="1:3">
      <c r="A492" s="48">
        <v>15776</v>
      </c>
      <c r="B492" s="25" t="s">
        <v>413</v>
      </c>
      <c r="C492" s="48" t="s">
        <v>369</v>
      </c>
    </row>
    <row r="493" spans="1:3">
      <c r="A493" s="48">
        <v>15777</v>
      </c>
      <c r="B493" s="25" t="s">
        <v>411</v>
      </c>
      <c r="C493" s="48" t="s">
        <v>372</v>
      </c>
    </row>
    <row r="494" spans="1:3">
      <c r="A494" s="48">
        <v>15778</v>
      </c>
      <c r="B494" s="25" t="s">
        <v>413</v>
      </c>
      <c r="C494" s="48" t="s">
        <v>369</v>
      </c>
    </row>
    <row r="495" spans="1:3">
      <c r="A495" s="48">
        <v>15779</v>
      </c>
      <c r="B495" s="25" t="s">
        <v>411</v>
      </c>
      <c r="C495" s="48" t="s">
        <v>372</v>
      </c>
    </row>
    <row r="496" spans="1:3">
      <c r="A496" s="48">
        <v>15780</v>
      </c>
      <c r="B496" s="25" t="s">
        <v>413</v>
      </c>
      <c r="C496" s="48" t="s">
        <v>369</v>
      </c>
    </row>
    <row r="497" spans="1:3">
      <c r="A497" s="48">
        <v>15781</v>
      </c>
      <c r="B497" s="25" t="s">
        <v>413</v>
      </c>
      <c r="C497" s="48" t="s">
        <v>369</v>
      </c>
    </row>
    <row r="498" spans="1:3">
      <c r="A498" s="48">
        <v>15783</v>
      </c>
      <c r="B498" s="25" t="s">
        <v>411</v>
      </c>
      <c r="C498" s="48" t="s">
        <v>372</v>
      </c>
    </row>
    <row r="499" spans="1:3">
      <c r="A499" s="48">
        <v>15784</v>
      </c>
      <c r="B499" s="25" t="s">
        <v>413</v>
      </c>
      <c r="C499" s="48" t="s">
        <v>369</v>
      </c>
    </row>
    <row r="500" spans="1:3">
      <c r="A500" s="48">
        <v>15801</v>
      </c>
      <c r="B500" s="25" t="s">
        <v>414</v>
      </c>
      <c r="C500" s="48" t="s">
        <v>368</v>
      </c>
    </row>
    <row r="501" spans="1:3">
      <c r="A501" s="48">
        <v>15821</v>
      </c>
      <c r="B501" s="25" t="s">
        <v>414</v>
      </c>
      <c r="C501" s="48" t="s">
        <v>368</v>
      </c>
    </row>
    <row r="502" spans="1:3">
      <c r="A502" s="48">
        <v>15822</v>
      </c>
      <c r="B502" s="25" t="s">
        <v>414</v>
      </c>
      <c r="C502" s="48" t="s">
        <v>368</v>
      </c>
    </row>
    <row r="503" spans="1:3">
      <c r="A503" s="48">
        <v>15823</v>
      </c>
      <c r="B503" s="25" t="s">
        <v>414</v>
      </c>
      <c r="C503" s="48" t="s">
        <v>368</v>
      </c>
    </row>
    <row r="504" spans="1:3">
      <c r="A504" s="48">
        <v>15824</v>
      </c>
      <c r="B504" s="25" t="s">
        <v>413</v>
      </c>
      <c r="C504" s="48" t="s">
        <v>369</v>
      </c>
    </row>
    <row r="505" spans="1:3">
      <c r="A505" s="48">
        <v>15825</v>
      </c>
      <c r="B505" s="25" t="s">
        <v>413</v>
      </c>
      <c r="C505" s="48" t="s">
        <v>369</v>
      </c>
    </row>
    <row r="506" spans="1:3">
      <c r="A506" s="48">
        <v>15827</v>
      </c>
      <c r="B506" s="25" t="s">
        <v>414</v>
      </c>
      <c r="C506" s="48" t="s">
        <v>368</v>
      </c>
    </row>
    <row r="507" spans="1:3">
      <c r="A507" s="48">
        <v>15828</v>
      </c>
      <c r="B507" s="25" t="s">
        <v>413</v>
      </c>
      <c r="C507" s="48" t="s">
        <v>369</v>
      </c>
    </row>
    <row r="508" spans="1:3">
      <c r="A508" s="48">
        <v>15829</v>
      </c>
      <c r="B508" s="25" t="s">
        <v>413</v>
      </c>
      <c r="C508" s="48" t="s">
        <v>369</v>
      </c>
    </row>
    <row r="509" spans="1:3">
      <c r="A509" s="48">
        <v>15831</v>
      </c>
      <c r="B509" s="25" t="s">
        <v>414</v>
      </c>
      <c r="C509" s="48" t="s">
        <v>368</v>
      </c>
    </row>
    <row r="510" spans="1:3">
      <c r="A510" s="48">
        <v>15832</v>
      </c>
      <c r="B510" s="25" t="s">
        <v>414</v>
      </c>
      <c r="C510" s="48" t="s">
        <v>368</v>
      </c>
    </row>
    <row r="511" spans="1:3">
      <c r="A511" s="48">
        <v>15834</v>
      </c>
      <c r="B511" s="25" t="s">
        <v>414</v>
      </c>
      <c r="C511" s="48" t="s">
        <v>368</v>
      </c>
    </row>
    <row r="512" spans="1:3">
      <c r="A512" s="48">
        <v>15840</v>
      </c>
      <c r="B512" s="25" t="s">
        <v>413</v>
      </c>
      <c r="C512" s="48" t="s">
        <v>369</v>
      </c>
    </row>
    <row r="513" spans="1:3">
      <c r="A513" s="48">
        <v>15841</v>
      </c>
      <c r="B513" s="25" t="s">
        <v>414</v>
      </c>
      <c r="C513" s="48" t="s">
        <v>368</v>
      </c>
    </row>
    <row r="514" spans="1:3">
      <c r="A514" s="48">
        <v>15845</v>
      </c>
      <c r="B514" s="25" t="s">
        <v>414</v>
      </c>
      <c r="C514" s="48" t="s">
        <v>368</v>
      </c>
    </row>
    <row r="515" spans="1:3">
      <c r="A515" s="48">
        <v>15846</v>
      </c>
      <c r="B515" s="25" t="s">
        <v>414</v>
      </c>
      <c r="C515" s="48" t="s">
        <v>368</v>
      </c>
    </row>
    <row r="516" spans="1:3">
      <c r="A516" s="48">
        <v>15847</v>
      </c>
      <c r="B516" s="25" t="s">
        <v>413</v>
      </c>
      <c r="C516" s="48" t="s">
        <v>369</v>
      </c>
    </row>
    <row r="517" spans="1:3">
      <c r="A517" s="48">
        <v>15848</v>
      </c>
      <c r="B517" s="25" t="s">
        <v>414</v>
      </c>
      <c r="C517" s="48" t="s">
        <v>368</v>
      </c>
    </row>
    <row r="518" spans="1:3">
      <c r="A518" s="48">
        <v>15849</v>
      </c>
      <c r="B518" s="25" t="s">
        <v>414</v>
      </c>
      <c r="C518" s="48" t="s">
        <v>368</v>
      </c>
    </row>
    <row r="519" spans="1:3">
      <c r="A519" s="48">
        <v>15851</v>
      </c>
      <c r="B519" s="25" t="s">
        <v>413</v>
      </c>
      <c r="C519" s="48" t="s">
        <v>369</v>
      </c>
    </row>
    <row r="520" spans="1:3">
      <c r="A520" s="48">
        <v>15853</v>
      </c>
      <c r="B520" s="25" t="s">
        <v>414</v>
      </c>
      <c r="C520" s="48" t="s">
        <v>368</v>
      </c>
    </row>
    <row r="521" spans="1:3">
      <c r="A521" s="48">
        <v>15856</v>
      </c>
      <c r="B521" s="25" t="s">
        <v>414</v>
      </c>
      <c r="C521" s="48" t="s">
        <v>368</v>
      </c>
    </row>
    <row r="522" spans="1:3">
      <c r="A522" s="48">
        <v>15857</v>
      </c>
      <c r="B522" s="25" t="s">
        <v>414</v>
      </c>
      <c r="C522" s="48" t="s">
        <v>368</v>
      </c>
    </row>
    <row r="523" spans="1:3">
      <c r="A523" s="48">
        <v>15860</v>
      </c>
      <c r="B523" s="25" t="s">
        <v>413</v>
      </c>
      <c r="C523" s="48" t="s">
        <v>369</v>
      </c>
    </row>
    <row r="524" spans="1:3">
      <c r="A524" s="48">
        <v>15861</v>
      </c>
      <c r="B524" s="25" t="s">
        <v>414</v>
      </c>
      <c r="C524" s="48" t="s">
        <v>368</v>
      </c>
    </row>
    <row r="525" spans="1:3">
      <c r="A525" s="48">
        <v>15863</v>
      </c>
      <c r="B525" s="25" t="s">
        <v>413</v>
      </c>
      <c r="C525" s="48" t="s">
        <v>369</v>
      </c>
    </row>
    <row r="526" spans="1:3">
      <c r="A526" s="48">
        <v>15864</v>
      </c>
      <c r="B526" s="25" t="s">
        <v>413</v>
      </c>
      <c r="C526" s="48" t="s">
        <v>369</v>
      </c>
    </row>
    <row r="527" spans="1:3">
      <c r="A527" s="48">
        <v>15865</v>
      </c>
      <c r="B527" s="25" t="s">
        <v>413</v>
      </c>
      <c r="C527" s="48" t="s">
        <v>369</v>
      </c>
    </row>
    <row r="528" spans="1:3">
      <c r="A528" s="48">
        <v>15866</v>
      </c>
      <c r="B528" s="25" t="s">
        <v>414</v>
      </c>
      <c r="C528" s="48" t="s">
        <v>368</v>
      </c>
    </row>
    <row r="529" spans="1:3">
      <c r="A529" s="48">
        <v>15868</v>
      </c>
      <c r="B529" s="25" t="s">
        <v>414</v>
      </c>
      <c r="C529" s="48" t="s">
        <v>368</v>
      </c>
    </row>
    <row r="530" spans="1:3">
      <c r="A530" s="48">
        <v>15870</v>
      </c>
      <c r="B530" s="25" t="s">
        <v>414</v>
      </c>
      <c r="C530" s="48" t="s">
        <v>368</v>
      </c>
    </row>
    <row r="531" spans="1:3">
      <c r="A531" s="48">
        <v>15901</v>
      </c>
      <c r="B531" s="25" t="s">
        <v>411</v>
      </c>
      <c r="C531" s="48" t="s">
        <v>372</v>
      </c>
    </row>
    <row r="532" spans="1:3">
      <c r="A532" s="48">
        <v>15902</v>
      </c>
      <c r="B532" s="25" t="s">
        <v>411</v>
      </c>
      <c r="C532" s="48" t="s">
        <v>372</v>
      </c>
    </row>
    <row r="533" spans="1:3">
      <c r="A533" s="48">
        <v>15904</v>
      </c>
      <c r="B533" s="25" t="s">
        <v>411</v>
      </c>
      <c r="C533" s="48" t="s">
        <v>372</v>
      </c>
    </row>
    <row r="534" spans="1:3">
      <c r="A534" s="48">
        <v>15905</v>
      </c>
      <c r="B534" s="25" t="s">
        <v>411</v>
      </c>
      <c r="C534" s="48" t="s">
        <v>372</v>
      </c>
    </row>
    <row r="535" spans="1:3">
      <c r="A535" s="48">
        <v>15906</v>
      </c>
      <c r="B535" s="25" t="s">
        <v>411</v>
      </c>
      <c r="C535" s="48" t="s">
        <v>372</v>
      </c>
    </row>
    <row r="536" spans="1:3">
      <c r="A536" s="48">
        <v>15907</v>
      </c>
      <c r="B536" s="25" t="s">
        <v>411</v>
      </c>
      <c r="C536" s="48" t="s">
        <v>372</v>
      </c>
    </row>
    <row r="537" spans="1:3">
      <c r="A537" s="48">
        <v>15909</v>
      </c>
      <c r="B537" s="25" t="s">
        <v>411</v>
      </c>
      <c r="C537" s="48" t="s">
        <v>372</v>
      </c>
    </row>
    <row r="538" spans="1:3">
      <c r="A538" s="48">
        <v>15915</v>
      </c>
      <c r="B538" s="25" t="s">
        <v>411</v>
      </c>
      <c r="C538" s="48" t="s">
        <v>372</v>
      </c>
    </row>
    <row r="539" spans="1:3">
      <c r="A539" s="48">
        <v>15920</v>
      </c>
      <c r="B539" s="25" t="s">
        <v>411</v>
      </c>
      <c r="C539" s="48" t="s">
        <v>372</v>
      </c>
    </row>
    <row r="540" spans="1:3">
      <c r="A540" s="48">
        <v>15921</v>
      </c>
      <c r="B540" s="25" t="s">
        <v>411</v>
      </c>
      <c r="C540" s="48" t="s">
        <v>372</v>
      </c>
    </row>
    <row r="541" spans="1:3">
      <c r="A541" s="48">
        <v>15922</v>
      </c>
      <c r="B541" s="25" t="s">
        <v>411</v>
      </c>
      <c r="C541" s="48" t="s">
        <v>372</v>
      </c>
    </row>
    <row r="542" spans="1:3">
      <c r="A542" s="48">
        <v>15923</v>
      </c>
      <c r="B542" s="25" t="s">
        <v>411</v>
      </c>
      <c r="C542" s="48" t="s">
        <v>372</v>
      </c>
    </row>
    <row r="543" spans="1:3">
      <c r="A543" s="48">
        <v>15924</v>
      </c>
      <c r="B543" s="25" t="s">
        <v>411</v>
      </c>
      <c r="C543" s="48" t="s">
        <v>372</v>
      </c>
    </row>
    <row r="544" spans="1:3">
      <c r="A544" s="48">
        <v>15925</v>
      </c>
      <c r="B544" s="25" t="s">
        <v>411</v>
      </c>
      <c r="C544" s="48" t="s">
        <v>372</v>
      </c>
    </row>
    <row r="545" spans="1:3">
      <c r="A545" s="48">
        <v>15926</v>
      </c>
      <c r="B545" s="25" t="s">
        <v>411</v>
      </c>
      <c r="C545" s="48" t="s">
        <v>372</v>
      </c>
    </row>
    <row r="546" spans="1:3">
      <c r="A546" s="48">
        <v>15927</v>
      </c>
      <c r="B546" s="25" t="s">
        <v>411</v>
      </c>
      <c r="C546" s="48" t="s">
        <v>372</v>
      </c>
    </row>
    <row r="547" spans="1:3">
      <c r="A547" s="48">
        <v>15928</v>
      </c>
      <c r="B547" s="25" t="s">
        <v>411</v>
      </c>
      <c r="C547" s="48" t="s">
        <v>372</v>
      </c>
    </row>
    <row r="548" spans="1:3">
      <c r="A548" s="48">
        <v>15929</v>
      </c>
      <c r="B548" s="25" t="s">
        <v>411</v>
      </c>
      <c r="C548" s="48" t="s">
        <v>372</v>
      </c>
    </row>
    <row r="549" spans="1:3">
      <c r="A549" s="48">
        <v>15930</v>
      </c>
      <c r="B549" s="25" t="s">
        <v>411</v>
      </c>
      <c r="C549" s="48" t="s">
        <v>372</v>
      </c>
    </row>
    <row r="550" spans="1:3">
      <c r="A550" s="48">
        <v>15931</v>
      </c>
      <c r="B550" s="25" t="s">
        <v>411</v>
      </c>
      <c r="C550" s="48" t="s">
        <v>372</v>
      </c>
    </row>
    <row r="551" spans="1:3">
      <c r="A551" s="48">
        <v>15934</v>
      </c>
      <c r="B551" s="25" t="s">
        <v>411</v>
      </c>
      <c r="C551" s="48" t="s">
        <v>372</v>
      </c>
    </row>
    <row r="552" spans="1:3">
      <c r="A552" s="48">
        <v>15935</v>
      </c>
      <c r="B552" s="25" t="s">
        <v>411</v>
      </c>
      <c r="C552" s="48" t="s">
        <v>372</v>
      </c>
    </row>
    <row r="553" spans="1:3">
      <c r="A553" s="48">
        <v>15936</v>
      </c>
      <c r="B553" s="25" t="s">
        <v>411</v>
      </c>
      <c r="C553" s="48" t="s">
        <v>372</v>
      </c>
    </row>
    <row r="554" spans="1:3">
      <c r="A554" s="48">
        <v>15937</v>
      </c>
      <c r="B554" s="25" t="s">
        <v>411</v>
      </c>
      <c r="C554" s="48" t="s">
        <v>372</v>
      </c>
    </row>
    <row r="555" spans="1:3">
      <c r="A555" s="48">
        <v>15938</v>
      </c>
      <c r="B555" s="25" t="s">
        <v>411</v>
      </c>
      <c r="C555" s="48" t="s">
        <v>372</v>
      </c>
    </row>
    <row r="556" spans="1:3">
      <c r="A556" s="48">
        <v>15940</v>
      </c>
      <c r="B556" s="25" t="s">
        <v>411</v>
      </c>
      <c r="C556" s="48" t="s">
        <v>372</v>
      </c>
    </row>
    <row r="557" spans="1:3">
      <c r="A557" s="48">
        <v>15942</v>
      </c>
      <c r="B557" s="25" t="s">
        <v>411</v>
      </c>
      <c r="C557" s="48" t="s">
        <v>372</v>
      </c>
    </row>
    <row r="558" spans="1:3">
      <c r="A558" s="48">
        <v>15943</v>
      </c>
      <c r="B558" s="25" t="s">
        <v>411</v>
      </c>
      <c r="C558" s="48" t="s">
        <v>372</v>
      </c>
    </row>
    <row r="559" spans="1:3">
      <c r="A559" s="48">
        <v>15944</v>
      </c>
      <c r="B559" s="25" t="s">
        <v>411</v>
      </c>
      <c r="C559" s="48" t="s">
        <v>372</v>
      </c>
    </row>
    <row r="560" spans="1:3">
      <c r="A560" s="48">
        <v>15945</v>
      </c>
      <c r="B560" s="25" t="s">
        <v>411</v>
      </c>
      <c r="C560" s="48" t="s">
        <v>372</v>
      </c>
    </row>
    <row r="561" spans="1:3">
      <c r="A561" s="48">
        <v>15946</v>
      </c>
      <c r="B561" s="25" t="s">
        <v>411</v>
      </c>
      <c r="C561" s="48" t="s">
        <v>372</v>
      </c>
    </row>
    <row r="562" spans="1:3">
      <c r="A562" s="48">
        <v>15948</v>
      </c>
      <c r="B562" s="25" t="s">
        <v>411</v>
      </c>
      <c r="C562" s="48" t="s">
        <v>372</v>
      </c>
    </row>
    <row r="563" spans="1:3">
      <c r="A563" s="48">
        <v>15949</v>
      </c>
      <c r="B563" s="25" t="s">
        <v>411</v>
      </c>
      <c r="C563" s="48" t="s">
        <v>372</v>
      </c>
    </row>
    <row r="564" spans="1:3">
      <c r="A564" s="48">
        <v>15951</v>
      </c>
      <c r="B564" s="25" t="s">
        <v>411</v>
      </c>
      <c r="C564" s="48" t="s">
        <v>372</v>
      </c>
    </row>
    <row r="565" spans="1:3">
      <c r="A565" s="48">
        <v>15952</v>
      </c>
      <c r="B565" s="25" t="s">
        <v>411</v>
      </c>
      <c r="C565" s="48" t="s">
        <v>372</v>
      </c>
    </row>
    <row r="566" spans="1:3">
      <c r="A566" s="48">
        <v>15953</v>
      </c>
      <c r="B566" s="25" t="s">
        <v>411</v>
      </c>
      <c r="C566" s="48" t="s">
        <v>372</v>
      </c>
    </row>
    <row r="567" spans="1:3">
      <c r="A567" s="48">
        <v>15954</v>
      </c>
      <c r="B567" s="25" t="s">
        <v>411</v>
      </c>
      <c r="C567" s="48" t="s">
        <v>372</v>
      </c>
    </row>
    <row r="568" spans="1:3">
      <c r="A568" s="48">
        <v>15955</v>
      </c>
      <c r="B568" s="25" t="s">
        <v>411</v>
      </c>
      <c r="C568" s="48" t="s">
        <v>372</v>
      </c>
    </row>
    <row r="569" spans="1:3">
      <c r="A569" s="48">
        <v>15956</v>
      </c>
      <c r="B569" s="25" t="s">
        <v>411</v>
      </c>
      <c r="C569" s="48" t="s">
        <v>372</v>
      </c>
    </row>
    <row r="570" spans="1:3">
      <c r="A570" s="48">
        <v>15957</v>
      </c>
      <c r="B570" s="25" t="s">
        <v>411</v>
      </c>
      <c r="C570" s="48" t="s">
        <v>372</v>
      </c>
    </row>
    <row r="571" spans="1:3">
      <c r="A571" s="48">
        <v>15958</v>
      </c>
      <c r="B571" s="25" t="s">
        <v>411</v>
      </c>
      <c r="C571" s="48" t="s">
        <v>372</v>
      </c>
    </row>
    <row r="572" spans="1:3">
      <c r="A572" s="48">
        <v>15959</v>
      </c>
      <c r="B572" s="25" t="s">
        <v>411</v>
      </c>
      <c r="C572" s="48" t="s">
        <v>372</v>
      </c>
    </row>
    <row r="573" spans="1:3">
      <c r="A573" s="48">
        <v>15960</v>
      </c>
      <c r="B573" s="25" t="s">
        <v>411</v>
      </c>
      <c r="C573" s="48" t="s">
        <v>372</v>
      </c>
    </row>
    <row r="574" spans="1:3">
      <c r="A574" s="48">
        <v>15961</v>
      </c>
      <c r="B574" s="25" t="s">
        <v>411</v>
      </c>
      <c r="C574" s="48" t="s">
        <v>372</v>
      </c>
    </row>
    <row r="575" spans="1:3">
      <c r="A575" s="48">
        <v>15962</v>
      </c>
      <c r="B575" s="25" t="s">
        <v>411</v>
      </c>
      <c r="C575" s="48" t="s">
        <v>372</v>
      </c>
    </row>
    <row r="576" spans="1:3">
      <c r="A576" s="48">
        <v>15963</v>
      </c>
      <c r="B576" s="25" t="s">
        <v>411</v>
      </c>
      <c r="C576" s="48" t="s">
        <v>372</v>
      </c>
    </row>
    <row r="577" spans="1:3">
      <c r="A577" s="48">
        <v>16001</v>
      </c>
      <c r="B577" s="25" t="s">
        <v>411</v>
      </c>
      <c r="C577" s="48" t="s">
        <v>372</v>
      </c>
    </row>
    <row r="578" spans="1:3">
      <c r="A578" s="48">
        <v>16002</v>
      </c>
      <c r="B578" s="25" t="s">
        <v>411</v>
      </c>
      <c r="C578" s="48" t="s">
        <v>372</v>
      </c>
    </row>
    <row r="579" spans="1:3">
      <c r="A579" s="48">
        <v>16003</v>
      </c>
      <c r="B579" s="25" t="s">
        <v>411</v>
      </c>
      <c r="C579" s="48" t="s">
        <v>372</v>
      </c>
    </row>
    <row r="580" spans="1:3">
      <c r="A580" s="48">
        <v>16016</v>
      </c>
      <c r="B580" s="25" t="s">
        <v>411</v>
      </c>
      <c r="C580" s="48" t="s">
        <v>372</v>
      </c>
    </row>
    <row r="581" spans="1:3">
      <c r="A581" s="48">
        <v>16017</v>
      </c>
      <c r="B581" s="25" t="s">
        <v>411</v>
      </c>
      <c r="C581" s="48" t="s">
        <v>372</v>
      </c>
    </row>
    <row r="582" spans="1:3">
      <c r="A582" s="48">
        <v>16018</v>
      </c>
      <c r="B582" s="25" t="s">
        <v>411</v>
      </c>
      <c r="C582" s="48" t="s">
        <v>372</v>
      </c>
    </row>
    <row r="583" spans="1:3">
      <c r="A583" s="48">
        <v>16020</v>
      </c>
      <c r="B583" s="25" t="s">
        <v>411</v>
      </c>
      <c r="C583" s="48" t="s">
        <v>372</v>
      </c>
    </row>
    <row r="584" spans="1:3">
      <c r="A584" s="48">
        <v>16021</v>
      </c>
      <c r="B584" s="25" t="s">
        <v>411</v>
      </c>
      <c r="C584" s="48" t="s">
        <v>372</v>
      </c>
    </row>
    <row r="585" spans="1:3">
      <c r="A585" s="48">
        <v>16022</v>
      </c>
      <c r="B585" s="25" t="s">
        <v>411</v>
      </c>
      <c r="C585" s="48" t="s">
        <v>372</v>
      </c>
    </row>
    <row r="586" spans="1:3">
      <c r="A586" s="48">
        <v>16023</v>
      </c>
      <c r="B586" s="25" t="s">
        <v>411</v>
      </c>
      <c r="C586" s="48" t="s">
        <v>372</v>
      </c>
    </row>
    <row r="587" spans="1:3">
      <c r="A587" s="48">
        <v>16024</v>
      </c>
      <c r="B587" s="25" t="s">
        <v>411</v>
      </c>
      <c r="C587" s="48" t="s">
        <v>372</v>
      </c>
    </row>
    <row r="588" spans="1:3">
      <c r="A588" s="48">
        <v>16025</v>
      </c>
      <c r="B588" s="25" t="s">
        <v>411</v>
      </c>
      <c r="C588" s="48" t="s">
        <v>372</v>
      </c>
    </row>
    <row r="589" spans="1:3">
      <c r="A589" s="48">
        <v>16027</v>
      </c>
      <c r="B589" s="25" t="s">
        <v>411</v>
      </c>
      <c r="C589" s="48" t="s">
        <v>372</v>
      </c>
    </row>
    <row r="590" spans="1:3">
      <c r="A590" s="48">
        <v>16028</v>
      </c>
      <c r="B590" s="25" t="s">
        <v>411</v>
      </c>
      <c r="C590" s="48" t="s">
        <v>372</v>
      </c>
    </row>
    <row r="591" spans="1:3">
      <c r="A591" s="48">
        <v>16029</v>
      </c>
      <c r="B591" s="25" t="s">
        <v>411</v>
      </c>
      <c r="C591" s="48" t="s">
        <v>372</v>
      </c>
    </row>
    <row r="592" spans="1:3">
      <c r="A592" s="48">
        <v>16030</v>
      </c>
      <c r="B592" s="25" t="s">
        <v>411</v>
      </c>
      <c r="C592" s="48" t="s">
        <v>372</v>
      </c>
    </row>
    <row r="593" spans="1:3">
      <c r="A593" s="48">
        <v>16033</v>
      </c>
      <c r="B593" s="25" t="s">
        <v>411</v>
      </c>
      <c r="C593" s="48" t="s">
        <v>372</v>
      </c>
    </row>
    <row r="594" spans="1:3">
      <c r="A594" s="48">
        <v>16034</v>
      </c>
      <c r="B594" s="25" t="s">
        <v>411</v>
      </c>
      <c r="C594" s="48" t="s">
        <v>372</v>
      </c>
    </row>
    <row r="595" spans="1:3">
      <c r="A595" s="48">
        <v>16035</v>
      </c>
      <c r="B595" s="25" t="s">
        <v>411</v>
      </c>
      <c r="C595" s="48" t="s">
        <v>372</v>
      </c>
    </row>
    <row r="596" spans="1:3">
      <c r="A596" s="48">
        <v>16036</v>
      </c>
      <c r="B596" s="25" t="s">
        <v>413</v>
      </c>
      <c r="C596" s="48" t="s">
        <v>369</v>
      </c>
    </row>
    <row r="597" spans="1:3">
      <c r="A597" s="48">
        <v>16037</v>
      </c>
      <c r="B597" s="25" t="s">
        <v>411</v>
      </c>
      <c r="C597" s="48" t="s">
        <v>372</v>
      </c>
    </row>
    <row r="598" spans="1:3">
      <c r="A598" s="48">
        <v>16038</v>
      </c>
      <c r="B598" s="25" t="s">
        <v>411</v>
      </c>
      <c r="C598" s="48" t="s">
        <v>372</v>
      </c>
    </row>
    <row r="599" spans="1:3">
      <c r="A599" s="48">
        <v>16039</v>
      </c>
      <c r="B599" s="25" t="s">
        <v>411</v>
      </c>
      <c r="C599" s="48" t="s">
        <v>372</v>
      </c>
    </row>
    <row r="600" spans="1:3">
      <c r="A600" s="48">
        <v>16040</v>
      </c>
      <c r="B600" s="25" t="s">
        <v>411</v>
      </c>
      <c r="C600" s="48" t="s">
        <v>372</v>
      </c>
    </row>
    <row r="601" spans="1:3">
      <c r="A601" s="48">
        <v>16041</v>
      </c>
      <c r="B601" s="25" t="s">
        <v>411</v>
      </c>
      <c r="C601" s="48" t="s">
        <v>372</v>
      </c>
    </row>
    <row r="602" spans="1:3">
      <c r="A602" s="48">
        <v>16045</v>
      </c>
      <c r="B602" s="25" t="s">
        <v>411</v>
      </c>
      <c r="C602" s="48" t="s">
        <v>372</v>
      </c>
    </row>
    <row r="603" spans="1:3">
      <c r="A603" s="48">
        <v>16046</v>
      </c>
      <c r="B603" s="25" t="s">
        <v>411</v>
      </c>
      <c r="C603" s="48" t="s">
        <v>372</v>
      </c>
    </row>
    <row r="604" spans="1:3">
      <c r="A604" s="48">
        <v>16048</v>
      </c>
      <c r="B604" s="25" t="s">
        <v>411</v>
      </c>
      <c r="C604" s="48" t="s">
        <v>372</v>
      </c>
    </row>
    <row r="605" spans="1:3">
      <c r="A605" s="48">
        <v>16049</v>
      </c>
      <c r="B605" s="25" t="s">
        <v>411</v>
      </c>
      <c r="C605" s="48" t="s">
        <v>372</v>
      </c>
    </row>
    <row r="606" spans="1:3">
      <c r="A606" s="48">
        <v>16050</v>
      </c>
      <c r="B606" s="25" t="s">
        <v>411</v>
      </c>
      <c r="C606" s="48" t="s">
        <v>372</v>
      </c>
    </row>
    <row r="607" spans="1:3">
      <c r="A607" s="48">
        <v>16051</v>
      </c>
      <c r="B607" s="25" t="s">
        <v>411</v>
      </c>
      <c r="C607" s="48" t="s">
        <v>372</v>
      </c>
    </row>
    <row r="608" spans="1:3">
      <c r="A608" s="48">
        <v>16052</v>
      </c>
      <c r="B608" s="25" t="s">
        <v>411</v>
      </c>
      <c r="C608" s="48" t="s">
        <v>372</v>
      </c>
    </row>
    <row r="609" spans="1:3">
      <c r="A609" s="48">
        <v>16053</v>
      </c>
      <c r="B609" s="25" t="s">
        <v>411</v>
      </c>
      <c r="C609" s="48" t="s">
        <v>372</v>
      </c>
    </row>
    <row r="610" spans="1:3">
      <c r="A610" s="48">
        <v>16054</v>
      </c>
      <c r="B610" s="25" t="s">
        <v>413</v>
      </c>
      <c r="C610" s="48" t="s">
        <v>369</v>
      </c>
    </row>
    <row r="611" spans="1:3">
      <c r="A611" s="48">
        <v>16055</v>
      </c>
      <c r="B611" s="25" t="s">
        <v>411</v>
      </c>
      <c r="C611" s="48" t="s">
        <v>372</v>
      </c>
    </row>
    <row r="612" spans="1:3">
      <c r="A612" s="48">
        <v>16056</v>
      </c>
      <c r="B612" s="25" t="s">
        <v>411</v>
      </c>
      <c r="C612" s="48" t="s">
        <v>372</v>
      </c>
    </row>
    <row r="613" spans="1:3">
      <c r="A613" s="48">
        <v>16057</v>
      </c>
      <c r="B613" s="25" t="s">
        <v>411</v>
      </c>
      <c r="C613" s="48" t="s">
        <v>372</v>
      </c>
    </row>
    <row r="614" spans="1:3">
      <c r="A614" s="48">
        <v>16058</v>
      </c>
      <c r="B614" s="25" t="s">
        <v>411</v>
      </c>
      <c r="C614" s="48" t="s">
        <v>372</v>
      </c>
    </row>
    <row r="615" spans="1:3">
      <c r="A615" s="48">
        <v>16059</v>
      </c>
      <c r="B615" s="25" t="s">
        <v>411</v>
      </c>
      <c r="C615" s="48" t="s">
        <v>372</v>
      </c>
    </row>
    <row r="616" spans="1:3">
      <c r="A616" s="48">
        <v>16061</v>
      </c>
      <c r="B616" s="25" t="s">
        <v>411</v>
      </c>
      <c r="C616" s="48" t="s">
        <v>372</v>
      </c>
    </row>
    <row r="617" spans="1:3">
      <c r="A617" s="48">
        <v>16063</v>
      </c>
      <c r="B617" s="25" t="s">
        <v>411</v>
      </c>
      <c r="C617" s="48" t="s">
        <v>372</v>
      </c>
    </row>
    <row r="618" spans="1:3">
      <c r="A618" s="48">
        <v>16066</v>
      </c>
      <c r="B618" s="25" t="s">
        <v>411</v>
      </c>
      <c r="C618" s="48" t="s">
        <v>372</v>
      </c>
    </row>
    <row r="619" spans="1:3">
      <c r="A619" s="48">
        <v>16101</v>
      </c>
      <c r="B619" s="25" t="s">
        <v>411</v>
      </c>
      <c r="C619" s="48" t="s">
        <v>372</v>
      </c>
    </row>
    <row r="620" spans="1:3">
      <c r="A620" s="48">
        <v>16102</v>
      </c>
      <c r="B620" s="25" t="s">
        <v>411</v>
      </c>
      <c r="C620" s="48" t="s">
        <v>372</v>
      </c>
    </row>
    <row r="621" spans="1:3">
      <c r="A621" s="48">
        <v>16103</v>
      </c>
      <c r="B621" s="25" t="s">
        <v>411</v>
      </c>
      <c r="C621" s="48" t="s">
        <v>372</v>
      </c>
    </row>
    <row r="622" spans="1:3">
      <c r="A622" s="48">
        <v>16105</v>
      </c>
      <c r="B622" s="25" t="s">
        <v>411</v>
      </c>
      <c r="C622" s="48" t="s">
        <v>372</v>
      </c>
    </row>
    <row r="623" spans="1:3">
      <c r="A623" s="48">
        <v>16107</v>
      </c>
      <c r="B623" s="25" t="s">
        <v>411</v>
      </c>
      <c r="C623" s="48" t="s">
        <v>372</v>
      </c>
    </row>
    <row r="624" spans="1:3">
      <c r="A624" s="48">
        <v>16108</v>
      </c>
      <c r="B624" s="25" t="s">
        <v>411</v>
      </c>
      <c r="C624" s="48" t="s">
        <v>372</v>
      </c>
    </row>
    <row r="625" spans="1:3">
      <c r="A625" s="48">
        <v>16110</v>
      </c>
      <c r="B625" s="25" t="s">
        <v>413</v>
      </c>
      <c r="C625" s="48" t="s">
        <v>369</v>
      </c>
    </row>
    <row r="626" spans="1:3">
      <c r="A626" s="48">
        <v>16111</v>
      </c>
      <c r="B626" s="25" t="s">
        <v>413</v>
      </c>
      <c r="C626" s="48" t="s">
        <v>369</v>
      </c>
    </row>
    <row r="627" spans="1:3">
      <c r="A627" s="48">
        <v>16112</v>
      </c>
      <c r="B627" s="25" t="s">
        <v>411</v>
      </c>
      <c r="C627" s="48" t="s">
        <v>372</v>
      </c>
    </row>
    <row r="628" spans="1:3">
      <c r="A628" s="48">
        <v>16113</v>
      </c>
      <c r="B628" s="25" t="s">
        <v>413</v>
      </c>
      <c r="C628" s="48" t="s">
        <v>369</v>
      </c>
    </row>
    <row r="629" spans="1:3">
      <c r="A629" s="48">
        <v>16114</v>
      </c>
      <c r="B629" s="25" t="s">
        <v>413</v>
      </c>
      <c r="C629" s="48" t="s">
        <v>369</v>
      </c>
    </row>
    <row r="630" spans="1:3">
      <c r="A630" s="48">
        <v>16115</v>
      </c>
      <c r="B630" s="25" t="s">
        <v>411</v>
      </c>
      <c r="C630" s="48" t="s">
        <v>372</v>
      </c>
    </row>
    <row r="631" spans="1:3">
      <c r="A631" s="48">
        <v>16116</v>
      </c>
      <c r="B631" s="25" t="s">
        <v>411</v>
      </c>
      <c r="C631" s="48" t="s">
        <v>372</v>
      </c>
    </row>
    <row r="632" spans="1:3">
      <c r="A632" s="48">
        <v>16117</v>
      </c>
      <c r="B632" s="25" t="s">
        <v>411</v>
      </c>
      <c r="C632" s="48" t="s">
        <v>372</v>
      </c>
    </row>
    <row r="633" spans="1:3">
      <c r="A633" s="48">
        <v>16120</v>
      </c>
      <c r="B633" s="25" t="s">
        <v>411</v>
      </c>
      <c r="C633" s="48" t="s">
        <v>372</v>
      </c>
    </row>
    <row r="634" spans="1:3">
      <c r="A634" s="48">
        <v>16121</v>
      </c>
      <c r="B634" s="25" t="s">
        <v>413</v>
      </c>
      <c r="C634" s="48" t="s">
        <v>369</v>
      </c>
    </row>
    <row r="635" spans="1:3">
      <c r="A635" s="48">
        <v>16123</v>
      </c>
      <c r="B635" s="25" t="s">
        <v>411</v>
      </c>
      <c r="C635" s="48" t="s">
        <v>372</v>
      </c>
    </row>
    <row r="636" spans="1:3">
      <c r="A636" s="48">
        <v>16124</v>
      </c>
      <c r="B636" s="25" t="s">
        <v>413</v>
      </c>
      <c r="C636" s="48" t="s">
        <v>369</v>
      </c>
    </row>
    <row r="637" spans="1:3">
      <c r="A637" s="48">
        <v>16125</v>
      </c>
      <c r="B637" s="25" t="s">
        <v>413</v>
      </c>
      <c r="C637" s="48" t="s">
        <v>369</v>
      </c>
    </row>
    <row r="638" spans="1:3">
      <c r="A638" s="48">
        <v>16127</v>
      </c>
      <c r="B638" s="25" t="s">
        <v>413</v>
      </c>
      <c r="C638" s="48" t="s">
        <v>369</v>
      </c>
    </row>
    <row r="639" spans="1:3">
      <c r="A639" s="48">
        <v>16130</v>
      </c>
      <c r="B639" s="25" t="s">
        <v>413</v>
      </c>
      <c r="C639" s="48" t="s">
        <v>369</v>
      </c>
    </row>
    <row r="640" spans="1:3">
      <c r="A640" s="48">
        <v>16131</v>
      </c>
      <c r="B640" s="25" t="s">
        <v>413</v>
      </c>
      <c r="C640" s="48" t="s">
        <v>369</v>
      </c>
    </row>
    <row r="641" spans="1:3">
      <c r="A641" s="48">
        <v>16132</v>
      </c>
      <c r="B641" s="25" t="s">
        <v>411</v>
      </c>
      <c r="C641" s="48" t="s">
        <v>372</v>
      </c>
    </row>
    <row r="642" spans="1:3">
      <c r="A642" s="48">
        <v>16133</v>
      </c>
      <c r="B642" s="25" t="s">
        <v>413</v>
      </c>
      <c r="C642" s="48" t="s">
        <v>369</v>
      </c>
    </row>
    <row r="643" spans="1:3">
      <c r="A643" s="48">
        <v>16134</v>
      </c>
      <c r="B643" s="25" t="s">
        <v>413</v>
      </c>
      <c r="C643" s="48" t="s">
        <v>369</v>
      </c>
    </row>
    <row r="644" spans="1:3">
      <c r="A644" s="48">
        <v>16136</v>
      </c>
      <c r="B644" s="25" t="s">
        <v>411</v>
      </c>
      <c r="C644" s="48" t="s">
        <v>372</v>
      </c>
    </row>
    <row r="645" spans="1:3">
      <c r="A645" s="48">
        <v>16137</v>
      </c>
      <c r="B645" s="25" t="s">
        <v>413</v>
      </c>
      <c r="C645" s="48" t="s">
        <v>369</v>
      </c>
    </row>
    <row r="646" spans="1:3">
      <c r="A646" s="48">
        <v>16140</v>
      </c>
      <c r="B646" s="25" t="s">
        <v>411</v>
      </c>
      <c r="C646" s="48" t="s">
        <v>372</v>
      </c>
    </row>
    <row r="647" spans="1:3">
      <c r="A647" s="48">
        <v>16141</v>
      </c>
      <c r="B647" s="25" t="s">
        <v>411</v>
      </c>
      <c r="C647" s="48" t="s">
        <v>372</v>
      </c>
    </row>
    <row r="648" spans="1:3">
      <c r="A648" s="48">
        <v>16142</v>
      </c>
      <c r="B648" s="25" t="s">
        <v>411</v>
      </c>
      <c r="C648" s="48" t="s">
        <v>372</v>
      </c>
    </row>
    <row r="649" spans="1:3">
      <c r="A649" s="48">
        <v>16143</v>
      </c>
      <c r="B649" s="25" t="s">
        <v>411</v>
      </c>
      <c r="C649" s="48" t="s">
        <v>372</v>
      </c>
    </row>
    <row r="650" spans="1:3">
      <c r="A650" s="48">
        <v>16145</v>
      </c>
      <c r="B650" s="25" t="s">
        <v>413</v>
      </c>
      <c r="C650" s="48" t="s">
        <v>369</v>
      </c>
    </row>
    <row r="651" spans="1:3">
      <c r="A651" s="48">
        <v>16146</v>
      </c>
      <c r="B651" s="25" t="s">
        <v>413</v>
      </c>
      <c r="C651" s="48" t="s">
        <v>369</v>
      </c>
    </row>
    <row r="652" spans="1:3">
      <c r="A652" s="48">
        <v>16148</v>
      </c>
      <c r="B652" s="25" t="s">
        <v>413</v>
      </c>
      <c r="C652" s="48" t="s">
        <v>369</v>
      </c>
    </row>
    <row r="653" spans="1:3">
      <c r="A653" s="48">
        <v>16150</v>
      </c>
      <c r="B653" s="25" t="s">
        <v>413</v>
      </c>
      <c r="C653" s="48" t="s">
        <v>369</v>
      </c>
    </row>
    <row r="654" spans="1:3">
      <c r="A654" s="48">
        <v>16151</v>
      </c>
      <c r="B654" s="25" t="s">
        <v>413</v>
      </c>
      <c r="C654" s="48" t="s">
        <v>369</v>
      </c>
    </row>
    <row r="655" spans="1:3">
      <c r="A655" s="48">
        <v>16153</v>
      </c>
      <c r="B655" s="25" t="s">
        <v>413</v>
      </c>
      <c r="C655" s="48" t="s">
        <v>369</v>
      </c>
    </row>
    <row r="656" spans="1:3">
      <c r="A656" s="48">
        <v>16154</v>
      </c>
      <c r="B656" s="25" t="s">
        <v>413</v>
      </c>
      <c r="C656" s="48" t="s">
        <v>369</v>
      </c>
    </row>
    <row r="657" spans="1:3">
      <c r="A657" s="48">
        <v>16155</v>
      </c>
      <c r="B657" s="25" t="s">
        <v>411</v>
      </c>
      <c r="C657" s="48" t="s">
        <v>372</v>
      </c>
    </row>
    <row r="658" spans="1:3">
      <c r="A658" s="48">
        <v>16156</v>
      </c>
      <c r="B658" s="25" t="s">
        <v>411</v>
      </c>
      <c r="C658" s="48" t="s">
        <v>372</v>
      </c>
    </row>
    <row r="659" spans="1:3">
      <c r="A659" s="48">
        <v>16157</v>
      </c>
      <c r="B659" s="25" t="s">
        <v>411</v>
      </c>
      <c r="C659" s="48" t="s">
        <v>372</v>
      </c>
    </row>
    <row r="660" spans="1:3">
      <c r="A660" s="48">
        <v>16159</v>
      </c>
      <c r="B660" s="25" t="s">
        <v>413</v>
      </c>
      <c r="C660" s="48" t="s">
        <v>369</v>
      </c>
    </row>
    <row r="661" spans="1:3">
      <c r="A661" s="48">
        <v>16160</v>
      </c>
      <c r="B661" s="25" t="s">
        <v>411</v>
      </c>
      <c r="C661" s="48" t="s">
        <v>372</v>
      </c>
    </row>
    <row r="662" spans="1:3">
      <c r="A662" s="48">
        <v>16161</v>
      </c>
      <c r="B662" s="25" t="s">
        <v>413</v>
      </c>
      <c r="C662" s="48" t="s">
        <v>369</v>
      </c>
    </row>
    <row r="663" spans="1:3">
      <c r="A663" s="48">
        <v>16172</v>
      </c>
      <c r="B663" s="25" t="s">
        <v>411</v>
      </c>
      <c r="C663" s="48" t="s">
        <v>372</v>
      </c>
    </row>
    <row r="664" spans="1:3">
      <c r="A664" s="48">
        <v>16201</v>
      </c>
      <c r="B664" s="25" t="s">
        <v>411</v>
      </c>
      <c r="C664" s="48" t="s">
        <v>372</v>
      </c>
    </row>
    <row r="665" spans="1:3">
      <c r="A665" s="48">
        <v>16210</v>
      </c>
      <c r="B665" s="25" t="s">
        <v>411</v>
      </c>
      <c r="C665" s="48" t="s">
        <v>372</v>
      </c>
    </row>
    <row r="666" spans="1:3">
      <c r="A666" s="48">
        <v>16211</v>
      </c>
      <c r="B666" s="25" t="s">
        <v>411</v>
      </c>
      <c r="C666" s="48" t="s">
        <v>372</v>
      </c>
    </row>
    <row r="667" spans="1:3">
      <c r="A667" s="48">
        <v>16212</v>
      </c>
      <c r="B667" s="25" t="s">
        <v>411</v>
      </c>
      <c r="C667" s="48" t="s">
        <v>372</v>
      </c>
    </row>
    <row r="668" spans="1:3">
      <c r="A668" s="48">
        <v>16213</v>
      </c>
      <c r="B668" s="25" t="s">
        <v>413</v>
      </c>
      <c r="C668" s="48" t="s">
        <v>369</v>
      </c>
    </row>
    <row r="669" spans="1:3">
      <c r="A669" s="48">
        <v>16214</v>
      </c>
      <c r="B669" s="25" t="s">
        <v>413</v>
      </c>
      <c r="C669" s="48" t="s">
        <v>369</v>
      </c>
    </row>
    <row r="670" spans="1:3">
      <c r="A670" s="48">
        <v>16215</v>
      </c>
      <c r="B670" s="25" t="s">
        <v>411</v>
      </c>
      <c r="C670" s="48" t="s">
        <v>372</v>
      </c>
    </row>
    <row r="671" spans="1:3">
      <c r="A671" s="48">
        <v>16217</v>
      </c>
      <c r="B671" s="25" t="s">
        <v>413</v>
      </c>
      <c r="C671" s="48" t="s">
        <v>369</v>
      </c>
    </row>
    <row r="672" spans="1:3">
      <c r="A672" s="48">
        <v>16218</v>
      </c>
      <c r="B672" s="25" t="s">
        <v>411</v>
      </c>
      <c r="C672" s="48" t="s">
        <v>372</v>
      </c>
    </row>
    <row r="673" spans="1:3">
      <c r="A673" s="48">
        <v>16220</v>
      </c>
      <c r="B673" s="25" t="s">
        <v>413</v>
      </c>
      <c r="C673" s="48" t="s">
        <v>369</v>
      </c>
    </row>
    <row r="674" spans="1:3">
      <c r="A674" s="48">
        <v>16221</v>
      </c>
      <c r="B674" s="25" t="s">
        <v>413</v>
      </c>
      <c r="C674" s="48" t="s">
        <v>369</v>
      </c>
    </row>
    <row r="675" spans="1:3">
      <c r="A675" s="48">
        <v>16222</v>
      </c>
      <c r="B675" s="25" t="s">
        <v>411</v>
      </c>
      <c r="C675" s="48" t="s">
        <v>372</v>
      </c>
    </row>
    <row r="676" spans="1:3">
      <c r="A676" s="48">
        <v>16223</v>
      </c>
      <c r="B676" s="25" t="s">
        <v>411</v>
      </c>
      <c r="C676" s="48" t="s">
        <v>372</v>
      </c>
    </row>
    <row r="677" spans="1:3">
      <c r="A677" s="48">
        <v>16224</v>
      </c>
      <c r="B677" s="25" t="s">
        <v>413</v>
      </c>
      <c r="C677" s="48" t="s">
        <v>369</v>
      </c>
    </row>
    <row r="678" spans="1:3">
      <c r="A678" s="48">
        <v>16225</v>
      </c>
      <c r="B678" s="25" t="s">
        <v>413</v>
      </c>
      <c r="C678" s="48" t="s">
        <v>369</v>
      </c>
    </row>
    <row r="679" spans="1:3">
      <c r="A679" s="48">
        <v>16226</v>
      </c>
      <c r="B679" s="25" t="s">
        <v>411</v>
      </c>
      <c r="C679" s="48" t="s">
        <v>372</v>
      </c>
    </row>
    <row r="680" spans="1:3">
      <c r="A680" s="48">
        <v>16228</v>
      </c>
      <c r="B680" s="25" t="s">
        <v>411</v>
      </c>
      <c r="C680" s="48" t="s">
        <v>372</v>
      </c>
    </row>
    <row r="681" spans="1:3">
      <c r="A681" s="48">
        <v>16229</v>
      </c>
      <c r="B681" s="25" t="s">
        <v>411</v>
      </c>
      <c r="C681" s="48" t="s">
        <v>372</v>
      </c>
    </row>
    <row r="682" spans="1:3">
      <c r="A682" s="48">
        <v>16230</v>
      </c>
      <c r="B682" s="25" t="s">
        <v>413</v>
      </c>
      <c r="C682" s="48" t="s">
        <v>369</v>
      </c>
    </row>
    <row r="683" spans="1:3">
      <c r="A683" s="48">
        <v>16232</v>
      </c>
      <c r="B683" s="25" t="s">
        <v>413</v>
      </c>
      <c r="C683" s="48" t="s">
        <v>369</v>
      </c>
    </row>
    <row r="684" spans="1:3">
      <c r="A684" s="48">
        <v>16233</v>
      </c>
      <c r="B684" s="25" t="s">
        <v>413</v>
      </c>
      <c r="C684" s="48" t="s">
        <v>369</v>
      </c>
    </row>
    <row r="685" spans="1:3">
      <c r="A685" s="48">
        <v>16234</v>
      </c>
      <c r="B685" s="25" t="s">
        <v>413</v>
      </c>
      <c r="C685" s="48" t="s">
        <v>369</v>
      </c>
    </row>
    <row r="686" spans="1:3">
      <c r="A686" s="48">
        <v>16235</v>
      </c>
      <c r="B686" s="25" t="s">
        <v>413</v>
      </c>
      <c r="C686" s="48" t="s">
        <v>369</v>
      </c>
    </row>
    <row r="687" spans="1:3">
      <c r="A687" s="48">
        <v>16236</v>
      </c>
      <c r="B687" s="25" t="s">
        <v>411</v>
      </c>
      <c r="C687" s="48" t="s">
        <v>372</v>
      </c>
    </row>
    <row r="688" spans="1:3">
      <c r="A688" s="48">
        <v>16238</v>
      </c>
      <c r="B688" s="25" t="s">
        <v>411</v>
      </c>
      <c r="C688" s="48" t="s">
        <v>372</v>
      </c>
    </row>
    <row r="689" spans="1:3">
      <c r="A689" s="48">
        <v>16239</v>
      </c>
      <c r="B689" s="25" t="s">
        <v>413</v>
      </c>
      <c r="C689" s="48" t="s">
        <v>369</v>
      </c>
    </row>
    <row r="690" spans="1:3">
      <c r="A690" s="48">
        <v>16240</v>
      </c>
      <c r="B690" s="25" t="s">
        <v>413</v>
      </c>
      <c r="C690" s="48" t="s">
        <v>369</v>
      </c>
    </row>
    <row r="691" spans="1:3">
      <c r="A691" s="48">
        <v>16242</v>
      </c>
      <c r="B691" s="25" t="s">
        <v>413</v>
      </c>
      <c r="C691" s="48" t="s">
        <v>369</v>
      </c>
    </row>
    <row r="692" spans="1:3">
      <c r="A692" s="48">
        <v>16244</v>
      </c>
      <c r="B692" s="25" t="s">
        <v>411</v>
      </c>
      <c r="C692" s="48" t="s">
        <v>372</v>
      </c>
    </row>
    <row r="693" spans="1:3">
      <c r="A693" s="48">
        <v>16245</v>
      </c>
      <c r="B693" s="25" t="s">
        <v>411</v>
      </c>
      <c r="C693" s="48" t="s">
        <v>372</v>
      </c>
    </row>
    <row r="694" spans="1:3">
      <c r="A694" s="48">
        <v>16246</v>
      </c>
      <c r="B694" s="25" t="s">
        <v>411</v>
      </c>
      <c r="C694" s="48" t="s">
        <v>372</v>
      </c>
    </row>
    <row r="695" spans="1:3">
      <c r="A695" s="48">
        <v>16248</v>
      </c>
      <c r="B695" s="25" t="s">
        <v>413</v>
      </c>
      <c r="C695" s="48" t="s">
        <v>369</v>
      </c>
    </row>
    <row r="696" spans="1:3">
      <c r="A696" s="48">
        <v>16249</v>
      </c>
      <c r="B696" s="25" t="s">
        <v>411</v>
      </c>
      <c r="C696" s="48" t="s">
        <v>372</v>
      </c>
    </row>
    <row r="697" spans="1:3">
      <c r="A697" s="48">
        <v>16250</v>
      </c>
      <c r="B697" s="25" t="s">
        <v>411</v>
      </c>
      <c r="C697" s="48" t="s">
        <v>372</v>
      </c>
    </row>
    <row r="698" spans="1:3">
      <c r="A698" s="48">
        <v>16253</v>
      </c>
      <c r="B698" s="25" t="s">
        <v>411</v>
      </c>
      <c r="C698" s="48" t="s">
        <v>372</v>
      </c>
    </row>
    <row r="699" spans="1:3">
      <c r="A699" s="48">
        <v>16254</v>
      </c>
      <c r="B699" s="25" t="s">
        <v>413</v>
      </c>
      <c r="C699" s="48" t="s">
        <v>369</v>
      </c>
    </row>
    <row r="700" spans="1:3">
      <c r="A700" s="48">
        <v>16255</v>
      </c>
      <c r="B700" s="25" t="s">
        <v>413</v>
      </c>
      <c r="C700" s="48" t="s">
        <v>369</v>
      </c>
    </row>
    <row r="701" spans="1:3">
      <c r="A701" s="48">
        <v>16256</v>
      </c>
      <c r="B701" s="25" t="s">
        <v>411</v>
      </c>
      <c r="C701" s="48" t="s">
        <v>372</v>
      </c>
    </row>
    <row r="702" spans="1:3">
      <c r="A702" s="48">
        <v>16257</v>
      </c>
      <c r="B702" s="25" t="s">
        <v>413</v>
      </c>
      <c r="C702" s="48" t="s">
        <v>369</v>
      </c>
    </row>
    <row r="703" spans="1:3">
      <c r="A703" s="48">
        <v>16258</v>
      </c>
      <c r="B703" s="25" t="s">
        <v>413</v>
      </c>
      <c r="C703" s="48" t="s">
        <v>369</v>
      </c>
    </row>
    <row r="704" spans="1:3">
      <c r="A704" s="48">
        <v>16259</v>
      </c>
      <c r="B704" s="25" t="s">
        <v>411</v>
      </c>
      <c r="C704" s="48" t="s">
        <v>372</v>
      </c>
    </row>
    <row r="705" spans="1:3">
      <c r="A705" s="48">
        <v>16260</v>
      </c>
      <c r="B705" s="25" t="s">
        <v>413</v>
      </c>
      <c r="C705" s="48" t="s">
        <v>369</v>
      </c>
    </row>
    <row r="706" spans="1:3">
      <c r="A706" s="48">
        <v>16261</v>
      </c>
      <c r="B706" s="25" t="s">
        <v>411</v>
      </c>
      <c r="C706" s="48" t="s">
        <v>372</v>
      </c>
    </row>
    <row r="707" spans="1:3">
      <c r="A707" s="48">
        <v>16262</v>
      </c>
      <c r="B707" s="25" t="s">
        <v>411</v>
      </c>
      <c r="C707" s="48" t="s">
        <v>372</v>
      </c>
    </row>
    <row r="708" spans="1:3">
      <c r="A708" s="48">
        <v>16263</v>
      </c>
      <c r="B708" s="25" t="s">
        <v>411</v>
      </c>
      <c r="C708" s="48" t="s">
        <v>372</v>
      </c>
    </row>
    <row r="709" spans="1:3">
      <c r="A709" s="48">
        <v>16301</v>
      </c>
      <c r="B709" s="25" t="s">
        <v>413</v>
      </c>
      <c r="C709" s="48" t="s">
        <v>369</v>
      </c>
    </row>
    <row r="710" spans="1:3">
      <c r="A710" s="48">
        <v>16311</v>
      </c>
      <c r="B710" s="25" t="s">
        <v>413</v>
      </c>
      <c r="C710" s="48" t="s">
        <v>369</v>
      </c>
    </row>
    <row r="711" spans="1:3">
      <c r="A711" s="48">
        <v>16312</v>
      </c>
      <c r="B711" s="25" t="s">
        <v>413</v>
      </c>
      <c r="C711" s="48" t="s">
        <v>369</v>
      </c>
    </row>
    <row r="712" spans="1:3">
      <c r="A712" s="48">
        <v>16313</v>
      </c>
      <c r="B712" s="25" t="s">
        <v>413</v>
      </c>
      <c r="C712" s="48" t="s">
        <v>369</v>
      </c>
    </row>
    <row r="713" spans="1:3">
      <c r="A713" s="48">
        <v>16314</v>
      </c>
      <c r="B713" s="25" t="s">
        <v>413</v>
      </c>
      <c r="C713" s="48" t="s">
        <v>369</v>
      </c>
    </row>
    <row r="714" spans="1:3">
      <c r="A714" s="48">
        <v>16316</v>
      </c>
      <c r="B714" s="25" t="s">
        <v>413</v>
      </c>
      <c r="C714" s="48" t="s">
        <v>369</v>
      </c>
    </row>
    <row r="715" spans="1:3">
      <c r="A715" s="48">
        <v>16317</v>
      </c>
      <c r="B715" s="25" t="s">
        <v>413</v>
      </c>
      <c r="C715" s="48" t="s">
        <v>369</v>
      </c>
    </row>
    <row r="716" spans="1:3">
      <c r="A716" s="48">
        <v>16319</v>
      </c>
      <c r="B716" s="25" t="s">
        <v>413</v>
      </c>
      <c r="C716" s="48" t="s">
        <v>369</v>
      </c>
    </row>
    <row r="717" spans="1:3">
      <c r="A717" s="48">
        <v>16321</v>
      </c>
      <c r="B717" s="25" t="s">
        <v>413</v>
      </c>
      <c r="C717" s="48" t="s">
        <v>369</v>
      </c>
    </row>
    <row r="718" spans="1:3">
      <c r="A718" s="48">
        <v>16322</v>
      </c>
      <c r="B718" s="25" t="s">
        <v>413</v>
      </c>
      <c r="C718" s="48" t="s">
        <v>369</v>
      </c>
    </row>
    <row r="719" spans="1:3">
      <c r="A719" s="48">
        <v>16323</v>
      </c>
      <c r="B719" s="25" t="s">
        <v>413</v>
      </c>
      <c r="C719" s="48" t="s">
        <v>369</v>
      </c>
    </row>
    <row r="720" spans="1:3">
      <c r="A720" s="48">
        <v>16326</v>
      </c>
      <c r="B720" s="25" t="s">
        <v>413</v>
      </c>
      <c r="C720" s="48" t="s">
        <v>369</v>
      </c>
    </row>
    <row r="721" spans="1:3">
      <c r="A721" s="48">
        <v>16327</v>
      </c>
      <c r="B721" s="25" t="s">
        <v>413</v>
      </c>
      <c r="C721" s="48" t="s">
        <v>369</v>
      </c>
    </row>
    <row r="722" spans="1:3">
      <c r="A722" s="48">
        <v>16328</v>
      </c>
      <c r="B722" s="25" t="s">
        <v>413</v>
      </c>
      <c r="C722" s="48" t="s">
        <v>369</v>
      </c>
    </row>
    <row r="723" spans="1:3">
      <c r="A723" s="48">
        <v>16329</v>
      </c>
      <c r="B723" s="25" t="s">
        <v>413</v>
      </c>
      <c r="C723" s="48" t="s">
        <v>369</v>
      </c>
    </row>
    <row r="724" spans="1:3">
      <c r="A724" s="48">
        <v>16331</v>
      </c>
      <c r="B724" s="25" t="s">
        <v>413</v>
      </c>
      <c r="C724" s="48" t="s">
        <v>369</v>
      </c>
    </row>
    <row r="725" spans="1:3">
      <c r="A725" s="48">
        <v>16332</v>
      </c>
      <c r="B725" s="25" t="s">
        <v>413</v>
      </c>
      <c r="C725" s="48" t="s">
        <v>369</v>
      </c>
    </row>
    <row r="726" spans="1:3">
      <c r="A726" s="48">
        <v>16333</v>
      </c>
      <c r="B726" s="25" t="s">
        <v>414</v>
      </c>
      <c r="C726" s="48" t="s">
        <v>368</v>
      </c>
    </row>
    <row r="727" spans="1:3">
      <c r="A727" s="48">
        <v>16334</v>
      </c>
      <c r="B727" s="25" t="s">
        <v>413</v>
      </c>
      <c r="C727" s="48" t="s">
        <v>369</v>
      </c>
    </row>
    <row r="728" spans="1:3">
      <c r="A728" s="48">
        <v>16335</v>
      </c>
      <c r="B728" s="25" t="s">
        <v>413</v>
      </c>
      <c r="C728" s="48" t="s">
        <v>369</v>
      </c>
    </row>
    <row r="729" spans="1:3">
      <c r="A729" s="48">
        <v>16340</v>
      </c>
      <c r="B729" s="25" t="s">
        <v>413</v>
      </c>
      <c r="C729" s="48" t="s">
        <v>369</v>
      </c>
    </row>
    <row r="730" spans="1:3">
      <c r="A730" s="48">
        <v>16341</v>
      </c>
      <c r="B730" s="25" t="s">
        <v>413</v>
      </c>
      <c r="C730" s="48" t="s">
        <v>369</v>
      </c>
    </row>
    <row r="731" spans="1:3">
      <c r="A731" s="48">
        <v>16342</v>
      </c>
      <c r="B731" s="25" t="s">
        <v>413</v>
      </c>
      <c r="C731" s="48" t="s">
        <v>369</v>
      </c>
    </row>
    <row r="732" spans="1:3">
      <c r="A732" s="48">
        <v>16343</v>
      </c>
      <c r="B732" s="25" t="s">
        <v>413</v>
      </c>
      <c r="C732" s="48" t="s">
        <v>369</v>
      </c>
    </row>
    <row r="733" spans="1:3">
      <c r="A733" s="48">
        <v>16344</v>
      </c>
      <c r="B733" s="25" t="s">
        <v>413</v>
      </c>
      <c r="C733" s="48" t="s">
        <v>369</v>
      </c>
    </row>
    <row r="734" spans="1:3">
      <c r="A734" s="48">
        <v>16345</v>
      </c>
      <c r="B734" s="25" t="s">
        <v>413</v>
      </c>
      <c r="C734" s="48" t="s">
        <v>369</v>
      </c>
    </row>
    <row r="735" spans="1:3">
      <c r="A735" s="48">
        <v>16346</v>
      </c>
      <c r="B735" s="25" t="s">
        <v>413</v>
      </c>
      <c r="C735" s="48" t="s">
        <v>369</v>
      </c>
    </row>
    <row r="736" spans="1:3">
      <c r="A736" s="48">
        <v>16347</v>
      </c>
      <c r="B736" s="25" t="s">
        <v>413</v>
      </c>
      <c r="C736" s="48" t="s">
        <v>369</v>
      </c>
    </row>
    <row r="737" spans="1:3">
      <c r="A737" s="48">
        <v>16350</v>
      </c>
      <c r="B737" s="25" t="s">
        <v>413</v>
      </c>
      <c r="C737" s="48" t="s">
        <v>369</v>
      </c>
    </row>
    <row r="738" spans="1:3">
      <c r="A738" s="48">
        <v>16351</v>
      </c>
      <c r="B738" s="25" t="s">
        <v>413</v>
      </c>
      <c r="C738" s="48" t="s">
        <v>369</v>
      </c>
    </row>
    <row r="739" spans="1:3">
      <c r="A739" s="48">
        <v>16352</v>
      </c>
      <c r="B739" s="25" t="s">
        <v>413</v>
      </c>
      <c r="C739" s="48" t="s">
        <v>369</v>
      </c>
    </row>
    <row r="740" spans="1:3">
      <c r="A740" s="48">
        <v>16353</v>
      </c>
      <c r="B740" s="25" t="s">
        <v>413</v>
      </c>
      <c r="C740" s="48" t="s">
        <v>369</v>
      </c>
    </row>
    <row r="741" spans="1:3">
      <c r="A741" s="48">
        <v>16354</v>
      </c>
      <c r="B741" s="25" t="s">
        <v>413</v>
      </c>
      <c r="C741" s="48" t="s">
        <v>369</v>
      </c>
    </row>
    <row r="742" spans="1:3">
      <c r="A742" s="48">
        <v>16360</v>
      </c>
      <c r="B742" s="25" t="s">
        <v>413</v>
      </c>
      <c r="C742" s="48" t="s">
        <v>369</v>
      </c>
    </row>
    <row r="743" spans="1:3">
      <c r="A743" s="48">
        <v>16361</v>
      </c>
      <c r="B743" s="25" t="s">
        <v>413</v>
      </c>
      <c r="C743" s="48" t="s">
        <v>369</v>
      </c>
    </row>
    <row r="744" spans="1:3">
      <c r="A744" s="48">
        <v>16362</v>
      </c>
      <c r="B744" s="25" t="s">
        <v>413</v>
      </c>
      <c r="C744" s="48" t="s">
        <v>369</v>
      </c>
    </row>
    <row r="745" spans="1:3">
      <c r="A745" s="48">
        <v>16364</v>
      </c>
      <c r="B745" s="25" t="s">
        <v>413</v>
      </c>
      <c r="C745" s="48" t="s">
        <v>369</v>
      </c>
    </row>
    <row r="746" spans="1:3">
      <c r="A746" s="48">
        <v>16365</v>
      </c>
      <c r="B746" s="25" t="s">
        <v>413</v>
      </c>
      <c r="C746" s="48" t="s">
        <v>369</v>
      </c>
    </row>
    <row r="747" spans="1:3">
      <c r="A747" s="48">
        <v>16366</v>
      </c>
      <c r="B747" s="25" t="s">
        <v>413</v>
      </c>
      <c r="C747" s="48" t="s">
        <v>369</v>
      </c>
    </row>
    <row r="748" spans="1:3">
      <c r="A748" s="48">
        <v>16367</v>
      </c>
      <c r="B748" s="25" t="s">
        <v>413</v>
      </c>
      <c r="C748" s="48" t="s">
        <v>369</v>
      </c>
    </row>
    <row r="749" spans="1:3">
      <c r="A749" s="48">
        <v>16368</v>
      </c>
      <c r="B749" s="25" t="s">
        <v>413</v>
      </c>
      <c r="C749" s="48" t="s">
        <v>369</v>
      </c>
    </row>
    <row r="750" spans="1:3">
      <c r="A750" s="48">
        <v>16369</v>
      </c>
      <c r="B750" s="25" t="s">
        <v>413</v>
      </c>
      <c r="C750" s="48" t="s">
        <v>369</v>
      </c>
    </row>
    <row r="751" spans="1:3">
      <c r="A751" s="48">
        <v>16370</v>
      </c>
      <c r="B751" s="25" t="s">
        <v>413</v>
      </c>
      <c r="C751" s="48" t="s">
        <v>369</v>
      </c>
    </row>
    <row r="752" spans="1:3">
      <c r="A752" s="48">
        <v>16371</v>
      </c>
      <c r="B752" s="25" t="s">
        <v>413</v>
      </c>
      <c r="C752" s="48" t="s">
        <v>369</v>
      </c>
    </row>
    <row r="753" spans="1:3">
      <c r="A753" s="48">
        <v>16372</v>
      </c>
      <c r="B753" s="25" t="s">
        <v>413</v>
      </c>
      <c r="C753" s="48" t="s">
        <v>369</v>
      </c>
    </row>
    <row r="754" spans="1:3">
      <c r="A754" s="48">
        <v>16373</v>
      </c>
      <c r="B754" s="25" t="s">
        <v>413</v>
      </c>
      <c r="C754" s="48" t="s">
        <v>369</v>
      </c>
    </row>
    <row r="755" spans="1:3">
      <c r="A755" s="48">
        <v>16374</v>
      </c>
      <c r="B755" s="25" t="s">
        <v>413</v>
      </c>
      <c r="C755" s="48" t="s">
        <v>369</v>
      </c>
    </row>
    <row r="756" spans="1:3">
      <c r="A756" s="48">
        <v>16375</v>
      </c>
      <c r="B756" s="25" t="s">
        <v>413</v>
      </c>
      <c r="C756" s="48" t="s">
        <v>369</v>
      </c>
    </row>
    <row r="757" spans="1:3">
      <c r="A757" s="48">
        <v>16388</v>
      </c>
      <c r="B757" s="25" t="s">
        <v>413</v>
      </c>
      <c r="C757" s="48" t="s">
        <v>369</v>
      </c>
    </row>
    <row r="758" spans="1:3">
      <c r="A758" s="48">
        <v>16401</v>
      </c>
      <c r="B758" s="25" t="s">
        <v>413</v>
      </c>
      <c r="C758" s="48" t="s">
        <v>369</v>
      </c>
    </row>
    <row r="759" spans="1:3">
      <c r="A759" s="48">
        <v>16402</v>
      </c>
      <c r="B759" s="25" t="s">
        <v>413</v>
      </c>
      <c r="C759" s="48" t="s">
        <v>369</v>
      </c>
    </row>
    <row r="760" spans="1:3">
      <c r="A760" s="48">
        <v>16403</v>
      </c>
      <c r="B760" s="25" t="s">
        <v>413</v>
      </c>
      <c r="C760" s="48" t="s">
        <v>369</v>
      </c>
    </row>
    <row r="761" spans="1:3">
      <c r="A761" s="48">
        <v>16404</v>
      </c>
      <c r="B761" s="25" t="s">
        <v>413</v>
      </c>
      <c r="C761" s="48" t="s">
        <v>369</v>
      </c>
    </row>
    <row r="762" spans="1:3">
      <c r="A762" s="48">
        <v>16405</v>
      </c>
      <c r="B762" s="25" t="s">
        <v>413</v>
      </c>
      <c r="C762" s="48" t="s">
        <v>369</v>
      </c>
    </row>
    <row r="763" spans="1:3">
      <c r="A763" s="48">
        <v>16406</v>
      </c>
      <c r="B763" s="25" t="s">
        <v>413</v>
      </c>
      <c r="C763" s="48" t="s">
        <v>369</v>
      </c>
    </row>
    <row r="764" spans="1:3">
      <c r="A764" s="48">
        <v>16407</v>
      </c>
      <c r="B764" s="25" t="s">
        <v>413</v>
      </c>
      <c r="C764" s="48" t="s">
        <v>369</v>
      </c>
    </row>
    <row r="765" spans="1:3">
      <c r="A765" s="48">
        <v>16410</v>
      </c>
      <c r="B765" s="25" t="s">
        <v>413</v>
      </c>
      <c r="C765" s="48" t="s">
        <v>369</v>
      </c>
    </row>
    <row r="766" spans="1:3">
      <c r="A766" s="48">
        <v>16411</v>
      </c>
      <c r="B766" s="25" t="s">
        <v>413</v>
      </c>
      <c r="C766" s="48" t="s">
        <v>369</v>
      </c>
    </row>
    <row r="767" spans="1:3">
      <c r="A767" s="48">
        <v>16412</v>
      </c>
      <c r="B767" s="25" t="s">
        <v>413</v>
      </c>
      <c r="C767" s="48" t="s">
        <v>369</v>
      </c>
    </row>
    <row r="768" spans="1:3">
      <c r="A768" s="48">
        <v>16413</v>
      </c>
      <c r="B768" s="25" t="s">
        <v>413</v>
      </c>
      <c r="C768" s="48" t="s">
        <v>369</v>
      </c>
    </row>
    <row r="769" spans="1:3">
      <c r="A769" s="48">
        <v>16415</v>
      </c>
      <c r="B769" s="25" t="s">
        <v>413</v>
      </c>
      <c r="C769" s="48" t="s">
        <v>369</v>
      </c>
    </row>
    <row r="770" spans="1:3">
      <c r="A770" s="48">
        <v>16416</v>
      </c>
      <c r="B770" s="25" t="s">
        <v>413</v>
      </c>
      <c r="C770" s="48" t="s">
        <v>369</v>
      </c>
    </row>
    <row r="771" spans="1:3">
      <c r="A771" s="48">
        <v>16417</v>
      </c>
      <c r="B771" s="25" t="s">
        <v>413</v>
      </c>
      <c r="C771" s="48" t="s">
        <v>369</v>
      </c>
    </row>
    <row r="772" spans="1:3">
      <c r="A772" s="48">
        <v>16420</v>
      </c>
      <c r="B772" s="25" t="s">
        <v>413</v>
      </c>
      <c r="C772" s="48" t="s">
        <v>369</v>
      </c>
    </row>
    <row r="773" spans="1:3">
      <c r="A773" s="48">
        <v>16421</v>
      </c>
      <c r="B773" s="25" t="s">
        <v>413</v>
      </c>
      <c r="C773" s="48" t="s">
        <v>369</v>
      </c>
    </row>
    <row r="774" spans="1:3">
      <c r="A774" s="48">
        <v>16422</v>
      </c>
      <c r="B774" s="25" t="s">
        <v>413</v>
      </c>
      <c r="C774" s="48" t="s">
        <v>369</v>
      </c>
    </row>
    <row r="775" spans="1:3">
      <c r="A775" s="48">
        <v>16423</v>
      </c>
      <c r="B775" s="25" t="s">
        <v>413</v>
      </c>
      <c r="C775" s="48" t="s">
        <v>369</v>
      </c>
    </row>
    <row r="776" spans="1:3">
      <c r="A776" s="48">
        <v>16424</v>
      </c>
      <c r="B776" s="25" t="s">
        <v>413</v>
      </c>
      <c r="C776" s="48" t="s">
        <v>369</v>
      </c>
    </row>
    <row r="777" spans="1:3">
      <c r="A777" s="48">
        <v>16426</v>
      </c>
      <c r="B777" s="25" t="s">
        <v>413</v>
      </c>
      <c r="C777" s="48" t="s">
        <v>369</v>
      </c>
    </row>
    <row r="778" spans="1:3">
      <c r="A778" s="48">
        <v>16427</v>
      </c>
      <c r="B778" s="25" t="s">
        <v>413</v>
      </c>
      <c r="C778" s="48" t="s">
        <v>369</v>
      </c>
    </row>
    <row r="779" spans="1:3">
      <c r="A779" s="48">
        <v>16428</v>
      </c>
      <c r="B779" s="25" t="s">
        <v>413</v>
      </c>
      <c r="C779" s="48" t="s">
        <v>369</v>
      </c>
    </row>
    <row r="780" spans="1:3">
      <c r="A780" s="48">
        <v>16430</v>
      </c>
      <c r="B780" s="25" t="s">
        <v>413</v>
      </c>
      <c r="C780" s="48" t="s">
        <v>369</v>
      </c>
    </row>
    <row r="781" spans="1:3">
      <c r="A781" s="48">
        <v>16432</v>
      </c>
      <c r="B781" s="25" t="s">
        <v>413</v>
      </c>
      <c r="C781" s="48" t="s">
        <v>369</v>
      </c>
    </row>
    <row r="782" spans="1:3">
      <c r="A782" s="48">
        <v>16433</v>
      </c>
      <c r="B782" s="25" t="s">
        <v>413</v>
      </c>
      <c r="C782" s="48" t="s">
        <v>369</v>
      </c>
    </row>
    <row r="783" spans="1:3">
      <c r="A783" s="48">
        <v>16434</v>
      </c>
      <c r="B783" s="25" t="s">
        <v>413</v>
      </c>
      <c r="C783" s="48" t="s">
        <v>369</v>
      </c>
    </row>
    <row r="784" spans="1:3">
      <c r="A784" s="48">
        <v>16435</v>
      </c>
      <c r="B784" s="25" t="s">
        <v>413</v>
      </c>
      <c r="C784" s="48" t="s">
        <v>369</v>
      </c>
    </row>
    <row r="785" spans="1:3">
      <c r="A785" s="48">
        <v>16436</v>
      </c>
      <c r="B785" s="25" t="s">
        <v>413</v>
      </c>
      <c r="C785" s="48" t="s">
        <v>369</v>
      </c>
    </row>
    <row r="786" spans="1:3">
      <c r="A786" s="48">
        <v>16438</v>
      </c>
      <c r="B786" s="25" t="s">
        <v>413</v>
      </c>
      <c r="C786" s="48" t="s">
        <v>369</v>
      </c>
    </row>
    <row r="787" spans="1:3">
      <c r="A787" s="48">
        <v>16440</v>
      </c>
      <c r="B787" s="25" t="s">
        <v>413</v>
      </c>
      <c r="C787" s="48" t="s">
        <v>369</v>
      </c>
    </row>
    <row r="788" spans="1:3">
      <c r="A788" s="48">
        <v>16441</v>
      </c>
      <c r="B788" s="25" t="s">
        <v>413</v>
      </c>
      <c r="C788" s="48" t="s">
        <v>369</v>
      </c>
    </row>
    <row r="789" spans="1:3">
      <c r="A789" s="48">
        <v>16442</v>
      </c>
      <c r="B789" s="25" t="s">
        <v>413</v>
      </c>
      <c r="C789" s="48" t="s">
        <v>369</v>
      </c>
    </row>
    <row r="790" spans="1:3">
      <c r="A790" s="48">
        <v>16443</v>
      </c>
      <c r="B790" s="25" t="s">
        <v>413</v>
      </c>
      <c r="C790" s="48" t="s">
        <v>369</v>
      </c>
    </row>
    <row r="791" spans="1:3">
      <c r="A791" s="48">
        <v>16444</v>
      </c>
      <c r="B791" s="25" t="s">
        <v>413</v>
      </c>
      <c r="C791" s="48" t="s">
        <v>369</v>
      </c>
    </row>
    <row r="792" spans="1:3">
      <c r="A792" s="48">
        <v>16475</v>
      </c>
      <c r="B792" s="25" t="s">
        <v>413</v>
      </c>
      <c r="C792" s="48" t="s">
        <v>369</v>
      </c>
    </row>
    <row r="793" spans="1:3">
      <c r="A793" s="48">
        <v>16501</v>
      </c>
      <c r="B793" s="25" t="s">
        <v>413</v>
      </c>
      <c r="C793" s="48" t="s">
        <v>369</v>
      </c>
    </row>
    <row r="794" spans="1:3">
      <c r="A794" s="48">
        <v>16502</v>
      </c>
      <c r="B794" s="25" t="s">
        <v>413</v>
      </c>
      <c r="C794" s="48" t="s">
        <v>369</v>
      </c>
    </row>
    <row r="795" spans="1:3">
      <c r="A795" s="48">
        <v>16503</v>
      </c>
      <c r="B795" s="25" t="s">
        <v>413</v>
      </c>
      <c r="C795" s="48" t="s">
        <v>369</v>
      </c>
    </row>
    <row r="796" spans="1:3">
      <c r="A796" s="48">
        <v>16504</v>
      </c>
      <c r="B796" s="25" t="s">
        <v>413</v>
      </c>
      <c r="C796" s="48" t="s">
        <v>369</v>
      </c>
    </row>
    <row r="797" spans="1:3">
      <c r="A797" s="48">
        <v>16505</v>
      </c>
      <c r="B797" s="25" t="s">
        <v>413</v>
      </c>
      <c r="C797" s="48" t="s">
        <v>369</v>
      </c>
    </row>
    <row r="798" spans="1:3">
      <c r="A798" s="48">
        <v>16506</v>
      </c>
      <c r="B798" s="25" t="s">
        <v>413</v>
      </c>
      <c r="C798" s="48" t="s">
        <v>369</v>
      </c>
    </row>
    <row r="799" spans="1:3">
      <c r="A799" s="48">
        <v>16507</v>
      </c>
      <c r="B799" s="25" t="s">
        <v>413</v>
      </c>
      <c r="C799" s="48" t="s">
        <v>369</v>
      </c>
    </row>
    <row r="800" spans="1:3">
      <c r="A800" s="48">
        <v>16508</v>
      </c>
      <c r="B800" s="25" t="s">
        <v>413</v>
      </c>
      <c r="C800" s="48" t="s">
        <v>369</v>
      </c>
    </row>
    <row r="801" spans="1:3">
      <c r="A801" s="48">
        <v>16509</v>
      </c>
      <c r="B801" s="25" t="s">
        <v>413</v>
      </c>
      <c r="C801" s="48" t="s">
        <v>369</v>
      </c>
    </row>
    <row r="802" spans="1:3">
      <c r="A802" s="48">
        <v>16510</v>
      </c>
      <c r="B802" s="25" t="s">
        <v>413</v>
      </c>
      <c r="C802" s="48" t="s">
        <v>369</v>
      </c>
    </row>
    <row r="803" spans="1:3">
      <c r="A803" s="48">
        <v>16511</v>
      </c>
      <c r="B803" s="25" t="s">
        <v>413</v>
      </c>
      <c r="C803" s="48" t="s">
        <v>369</v>
      </c>
    </row>
    <row r="804" spans="1:3">
      <c r="A804" s="48">
        <v>16512</v>
      </c>
      <c r="B804" s="25" t="s">
        <v>413</v>
      </c>
      <c r="C804" s="48" t="s">
        <v>369</v>
      </c>
    </row>
    <row r="805" spans="1:3">
      <c r="A805" s="48">
        <v>16514</v>
      </c>
      <c r="B805" s="25" t="s">
        <v>413</v>
      </c>
      <c r="C805" s="48" t="s">
        <v>369</v>
      </c>
    </row>
    <row r="806" spans="1:3">
      <c r="A806" s="48">
        <v>16515</v>
      </c>
      <c r="B806" s="25" t="s">
        <v>413</v>
      </c>
      <c r="C806" s="48" t="s">
        <v>369</v>
      </c>
    </row>
    <row r="807" spans="1:3">
      <c r="A807" s="48">
        <v>16522</v>
      </c>
      <c r="B807" s="25" t="s">
        <v>413</v>
      </c>
      <c r="C807" s="48" t="s">
        <v>369</v>
      </c>
    </row>
    <row r="808" spans="1:3">
      <c r="A808" s="48">
        <v>16530</v>
      </c>
      <c r="B808" s="25" t="s">
        <v>413</v>
      </c>
      <c r="C808" s="48" t="s">
        <v>369</v>
      </c>
    </row>
    <row r="809" spans="1:3">
      <c r="A809" s="48">
        <v>16531</v>
      </c>
      <c r="B809" s="25" t="s">
        <v>413</v>
      </c>
      <c r="C809" s="48" t="s">
        <v>369</v>
      </c>
    </row>
    <row r="810" spans="1:3">
      <c r="A810" s="48">
        <v>16532</v>
      </c>
      <c r="B810" s="25" t="s">
        <v>413</v>
      </c>
      <c r="C810" s="48" t="s">
        <v>369</v>
      </c>
    </row>
    <row r="811" spans="1:3">
      <c r="A811" s="48">
        <v>16533</v>
      </c>
      <c r="B811" s="25" t="s">
        <v>413</v>
      </c>
      <c r="C811" s="48" t="s">
        <v>369</v>
      </c>
    </row>
    <row r="812" spans="1:3">
      <c r="A812" s="48">
        <v>16534</v>
      </c>
      <c r="B812" s="25" t="s">
        <v>413</v>
      </c>
      <c r="C812" s="48" t="s">
        <v>369</v>
      </c>
    </row>
    <row r="813" spans="1:3">
      <c r="A813" s="48">
        <v>16538</v>
      </c>
      <c r="B813" s="25" t="s">
        <v>413</v>
      </c>
      <c r="C813" s="48" t="s">
        <v>369</v>
      </c>
    </row>
    <row r="814" spans="1:3">
      <c r="A814" s="48">
        <v>16541</v>
      </c>
      <c r="B814" s="25" t="s">
        <v>413</v>
      </c>
      <c r="C814" s="48" t="s">
        <v>369</v>
      </c>
    </row>
    <row r="815" spans="1:3">
      <c r="A815" s="48">
        <v>16544</v>
      </c>
      <c r="B815" s="25" t="s">
        <v>413</v>
      </c>
      <c r="C815" s="48" t="s">
        <v>369</v>
      </c>
    </row>
    <row r="816" spans="1:3">
      <c r="A816" s="48">
        <v>16546</v>
      </c>
      <c r="B816" s="25" t="s">
        <v>413</v>
      </c>
      <c r="C816" s="48" t="s">
        <v>369</v>
      </c>
    </row>
    <row r="817" spans="1:3">
      <c r="A817" s="48">
        <v>16550</v>
      </c>
      <c r="B817" s="25" t="s">
        <v>413</v>
      </c>
      <c r="C817" s="48" t="s">
        <v>369</v>
      </c>
    </row>
    <row r="818" spans="1:3">
      <c r="A818" s="48">
        <v>16553</v>
      </c>
      <c r="B818" s="25" t="s">
        <v>413</v>
      </c>
      <c r="C818" s="48" t="s">
        <v>369</v>
      </c>
    </row>
    <row r="819" spans="1:3">
      <c r="A819" s="48">
        <v>16554</v>
      </c>
      <c r="B819" s="25" t="s">
        <v>413</v>
      </c>
      <c r="C819" s="48" t="s">
        <v>369</v>
      </c>
    </row>
    <row r="820" spans="1:3">
      <c r="A820" s="48">
        <v>16563</v>
      </c>
      <c r="B820" s="25" t="s">
        <v>413</v>
      </c>
      <c r="C820" s="48" t="s">
        <v>369</v>
      </c>
    </row>
    <row r="821" spans="1:3">
      <c r="A821" s="48">
        <v>16565</v>
      </c>
      <c r="B821" s="25" t="s">
        <v>413</v>
      </c>
      <c r="C821" s="48" t="s">
        <v>369</v>
      </c>
    </row>
    <row r="822" spans="1:3">
      <c r="A822" s="48">
        <v>16601</v>
      </c>
      <c r="B822" s="25" t="s">
        <v>411</v>
      </c>
      <c r="C822" s="48" t="s">
        <v>372</v>
      </c>
    </row>
    <row r="823" spans="1:3">
      <c r="A823" s="48">
        <v>16602</v>
      </c>
      <c r="B823" s="25" t="s">
        <v>411</v>
      </c>
      <c r="C823" s="48" t="s">
        <v>372</v>
      </c>
    </row>
    <row r="824" spans="1:3">
      <c r="A824" s="48">
        <v>16603</v>
      </c>
      <c r="B824" s="25" t="s">
        <v>411</v>
      </c>
      <c r="C824" s="48" t="s">
        <v>372</v>
      </c>
    </row>
    <row r="825" spans="1:3">
      <c r="A825" s="48">
        <v>16611</v>
      </c>
      <c r="B825" s="25" t="s">
        <v>415</v>
      </c>
      <c r="C825" s="48" t="s">
        <v>374</v>
      </c>
    </row>
    <row r="826" spans="1:3">
      <c r="A826" s="48">
        <v>16613</v>
      </c>
      <c r="B826" s="25" t="s">
        <v>411</v>
      </c>
      <c r="C826" s="48" t="s">
        <v>372</v>
      </c>
    </row>
    <row r="827" spans="1:3">
      <c r="A827" s="48">
        <v>16616</v>
      </c>
      <c r="B827" s="25" t="s">
        <v>414</v>
      </c>
      <c r="C827" s="48" t="s">
        <v>368</v>
      </c>
    </row>
    <row r="828" spans="1:3">
      <c r="A828" s="48">
        <v>16617</v>
      </c>
      <c r="B828" s="25" t="s">
        <v>411</v>
      </c>
      <c r="C828" s="48" t="s">
        <v>372</v>
      </c>
    </row>
    <row r="829" spans="1:3">
      <c r="A829" s="48">
        <v>16619</v>
      </c>
      <c r="B829" s="25" t="s">
        <v>411</v>
      </c>
      <c r="C829" s="48" t="s">
        <v>372</v>
      </c>
    </row>
    <row r="830" spans="1:3">
      <c r="A830" s="48">
        <v>16620</v>
      </c>
      <c r="B830" s="25" t="s">
        <v>414</v>
      </c>
      <c r="C830" s="48" t="s">
        <v>368</v>
      </c>
    </row>
    <row r="831" spans="1:3">
      <c r="A831" s="48">
        <v>16621</v>
      </c>
      <c r="B831" s="25" t="s">
        <v>415</v>
      </c>
      <c r="C831" s="48" t="s">
        <v>374</v>
      </c>
    </row>
    <row r="832" spans="1:3">
      <c r="A832" s="48">
        <v>16622</v>
      </c>
      <c r="B832" s="25" t="s">
        <v>415</v>
      </c>
      <c r="C832" s="48" t="s">
        <v>374</v>
      </c>
    </row>
    <row r="833" spans="1:3">
      <c r="A833" s="48">
        <v>16623</v>
      </c>
      <c r="B833" s="25" t="s">
        <v>415</v>
      </c>
      <c r="C833" s="48" t="s">
        <v>374</v>
      </c>
    </row>
    <row r="834" spans="1:3">
      <c r="A834" s="48">
        <v>16624</v>
      </c>
      <c r="B834" s="25" t="s">
        <v>411</v>
      </c>
      <c r="C834" s="48" t="s">
        <v>372</v>
      </c>
    </row>
    <row r="835" spans="1:3">
      <c r="A835" s="48">
        <v>16625</v>
      </c>
      <c r="B835" s="25" t="s">
        <v>411</v>
      </c>
      <c r="C835" s="48" t="s">
        <v>372</v>
      </c>
    </row>
    <row r="836" spans="1:3">
      <c r="A836" s="48">
        <v>16627</v>
      </c>
      <c r="B836" s="25" t="s">
        <v>414</v>
      </c>
      <c r="C836" s="48" t="s">
        <v>368</v>
      </c>
    </row>
    <row r="837" spans="1:3">
      <c r="A837" s="48">
        <v>16629</v>
      </c>
      <c r="B837" s="25" t="s">
        <v>411</v>
      </c>
      <c r="C837" s="48" t="s">
        <v>372</v>
      </c>
    </row>
    <row r="838" spans="1:3">
      <c r="A838" s="48">
        <v>16630</v>
      </c>
      <c r="B838" s="25" t="s">
        <v>411</v>
      </c>
      <c r="C838" s="48" t="s">
        <v>372</v>
      </c>
    </row>
    <row r="839" spans="1:3">
      <c r="A839" s="48">
        <v>16631</v>
      </c>
      <c r="B839" s="25" t="s">
        <v>411</v>
      </c>
      <c r="C839" s="48" t="s">
        <v>372</v>
      </c>
    </row>
    <row r="840" spans="1:3">
      <c r="A840" s="48">
        <v>16633</v>
      </c>
      <c r="B840" s="25" t="s">
        <v>411</v>
      </c>
      <c r="C840" s="48" t="s">
        <v>372</v>
      </c>
    </row>
    <row r="841" spans="1:3">
      <c r="A841" s="48">
        <v>16634</v>
      </c>
      <c r="B841" s="25" t="s">
        <v>415</v>
      </c>
      <c r="C841" s="48" t="s">
        <v>374</v>
      </c>
    </row>
    <row r="842" spans="1:3">
      <c r="A842" s="48">
        <v>16635</v>
      </c>
      <c r="B842" s="25" t="s">
        <v>411</v>
      </c>
      <c r="C842" s="48" t="s">
        <v>372</v>
      </c>
    </row>
    <row r="843" spans="1:3">
      <c r="A843" s="48">
        <v>16636</v>
      </c>
      <c r="B843" s="25" t="s">
        <v>411</v>
      </c>
      <c r="C843" s="48" t="s">
        <v>372</v>
      </c>
    </row>
    <row r="844" spans="1:3">
      <c r="A844" s="48">
        <v>16637</v>
      </c>
      <c r="B844" s="25" t="s">
        <v>411</v>
      </c>
      <c r="C844" s="48" t="s">
        <v>372</v>
      </c>
    </row>
    <row r="845" spans="1:3">
      <c r="A845" s="48">
        <v>16638</v>
      </c>
      <c r="B845" s="25" t="s">
        <v>415</v>
      </c>
      <c r="C845" s="48" t="s">
        <v>374</v>
      </c>
    </row>
    <row r="846" spans="1:3">
      <c r="A846" s="48">
        <v>16639</v>
      </c>
      <c r="B846" s="25" t="s">
        <v>411</v>
      </c>
      <c r="C846" s="48" t="s">
        <v>372</v>
      </c>
    </row>
    <row r="847" spans="1:3">
      <c r="A847" s="48">
        <v>16640</v>
      </c>
      <c r="B847" s="25" t="s">
        <v>411</v>
      </c>
      <c r="C847" s="48" t="s">
        <v>372</v>
      </c>
    </row>
    <row r="848" spans="1:3">
      <c r="A848" s="48">
        <v>16641</v>
      </c>
      <c r="B848" s="25" t="s">
        <v>411</v>
      </c>
      <c r="C848" s="48" t="s">
        <v>372</v>
      </c>
    </row>
    <row r="849" spans="1:3">
      <c r="A849" s="48">
        <v>16644</v>
      </c>
      <c r="B849" s="25" t="s">
        <v>411</v>
      </c>
      <c r="C849" s="48" t="s">
        <v>372</v>
      </c>
    </row>
    <row r="850" spans="1:3">
      <c r="A850" s="48">
        <v>16645</v>
      </c>
      <c r="B850" s="25" t="s">
        <v>414</v>
      </c>
      <c r="C850" s="48" t="s">
        <v>368</v>
      </c>
    </row>
    <row r="851" spans="1:3">
      <c r="A851" s="48">
        <v>16646</v>
      </c>
      <c r="B851" s="25" t="s">
        <v>411</v>
      </c>
      <c r="C851" s="48" t="s">
        <v>372</v>
      </c>
    </row>
    <row r="852" spans="1:3">
      <c r="A852" s="48">
        <v>16647</v>
      </c>
      <c r="B852" s="25" t="s">
        <v>415</v>
      </c>
      <c r="C852" s="48" t="s">
        <v>374</v>
      </c>
    </row>
    <row r="853" spans="1:3">
      <c r="A853" s="48">
        <v>16648</v>
      </c>
      <c r="B853" s="25" t="s">
        <v>411</v>
      </c>
      <c r="C853" s="48" t="s">
        <v>372</v>
      </c>
    </row>
    <row r="854" spans="1:3">
      <c r="A854" s="48">
        <v>16650</v>
      </c>
      <c r="B854" s="25" t="s">
        <v>411</v>
      </c>
      <c r="C854" s="48" t="s">
        <v>372</v>
      </c>
    </row>
    <row r="855" spans="1:3">
      <c r="A855" s="48">
        <v>16651</v>
      </c>
      <c r="B855" s="25" t="s">
        <v>414</v>
      </c>
      <c r="C855" s="48" t="s">
        <v>368</v>
      </c>
    </row>
    <row r="856" spans="1:3">
      <c r="A856" s="48">
        <v>16652</v>
      </c>
      <c r="B856" s="25" t="s">
        <v>415</v>
      </c>
      <c r="C856" s="48" t="s">
        <v>374</v>
      </c>
    </row>
    <row r="857" spans="1:3">
      <c r="A857" s="48">
        <v>16654</v>
      </c>
      <c r="B857" s="25" t="s">
        <v>415</v>
      </c>
      <c r="C857" s="48" t="s">
        <v>374</v>
      </c>
    </row>
    <row r="858" spans="1:3">
      <c r="A858" s="48">
        <v>16655</v>
      </c>
      <c r="B858" s="25" t="s">
        <v>411</v>
      </c>
      <c r="C858" s="48" t="s">
        <v>372</v>
      </c>
    </row>
    <row r="859" spans="1:3">
      <c r="A859" s="48">
        <v>16656</v>
      </c>
      <c r="B859" s="25" t="s">
        <v>414</v>
      </c>
      <c r="C859" s="48" t="s">
        <v>368</v>
      </c>
    </row>
    <row r="860" spans="1:3">
      <c r="A860" s="48">
        <v>16657</v>
      </c>
      <c r="B860" s="25" t="s">
        <v>415</v>
      </c>
      <c r="C860" s="48" t="s">
        <v>374</v>
      </c>
    </row>
    <row r="861" spans="1:3">
      <c r="A861" s="48">
        <v>16659</v>
      </c>
      <c r="B861" s="25" t="s">
        <v>411</v>
      </c>
      <c r="C861" s="48" t="s">
        <v>372</v>
      </c>
    </row>
    <row r="862" spans="1:3">
      <c r="A862" s="48">
        <v>16660</v>
      </c>
      <c r="B862" s="25" t="s">
        <v>411</v>
      </c>
      <c r="C862" s="48" t="s">
        <v>372</v>
      </c>
    </row>
    <row r="863" spans="1:3">
      <c r="A863" s="48">
        <v>16661</v>
      </c>
      <c r="B863" s="25" t="s">
        <v>414</v>
      </c>
      <c r="C863" s="48" t="s">
        <v>368</v>
      </c>
    </row>
    <row r="864" spans="1:3">
      <c r="A864" s="48">
        <v>16662</v>
      </c>
      <c r="B864" s="25" t="s">
        <v>411</v>
      </c>
      <c r="C864" s="48" t="s">
        <v>372</v>
      </c>
    </row>
    <row r="865" spans="1:3">
      <c r="A865" s="48">
        <v>16663</v>
      </c>
      <c r="B865" s="25" t="s">
        <v>414</v>
      </c>
      <c r="C865" s="48" t="s">
        <v>368</v>
      </c>
    </row>
    <row r="866" spans="1:3">
      <c r="A866" s="48">
        <v>16664</v>
      </c>
      <c r="B866" s="25" t="s">
        <v>411</v>
      </c>
      <c r="C866" s="48" t="s">
        <v>372</v>
      </c>
    </row>
    <row r="867" spans="1:3">
      <c r="A867" s="48">
        <v>16665</v>
      </c>
      <c r="B867" s="25" t="s">
        <v>411</v>
      </c>
      <c r="C867" s="48" t="s">
        <v>372</v>
      </c>
    </row>
    <row r="868" spans="1:3">
      <c r="A868" s="48">
        <v>16666</v>
      </c>
      <c r="B868" s="25" t="s">
        <v>414</v>
      </c>
      <c r="C868" s="48" t="s">
        <v>368</v>
      </c>
    </row>
    <row r="869" spans="1:3">
      <c r="A869" s="48">
        <v>16667</v>
      </c>
      <c r="B869" s="25" t="s">
        <v>411</v>
      </c>
      <c r="C869" s="48" t="s">
        <v>372</v>
      </c>
    </row>
    <row r="870" spans="1:3">
      <c r="A870" s="48">
        <v>16668</v>
      </c>
      <c r="B870" s="25" t="s">
        <v>411</v>
      </c>
      <c r="C870" s="48" t="s">
        <v>372</v>
      </c>
    </row>
    <row r="871" spans="1:3">
      <c r="A871" s="48">
        <v>16669</v>
      </c>
      <c r="B871" s="25" t="s">
        <v>415</v>
      </c>
      <c r="C871" s="48" t="s">
        <v>374</v>
      </c>
    </row>
    <row r="872" spans="1:3">
      <c r="A872" s="48">
        <v>16670</v>
      </c>
      <c r="B872" s="25" t="s">
        <v>411</v>
      </c>
      <c r="C872" s="48" t="s">
        <v>372</v>
      </c>
    </row>
    <row r="873" spans="1:3">
      <c r="A873" s="48">
        <v>16671</v>
      </c>
      <c r="B873" s="25" t="s">
        <v>414</v>
      </c>
      <c r="C873" s="48" t="s">
        <v>368</v>
      </c>
    </row>
    <row r="874" spans="1:3">
      <c r="A874" s="48">
        <v>16672</v>
      </c>
      <c r="B874" s="25" t="s">
        <v>411</v>
      </c>
      <c r="C874" s="48" t="s">
        <v>372</v>
      </c>
    </row>
    <row r="875" spans="1:3">
      <c r="A875" s="48">
        <v>16673</v>
      </c>
      <c r="B875" s="25" t="s">
        <v>411</v>
      </c>
      <c r="C875" s="48" t="s">
        <v>372</v>
      </c>
    </row>
    <row r="876" spans="1:3">
      <c r="A876" s="48">
        <v>16674</v>
      </c>
      <c r="B876" s="25" t="s">
        <v>415</v>
      </c>
      <c r="C876" s="48" t="s">
        <v>374</v>
      </c>
    </row>
    <row r="877" spans="1:3">
      <c r="A877" s="48">
        <v>16675</v>
      </c>
      <c r="B877" s="25" t="s">
        <v>411</v>
      </c>
      <c r="C877" s="48" t="s">
        <v>372</v>
      </c>
    </row>
    <row r="878" spans="1:3">
      <c r="A878" s="48">
        <v>16677</v>
      </c>
      <c r="B878" s="25" t="s">
        <v>415</v>
      </c>
      <c r="C878" s="48" t="s">
        <v>374</v>
      </c>
    </row>
    <row r="879" spans="1:3">
      <c r="A879" s="48">
        <v>16678</v>
      </c>
      <c r="B879" s="25" t="s">
        <v>411</v>
      </c>
      <c r="C879" s="48" t="s">
        <v>372</v>
      </c>
    </row>
    <row r="880" spans="1:3">
      <c r="A880" s="48">
        <v>16679</v>
      </c>
      <c r="B880" s="25" t="s">
        <v>411</v>
      </c>
      <c r="C880" s="48" t="s">
        <v>372</v>
      </c>
    </row>
    <row r="881" spans="1:3">
      <c r="A881" s="48">
        <v>16680</v>
      </c>
      <c r="B881" s="25" t="s">
        <v>414</v>
      </c>
      <c r="C881" s="48" t="s">
        <v>368</v>
      </c>
    </row>
    <row r="882" spans="1:3">
      <c r="A882" s="48">
        <v>16681</v>
      </c>
      <c r="B882" s="25" t="s">
        <v>414</v>
      </c>
      <c r="C882" s="48" t="s">
        <v>368</v>
      </c>
    </row>
    <row r="883" spans="1:3">
      <c r="A883" s="48">
        <v>16682</v>
      </c>
      <c r="B883" s="25" t="s">
        <v>411</v>
      </c>
      <c r="C883" s="48" t="s">
        <v>372</v>
      </c>
    </row>
    <row r="884" spans="1:3">
      <c r="A884" s="48">
        <v>16683</v>
      </c>
      <c r="B884" s="25" t="s">
        <v>415</v>
      </c>
      <c r="C884" s="48" t="s">
        <v>374</v>
      </c>
    </row>
    <row r="885" spans="1:3">
      <c r="A885" s="48">
        <v>16684</v>
      </c>
      <c r="B885" s="25" t="s">
        <v>414</v>
      </c>
      <c r="C885" s="48" t="s">
        <v>368</v>
      </c>
    </row>
    <row r="886" spans="1:3">
      <c r="A886" s="48">
        <v>16685</v>
      </c>
      <c r="B886" s="25" t="s">
        <v>415</v>
      </c>
      <c r="C886" s="48" t="s">
        <v>374</v>
      </c>
    </row>
    <row r="887" spans="1:3">
      <c r="A887" s="48">
        <v>16686</v>
      </c>
      <c r="B887" s="25" t="s">
        <v>411</v>
      </c>
      <c r="C887" s="48" t="s">
        <v>372</v>
      </c>
    </row>
    <row r="888" spans="1:3">
      <c r="A888" s="48">
        <v>16689</v>
      </c>
      <c r="B888" s="25" t="s">
        <v>412</v>
      </c>
      <c r="C888" s="48" t="s">
        <v>370</v>
      </c>
    </row>
    <row r="889" spans="1:3">
      <c r="A889" s="48">
        <v>16691</v>
      </c>
      <c r="B889" s="25" t="s">
        <v>412</v>
      </c>
      <c r="C889" s="48" t="s">
        <v>370</v>
      </c>
    </row>
    <row r="890" spans="1:3">
      <c r="A890" s="48">
        <v>16692</v>
      </c>
      <c r="B890" s="25" t="s">
        <v>414</v>
      </c>
      <c r="C890" s="48" t="s">
        <v>368</v>
      </c>
    </row>
    <row r="891" spans="1:3">
      <c r="A891" s="48">
        <v>16693</v>
      </c>
      <c r="B891" s="25" t="s">
        <v>411</v>
      </c>
      <c r="C891" s="48" t="s">
        <v>372</v>
      </c>
    </row>
    <row r="892" spans="1:3">
      <c r="A892" s="48">
        <v>16694</v>
      </c>
      <c r="B892" s="25" t="s">
        <v>415</v>
      </c>
      <c r="C892" s="48" t="s">
        <v>374</v>
      </c>
    </row>
    <row r="893" spans="1:3">
      <c r="A893" s="48">
        <v>16695</v>
      </c>
      <c r="B893" s="25" t="s">
        <v>411</v>
      </c>
      <c r="C893" s="48" t="s">
        <v>372</v>
      </c>
    </row>
    <row r="894" spans="1:3">
      <c r="A894" s="48">
        <v>16698</v>
      </c>
      <c r="B894" s="25" t="s">
        <v>414</v>
      </c>
      <c r="C894" s="48" t="s">
        <v>368</v>
      </c>
    </row>
    <row r="895" spans="1:3">
      <c r="A895" s="48">
        <v>16699</v>
      </c>
      <c r="B895" s="25" t="s">
        <v>411</v>
      </c>
      <c r="C895" s="48" t="s">
        <v>372</v>
      </c>
    </row>
    <row r="896" spans="1:3">
      <c r="A896" s="48">
        <v>16701</v>
      </c>
      <c r="B896" s="25" t="s">
        <v>414</v>
      </c>
      <c r="C896" s="48" t="s">
        <v>368</v>
      </c>
    </row>
    <row r="897" spans="1:3">
      <c r="A897" s="48">
        <v>16720</v>
      </c>
      <c r="B897" s="25" t="s">
        <v>414</v>
      </c>
      <c r="C897" s="48" t="s">
        <v>368</v>
      </c>
    </row>
    <row r="898" spans="1:3">
      <c r="A898" s="48">
        <v>16724</v>
      </c>
      <c r="B898" s="25" t="s">
        <v>414</v>
      </c>
      <c r="C898" s="48" t="s">
        <v>368</v>
      </c>
    </row>
    <row r="899" spans="1:3">
      <c r="A899" s="48">
        <v>16725</v>
      </c>
      <c r="B899" s="25" t="s">
        <v>414</v>
      </c>
      <c r="C899" s="48" t="s">
        <v>368</v>
      </c>
    </row>
    <row r="900" spans="1:3">
      <c r="A900" s="48">
        <v>16726</v>
      </c>
      <c r="B900" s="25" t="s">
        <v>414</v>
      </c>
      <c r="C900" s="48" t="s">
        <v>368</v>
      </c>
    </row>
    <row r="901" spans="1:3">
      <c r="A901" s="48">
        <v>16727</v>
      </c>
      <c r="B901" s="25" t="s">
        <v>414</v>
      </c>
      <c r="C901" s="48" t="s">
        <v>368</v>
      </c>
    </row>
    <row r="902" spans="1:3">
      <c r="A902" s="48">
        <v>16728</v>
      </c>
      <c r="B902" s="25" t="s">
        <v>414</v>
      </c>
      <c r="C902" s="48" t="s">
        <v>368</v>
      </c>
    </row>
    <row r="903" spans="1:3">
      <c r="A903" s="48">
        <v>16729</v>
      </c>
      <c r="B903" s="25" t="s">
        <v>414</v>
      </c>
      <c r="C903" s="48" t="s">
        <v>368</v>
      </c>
    </row>
    <row r="904" spans="1:3">
      <c r="A904" s="48">
        <v>16730</v>
      </c>
      <c r="B904" s="25" t="s">
        <v>414</v>
      </c>
      <c r="C904" s="48" t="s">
        <v>368</v>
      </c>
    </row>
    <row r="905" spans="1:3">
      <c r="A905" s="48">
        <v>16731</v>
      </c>
      <c r="B905" s="25" t="s">
        <v>414</v>
      </c>
      <c r="C905" s="48" t="s">
        <v>368</v>
      </c>
    </row>
    <row r="906" spans="1:3">
      <c r="A906" s="48">
        <v>16732</v>
      </c>
      <c r="B906" s="25" t="s">
        <v>414</v>
      </c>
      <c r="C906" s="48" t="s">
        <v>368</v>
      </c>
    </row>
    <row r="907" spans="1:3">
      <c r="A907" s="48">
        <v>16733</v>
      </c>
      <c r="B907" s="25" t="s">
        <v>414</v>
      </c>
      <c r="C907" s="48" t="s">
        <v>368</v>
      </c>
    </row>
    <row r="908" spans="1:3">
      <c r="A908" s="48">
        <v>16734</v>
      </c>
      <c r="B908" s="25" t="s">
        <v>414</v>
      </c>
      <c r="C908" s="48" t="s">
        <v>368</v>
      </c>
    </row>
    <row r="909" spans="1:3">
      <c r="A909" s="48">
        <v>16735</v>
      </c>
      <c r="B909" s="25" t="s">
        <v>414</v>
      </c>
      <c r="C909" s="48" t="s">
        <v>368</v>
      </c>
    </row>
    <row r="910" spans="1:3">
      <c r="A910" s="48">
        <v>16738</v>
      </c>
      <c r="B910" s="25" t="s">
        <v>414</v>
      </c>
      <c r="C910" s="48" t="s">
        <v>368</v>
      </c>
    </row>
    <row r="911" spans="1:3">
      <c r="A911" s="48">
        <v>16740</v>
      </c>
      <c r="B911" s="25" t="s">
        <v>414</v>
      </c>
      <c r="C911" s="48" t="s">
        <v>368</v>
      </c>
    </row>
    <row r="912" spans="1:3">
      <c r="A912" s="48">
        <v>16743</v>
      </c>
      <c r="B912" s="25" t="s">
        <v>414</v>
      </c>
      <c r="C912" s="48" t="s">
        <v>368</v>
      </c>
    </row>
    <row r="913" spans="1:3">
      <c r="A913" s="48">
        <v>16744</v>
      </c>
      <c r="B913" s="25" t="s">
        <v>414</v>
      </c>
      <c r="C913" s="48" t="s">
        <v>368</v>
      </c>
    </row>
    <row r="914" spans="1:3">
      <c r="A914" s="48">
        <v>16745</v>
      </c>
      <c r="B914" s="25" t="s">
        <v>414</v>
      </c>
      <c r="C914" s="48" t="s">
        <v>368</v>
      </c>
    </row>
    <row r="915" spans="1:3">
      <c r="A915" s="48">
        <v>16746</v>
      </c>
      <c r="B915" s="25" t="s">
        <v>414</v>
      </c>
      <c r="C915" s="48" t="s">
        <v>368</v>
      </c>
    </row>
    <row r="916" spans="1:3">
      <c r="A916" s="48">
        <v>16748</v>
      </c>
      <c r="B916" s="25" t="s">
        <v>414</v>
      </c>
      <c r="C916" s="48" t="s">
        <v>368</v>
      </c>
    </row>
    <row r="917" spans="1:3">
      <c r="A917" s="48">
        <v>16749</v>
      </c>
      <c r="B917" s="25" t="s">
        <v>414</v>
      </c>
      <c r="C917" s="48" t="s">
        <v>368</v>
      </c>
    </row>
    <row r="918" spans="1:3">
      <c r="A918" s="48">
        <v>16750</v>
      </c>
      <c r="B918" s="25" t="s">
        <v>414</v>
      </c>
      <c r="C918" s="48" t="s">
        <v>368</v>
      </c>
    </row>
    <row r="919" spans="1:3">
      <c r="A919" s="48">
        <v>16801</v>
      </c>
      <c r="B919" s="25" t="s">
        <v>415</v>
      </c>
      <c r="C919" s="48" t="s">
        <v>374</v>
      </c>
    </row>
    <row r="920" spans="1:3">
      <c r="A920" s="48">
        <v>16802</v>
      </c>
      <c r="B920" s="25" t="s">
        <v>415</v>
      </c>
      <c r="C920" s="48" t="s">
        <v>374</v>
      </c>
    </row>
    <row r="921" spans="1:3">
      <c r="A921" s="48">
        <v>16803</v>
      </c>
      <c r="B921" s="25" t="s">
        <v>415</v>
      </c>
      <c r="C921" s="48" t="s">
        <v>374</v>
      </c>
    </row>
    <row r="922" spans="1:3">
      <c r="A922" s="48">
        <v>16804</v>
      </c>
      <c r="B922" s="25" t="s">
        <v>415</v>
      </c>
      <c r="C922" s="48" t="s">
        <v>374</v>
      </c>
    </row>
    <row r="923" spans="1:3">
      <c r="A923" s="48">
        <v>16805</v>
      </c>
      <c r="B923" s="25" t="s">
        <v>415</v>
      </c>
      <c r="C923" s="48" t="s">
        <v>374</v>
      </c>
    </row>
    <row r="924" spans="1:3">
      <c r="A924" s="48">
        <v>16820</v>
      </c>
      <c r="B924" s="25" t="s">
        <v>415</v>
      </c>
      <c r="C924" s="48" t="s">
        <v>374</v>
      </c>
    </row>
    <row r="925" spans="1:3">
      <c r="A925" s="48">
        <v>16821</v>
      </c>
      <c r="B925" s="25" t="s">
        <v>414</v>
      </c>
      <c r="C925" s="48" t="s">
        <v>368</v>
      </c>
    </row>
    <row r="926" spans="1:3">
      <c r="A926" s="48">
        <v>16822</v>
      </c>
      <c r="B926" s="25" t="s">
        <v>415</v>
      </c>
      <c r="C926" s="48" t="s">
        <v>374</v>
      </c>
    </row>
    <row r="927" spans="1:3">
      <c r="A927" s="48">
        <v>16823</v>
      </c>
      <c r="B927" s="25" t="s">
        <v>415</v>
      </c>
      <c r="C927" s="48" t="s">
        <v>374</v>
      </c>
    </row>
    <row r="928" spans="1:3">
      <c r="A928" s="48">
        <v>16825</v>
      </c>
      <c r="B928" s="25" t="s">
        <v>414</v>
      </c>
      <c r="C928" s="48" t="s">
        <v>368</v>
      </c>
    </row>
    <row r="929" spans="1:3">
      <c r="A929" s="48">
        <v>16826</v>
      </c>
      <c r="B929" s="25" t="s">
        <v>415</v>
      </c>
      <c r="C929" s="48" t="s">
        <v>374</v>
      </c>
    </row>
    <row r="930" spans="1:3">
      <c r="A930" s="48">
        <v>16827</v>
      </c>
      <c r="B930" s="25" t="s">
        <v>415</v>
      </c>
      <c r="C930" s="48" t="s">
        <v>374</v>
      </c>
    </row>
    <row r="931" spans="1:3">
      <c r="A931" s="48">
        <v>16828</v>
      </c>
      <c r="B931" s="25" t="s">
        <v>415</v>
      </c>
      <c r="C931" s="48" t="s">
        <v>374</v>
      </c>
    </row>
    <row r="932" spans="1:3">
      <c r="A932" s="48">
        <v>16829</v>
      </c>
      <c r="B932" s="25" t="s">
        <v>415</v>
      </c>
      <c r="C932" s="48" t="s">
        <v>374</v>
      </c>
    </row>
    <row r="933" spans="1:3">
      <c r="A933" s="48">
        <v>16830</v>
      </c>
      <c r="B933" s="25" t="s">
        <v>414</v>
      </c>
      <c r="C933" s="48" t="s">
        <v>368</v>
      </c>
    </row>
    <row r="934" spans="1:3">
      <c r="A934" s="48">
        <v>16832</v>
      </c>
      <c r="B934" s="25" t="s">
        <v>415</v>
      </c>
      <c r="C934" s="48" t="s">
        <v>374</v>
      </c>
    </row>
    <row r="935" spans="1:3">
      <c r="A935" s="48">
        <v>16833</v>
      </c>
      <c r="B935" s="25" t="s">
        <v>414</v>
      </c>
      <c r="C935" s="48" t="s">
        <v>368</v>
      </c>
    </row>
    <row r="936" spans="1:3">
      <c r="A936" s="48">
        <v>16834</v>
      </c>
      <c r="B936" s="25" t="s">
        <v>414</v>
      </c>
      <c r="C936" s="48" t="s">
        <v>368</v>
      </c>
    </row>
    <row r="937" spans="1:3">
      <c r="A937" s="48">
        <v>16835</v>
      </c>
      <c r="B937" s="25" t="s">
        <v>415</v>
      </c>
      <c r="C937" s="48" t="s">
        <v>374</v>
      </c>
    </row>
    <row r="938" spans="1:3">
      <c r="A938" s="48">
        <v>16836</v>
      </c>
      <c r="B938" s="25" t="s">
        <v>414</v>
      </c>
      <c r="C938" s="48" t="s">
        <v>368</v>
      </c>
    </row>
    <row r="939" spans="1:3">
      <c r="A939" s="48">
        <v>16837</v>
      </c>
      <c r="B939" s="25" t="s">
        <v>414</v>
      </c>
      <c r="C939" s="48" t="s">
        <v>368</v>
      </c>
    </row>
    <row r="940" spans="1:3">
      <c r="A940" s="48">
        <v>16838</v>
      </c>
      <c r="B940" s="25" t="s">
        <v>414</v>
      </c>
      <c r="C940" s="48" t="s">
        <v>368</v>
      </c>
    </row>
    <row r="941" spans="1:3">
      <c r="A941" s="48">
        <v>16839</v>
      </c>
      <c r="B941" s="25" t="s">
        <v>414</v>
      </c>
      <c r="C941" s="48" t="s">
        <v>368</v>
      </c>
    </row>
    <row r="942" spans="1:3">
      <c r="A942" s="48">
        <v>16840</v>
      </c>
      <c r="B942" s="25" t="s">
        <v>414</v>
      </c>
      <c r="C942" s="48" t="s">
        <v>368</v>
      </c>
    </row>
    <row r="943" spans="1:3">
      <c r="A943" s="48">
        <v>16841</v>
      </c>
      <c r="B943" s="25" t="s">
        <v>415</v>
      </c>
      <c r="C943" s="48" t="s">
        <v>374</v>
      </c>
    </row>
    <row r="944" spans="1:3">
      <c r="A944" s="48">
        <v>16843</v>
      </c>
      <c r="B944" s="25" t="s">
        <v>414</v>
      </c>
      <c r="C944" s="48" t="s">
        <v>368</v>
      </c>
    </row>
    <row r="945" spans="1:3">
      <c r="A945" s="48">
        <v>16844</v>
      </c>
      <c r="B945" s="25" t="s">
        <v>415</v>
      </c>
      <c r="C945" s="48" t="s">
        <v>374</v>
      </c>
    </row>
    <row r="946" spans="1:3">
      <c r="A946" s="48">
        <v>16845</v>
      </c>
      <c r="B946" s="25" t="s">
        <v>414</v>
      </c>
      <c r="C946" s="48" t="s">
        <v>368</v>
      </c>
    </row>
    <row r="947" spans="1:3">
      <c r="A947" s="48">
        <v>16847</v>
      </c>
      <c r="B947" s="25" t="s">
        <v>414</v>
      </c>
      <c r="C947" s="48" t="s">
        <v>368</v>
      </c>
    </row>
    <row r="948" spans="1:3">
      <c r="A948" s="48">
        <v>16848</v>
      </c>
      <c r="B948" s="25" t="s">
        <v>415</v>
      </c>
      <c r="C948" s="48" t="s">
        <v>374</v>
      </c>
    </row>
    <row r="949" spans="1:3">
      <c r="A949" s="48">
        <v>16849</v>
      </c>
      <c r="B949" s="25" t="s">
        <v>414</v>
      </c>
      <c r="C949" s="48" t="s">
        <v>368</v>
      </c>
    </row>
    <row r="950" spans="1:3">
      <c r="A950" s="48">
        <v>16850</v>
      </c>
      <c r="B950" s="25" t="s">
        <v>414</v>
      </c>
      <c r="C950" s="48" t="s">
        <v>368</v>
      </c>
    </row>
    <row r="951" spans="1:3">
      <c r="A951" s="48">
        <v>16851</v>
      </c>
      <c r="B951" s="25" t="s">
        <v>415</v>
      </c>
      <c r="C951" s="48" t="s">
        <v>374</v>
      </c>
    </row>
    <row r="952" spans="1:3">
      <c r="A952" s="48">
        <v>16852</v>
      </c>
      <c r="B952" s="25" t="s">
        <v>415</v>
      </c>
      <c r="C952" s="48" t="s">
        <v>374</v>
      </c>
    </row>
    <row r="953" spans="1:3">
      <c r="A953" s="48">
        <v>16853</v>
      </c>
      <c r="B953" s="25" t="s">
        <v>415</v>
      </c>
      <c r="C953" s="48" t="s">
        <v>374</v>
      </c>
    </row>
    <row r="954" spans="1:3">
      <c r="A954" s="48">
        <v>16854</v>
      </c>
      <c r="B954" s="25" t="s">
        <v>415</v>
      </c>
      <c r="C954" s="48" t="s">
        <v>374</v>
      </c>
    </row>
    <row r="955" spans="1:3">
      <c r="A955" s="48">
        <v>16855</v>
      </c>
      <c r="B955" s="25" t="s">
        <v>414</v>
      </c>
      <c r="C955" s="48" t="s">
        <v>368</v>
      </c>
    </row>
    <row r="956" spans="1:3">
      <c r="A956" s="48">
        <v>16856</v>
      </c>
      <c r="B956" s="25" t="s">
        <v>414</v>
      </c>
      <c r="C956" s="48" t="s">
        <v>368</v>
      </c>
    </row>
    <row r="957" spans="1:3">
      <c r="A957" s="48">
        <v>16858</v>
      </c>
      <c r="B957" s="25" t="s">
        <v>414</v>
      </c>
      <c r="C957" s="48" t="s">
        <v>368</v>
      </c>
    </row>
    <row r="958" spans="1:3">
      <c r="A958" s="48">
        <v>16859</v>
      </c>
      <c r="B958" s="25" t="s">
        <v>415</v>
      </c>
      <c r="C958" s="48" t="s">
        <v>374</v>
      </c>
    </row>
    <row r="959" spans="1:3">
      <c r="A959" s="48">
        <v>16860</v>
      </c>
      <c r="B959" s="25" t="s">
        <v>415</v>
      </c>
      <c r="C959" s="48" t="s">
        <v>374</v>
      </c>
    </row>
    <row r="960" spans="1:3">
      <c r="A960" s="48">
        <v>16861</v>
      </c>
      <c r="B960" s="25" t="s">
        <v>414</v>
      </c>
      <c r="C960" s="48" t="s">
        <v>368</v>
      </c>
    </row>
    <row r="961" spans="1:3">
      <c r="A961" s="48">
        <v>16863</v>
      </c>
      <c r="B961" s="25" t="s">
        <v>414</v>
      </c>
      <c r="C961" s="48" t="s">
        <v>368</v>
      </c>
    </row>
    <row r="962" spans="1:3">
      <c r="A962" s="48">
        <v>16864</v>
      </c>
      <c r="B962" s="25" t="s">
        <v>414</v>
      </c>
      <c r="C962" s="48" t="s">
        <v>368</v>
      </c>
    </row>
    <row r="963" spans="1:3">
      <c r="A963" s="48">
        <v>16865</v>
      </c>
      <c r="B963" s="25" t="s">
        <v>415</v>
      </c>
      <c r="C963" s="48" t="s">
        <v>374</v>
      </c>
    </row>
    <row r="964" spans="1:3">
      <c r="A964" s="48">
        <v>16866</v>
      </c>
      <c r="B964" s="25" t="s">
        <v>415</v>
      </c>
      <c r="C964" s="48" t="s">
        <v>374</v>
      </c>
    </row>
    <row r="965" spans="1:3">
      <c r="A965" s="48">
        <v>16868</v>
      </c>
      <c r="B965" s="25" t="s">
        <v>415</v>
      </c>
      <c r="C965" s="48" t="s">
        <v>374</v>
      </c>
    </row>
    <row r="966" spans="1:3">
      <c r="A966" s="48">
        <v>16870</v>
      </c>
      <c r="B966" s="25" t="s">
        <v>415</v>
      </c>
      <c r="C966" s="48" t="s">
        <v>374</v>
      </c>
    </row>
    <row r="967" spans="1:3">
      <c r="A967" s="48">
        <v>16871</v>
      </c>
      <c r="B967" s="25" t="s">
        <v>415</v>
      </c>
      <c r="C967" s="48" t="s">
        <v>374</v>
      </c>
    </row>
    <row r="968" spans="1:3">
      <c r="A968" s="48">
        <v>16872</v>
      </c>
      <c r="B968" s="25" t="s">
        <v>415</v>
      </c>
      <c r="C968" s="48" t="s">
        <v>374</v>
      </c>
    </row>
    <row r="969" spans="1:3">
      <c r="A969" s="48">
        <v>16873</v>
      </c>
      <c r="B969" s="25" t="s">
        <v>414</v>
      </c>
      <c r="C969" s="48" t="s">
        <v>368</v>
      </c>
    </row>
    <row r="970" spans="1:3">
      <c r="A970" s="48">
        <v>16874</v>
      </c>
      <c r="B970" s="25" t="s">
        <v>415</v>
      </c>
      <c r="C970" s="48" t="s">
        <v>374</v>
      </c>
    </row>
    <row r="971" spans="1:3">
      <c r="A971" s="48">
        <v>16875</v>
      </c>
      <c r="B971" s="25" t="s">
        <v>415</v>
      </c>
      <c r="C971" s="48" t="s">
        <v>374</v>
      </c>
    </row>
    <row r="972" spans="1:3">
      <c r="A972" s="48">
        <v>16876</v>
      </c>
      <c r="B972" s="25" t="s">
        <v>414</v>
      </c>
      <c r="C972" s="48" t="s">
        <v>368</v>
      </c>
    </row>
    <row r="973" spans="1:3">
      <c r="A973" s="48">
        <v>16877</v>
      </c>
      <c r="B973" s="25" t="s">
        <v>415</v>
      </c>
      <c r="C973" s="48" t="s">
        <v>374</v>
      </c>
    </row>
    <row r="974" spans="1:3">
      <c r="A974" s="48">
        <v>16878</v>
      </c>
      <c r="B974" s="25" t="s">
        <v>414</v>
      </c>
      <c r="C974" s="48" t="s">
        <v>368</v>
      </c>
    </row>
    <row r="975" spans="1:3">
      <c r="A975" s="48">
        <v>16879</v>
      </c>
      <c r="B975" s="25" t="s">
        <v>414</v>
      </c>
      <c r="C975" s="48" t="s">
        <v>368</v>
      </c>
    </row>
    <row r="976" spans="1:3">
      <c r="A976" s="48">
        <v>16881</v>
      </c>
      <c r="B976" s="25" t="s">
        <v>414</v>
      </c>
      <c r="C976" s="48" t="s">
        <v>368</v>
      </c>
    </row>
    <row r="977" spans="1:3">
      <c r="A977" s="48">
        <v>16882</v>
      </c>
      <c r="B977" s="25" t="s">
        <v>415</v>
      </c>
      <c r="C977" s="48" t="s">
        <v>374</v>
      </c>
    </row>
    <row r="978" spans="1:3">
      <c r="A978" s="48">
        <v>16901</v>
      </c>
      <c r="B978" s="25" t="s">
        <v>414</v>
      </c>
      <c r="C978" s="48" t="s">
        <v>368</v>
      </c>
    </row>
    <row r="979" spans="1:3">
      <c r="A979" s="48">
        <v>16910</v>
      </c>
      <c r="B979" s="25" t="s">
        <v>416</v>
      </c>
      <c r="C979" s="48" t="s">
        <v>373</v>
      </c>
    </row>
    <row r="980" spans="1:3">
      <c r="A980" s="48">
        <v>16911</v>
      </c>
      <c r="B980" s="25" t="s">
        <v>414</v>
      </c>
      <c r="C980" s="48" t="s">
        <v>368</v>
      </c>
    </row>
    <row r="981" spans="1:3">
      <c r="A981" s="48">
        <v>16912</v>
      </c>
      <c r="B981" s="25" t="s">
        <v>414</v>
      </c>
      <c r="C981" s="48" t="s">
        <v>368</v>
      </c>
    </row>
    <row r="982" spans="1:3">
      <c r="A982" s="48">
        <v>16914</v>
      </c>
      <c r="B982" s="25" t="s">
        <v>416</v>
      </c>
      <c r="C982" s="48" t="s">
        <v>373</v>
      </c>
    </row>
    <row r="983" spans="1:3">
      <c r="A983" s="48">
        <v>16915</v>
      </c>
      <c r="B983" s="25" t="s">
        <v>414</v>
      </c>
      <c r="C983" s="48" t="s">
        <v>368</v>
      </c>
    </row>
    <row r="984" spans="1:3">
      <c r="A984" s="48">
        <v>16917</v>
      </c>
      <c r="B984" s="25" t="s">
        <v>414</v>
      </c>
      <c r="C984" s="48" t="s">
        <v>368</v>
      </c>
    </row>
    <row r="985" spans="1:3">
      <c r="A985" s="48">
        <v>16918</v>
      </c>
      <c r="B985" s="25" t="s">
        <v>414</v>
      </c>
      <c r="C985" s="48" t="s">
        <v>368</v>
      </c>
    </row>
    <row r="986" spans="1:3">
      <c r="A986" s="48">
        <v>16920</v>
      </c>
      <c r="B986" s="25" t="s">
        <v>414</v>
      </c>
      <c r="C986" s="48" t="s">
        <v>368</v>
      </c>
    </row>
    <row r="987" spans="1:3">
      <c r="A987" s="48">
        <v>16921</v>
      </c>
      <c r="B987" s="25" t="s">
        <v>414</v>
      </c>
      <c r="C987" s="48" t="s">
        <v>368</v>
      </c>
    </row>
    <row r="988" spans="1:3">
      <c r="A988" s="48">
        <v>16922</v>
      </c>
      <c r="B988" s="25" t="s">
        <v>414</v>
      </c>
      <c r="C988" s="48" t="s">
        <v>368</v>
      </c>
    </row>
    <row r="989" spans="1:3">
      <c r="A989" s="48">
        <v>16923</v>
      </c>
      <c r="B989" s="25" t="s">
        <v>414</v>
      </c>
      <c r="C989" s="48" t="s">
        <v>368</v>
      </c>
    </row>
    <row r="990" spans="1:3">
      <c r="A990" s="48">
        <v>16925</v>
      </c>
      <c r="B990" s="25" t="s">
        <v>416</v>
      </c>
      <c r="C990" s="48" t="s">
        <v>373</v>
      </c>
    </row>
    <row r="991" spans="1:3">
      <c r="A991" s="48">
        <v>16926</v>
      </c>
      <c r="B991" s="25" t="s">
        <v>416</v>
      </c>
      <c r="C991" s="48" t="s">
        <v>373</v>
      </c>
    </row>
    <row r="992" spans="1:3">
      <c r="A992" s="48">
        <v>16927</v>
      </c>
      <c r="B992" s="25" t="s">
        <v>414</v>
      </c>
      <c r="C992" s="48" t="s">
        <v>368</v>
      </c>
    </row>
    <row r="993" spans="1:3">
      <c r="A993" s="48">
        <v>16928</v>
      </c>
      <c r="B993" s="25" t="s">
        <v>414</v>
      </c>
      <c r="C993" s="48" t="s">
        <v>368</v>
      </c>
    </row>
    <row r="994" spans="1:3">
      <c r="A994" s="48">
        <v>16929</v>
      </c>
      <c r="B994" s="25" t="s">
        <v>414</v>
      </c>
      <c r="C994" s="48" t="s">
        <v>368</v>
      </c>
    </row>
    <row r="995" spans="1:3">
      <c r="A995" s="48">
        <v>16930</v>
      </c>
      <c r="B995" s="25" t="s">
        <v>414</v>
      </c>
      <c r="C995" s="48" t="s">
        <v>368</v>
      </c>
    </row>
    <row r="996" spans="1:3">
      <c r="A996" s="48">
        <v>16932</v>
      </c>
      <c r="B996" s="25" t="s">
        <v>414</v>
      </c>
      <c r="C996" s="48" t="s">
        <v>368</v>
      </c>
    </row>
    <row r="997" spans="1:3">
      <c r="A997" s="48">
        <v>16933</v>
      </c>
      <c r="B997" s="25" t="s">
        <v>414</v>
      </c>
      <c r="C997" s="48" t="s">
        <v>368</v>
      </c>
    </row>
    <row r="998" spans="1:3">
      <c r="A998" s="48">
        <v>16935</v>
      </c>
      <c r="B998" s="25" t="s">
        <v>414</v>
      </c>
      <c r="C998" s="48" t="s">
        <v>368</v>
      </c>
    </row>
    <row r="999" spans="1:3">
      <c r="A999" s="48">
        <v>16936</v>
      </c>
      <c r="B999" s="25" t="s">
        <v>414</v>
      </c>
      <c r="C999" s="48" t="s">
        <v>368</v>
      </c>
    </row>
    <row r="1000" spans="1:3">
      <c r="A1000" s="48">
        <v>16937</v>
      </c>
      <c r="B1000" s="25" t="s">
        <v>414</v>
      </c>
      <c r="C1000" s="48" t="s">
        <v>368</v>
      </c>
    </row>
    <row r="1001" spans="1:3">
      <c r="A1001" s="48">
        <v>16938</v>
      </c>
      <c r="B1001" s="25" t="s">
        <v>414</v>
      </c>
      <c r="C1001" s="48" t="s">
        <v>368</v>
      </c>
    </row>
    <row r="1002" spans="1:3">
      <c r="A1002" s="48">
        <v>16939</v>
      </c>
      <c r="B1002" s="25" t="s">
        <v>414</v>
      </c>
      <c r="C1002" s="48" t="s">
        <v>368</v>
      </c>
    </row>
    <row r="1003" spans="1:3">
      <c r="A1003" s="48">
        <v>16940</v>
      </c>
      <c r="B1003" s="25" t="s">
        <v>414</v>
      </c>
      <c r="C1003" s="48" t="s">
        <v>368</v>
      </c>
    </row>
    <row r="1004" spans="1:3">
      <c r="A1004" s="48">
        <v>16941</v>
      </c>
      <c r="B1004" s="25" t="s">
        <v>414</v>
      </c>
      <c r="C1004" s="48" t="s">
        <v>368</v>
      </c>
    </row>
    <row r="1005" spans="1:3">
      <c r="A1005" s="48">
        <v>16942</v>
      </c>
      <c r="B1005" s="25" t="s">
        <v>414</v>
      </c>
      <c r="C1005" s="48" t="s">
        <v>368</v>
      </c>
    </row>
    <row r="1006" spans="1:3">
      <c r="A1006" s="48">
        <v>16943</v>
      </c>
      <c r="B1006" s="25" t="s">
        <v>414</v>
      </c>
      <c r="C1006" s="48" t="s">
        <v>368</v>
      </c>
    </row>
    <row r="1007" spans="1:3">
      <c r="A1007" s="48">
        <v>16945</v>
      </c>
      <c r="B1007" s="25" t="s">
        <v>416</v>
      </c>
      <c r="C1007" s="48" t="s">
        <v>373</v>
      </c>
    </row>
    <row r="1008" spans="1:3">
      <c r="A1008" s="48">
        <v>16946</v>
      </c>
      <c r="B1008" s="25" t="s">
        <v>414</v>
      </c>
      <c r="C1008" s="48" t="s">
        <v>368</v>
      </c>
    </row>
    <row r="1009" spans="1:3">
      <c r="A1009" s="48">
        <v>16947</v>
      </c>
      <c r="B1009" s="25" t="s">
        <v>416</v>
      </c>
      <c r="C1009" s="48" t="s">
        <v>373</v>
      </c>
    </row>
    <row r="1010" spans="1:3">
      <c r="A1010" s="48">
        <v>16948</v>
      </c>
      <c r="B1010" s="25" t="s">
        <v>414</v>
      </c>
      <c r="C1010" s="48" t="s">
        <v>368</v>
      </c>
    </row>
    <row r="1011" spans="1:3">
      <c r="A1011" s="48">
        <v>16950</v>
      </c>
      <c r="B1011" s="25" t="s">
        <v>414</v>
      </c>
      <c r="C1011" s="48" t="s">
        <v>368</v>
      </c>
    </row>
    <row r="1012" spans="1:3">
      <c r="A1012" s="48">
        <v>17001</v>
      </c>
      <c r="B1012" s="25" t="s">
        <v>412</v>
      </c>
      <c r="C1012" s="48" t="s">
        <v>370</v>
      </c>
    </row>
    <row r="1013" spans="1:3">
      <c r="A1013" s="48">
        <v>17002</v>
      </c>
      <c r="B1013" s="25" t="s">
        <v>415</v>
      </c>
      <c r="C1013" s="48" t="s">
        <v>374</v>
      </c>
    </row>
    <row r="1014" spans="1:3">
      <c r="A1014" s="48">
        <v>17003</v>
      </c>
      <c r="B1014" s="25" t="s">
        <v>417</v>
      </c>
      <c r="C1014" s="48" t="s">
        <v>371</v>
      </c>
    </row>
    <row r="1015" spans="1:3">
      <c r="A1015" s="48">
        <v>17004</v>
      </c>
      <c r="B1015" s="25" t="s">
        <v>415</v>
      </c>
      <c r="C1015" s="48" t="s">
        <v>374</v>
      </c>
    </row>
    <row r="1016" spans="1:3">
      <c r="A1016" s="48">
        <v>17005</v>
      </c>
      <c r="B1016" s="25" t="s">
        <v>415</v>
      </c>
      <c r="C1016" s="48" t="s">
        <v>374</v>
      </c>
    </row>
    <row r="1017" spans="1:3">
      <c r="A1017" s="48">
        <v>17006</v>
      </c>
      <c r="B1017" s="25" t="s">
        <v>415</v>
      </c>
      <c r="C1017" s="48" t="s">
        <v>374</v>
      </c>
    </row>
    <row r="1018" spans="1:3">
      <c r="A1018" s="48">
        <v>17007</v>
      </c>
      <c r="B1018" s="25" t="s">
        <v>412</v>
      </c>
      <c r="C1018" s="48" t="s">
        <v>370</v>
      </c>
    </row>
    <row r="1019" spans="1:3">
      <c r="A1019" s="48">
        <v>17008</v>
      </c>
      <c r="B1019" s="25" t="s">
        <v>412</v>
      </c>
      <c r="C1019" s="48" t="s">
        <v>370</v>
      </c>
    </row>
    <row r="1020" spans="1:3">
      <c r="A1020" s="48">
        <v>17009</v>
      </c>
      <c r="B1020" s="25" t="s">
        <v>415</v>
      </c>
      <c r="C1020" s="48" t="s">
        <v>374</v>
      </c>
    </row>
    <row r="1021" spans="1:3">
      <c r="A1021" s="48">
        <v>17010</v>
      </c>
      <c r="B1021" s="25" t="s">
        <v>417</v>
      </c>
      <c r="C1021" s="48" t="s">
        <v>371</v>
      </c>
    </row>
    <row r="1022" spans="1:3">
      <c r="A1022" s="48">
        <v>17011</v>
      </c>
      <c r="B1022" s="25" t="s">
        <v>412</v>
      </c>
      <c r="C1022" s="48" t="s">
        <v>370</v>
      </c>
    </row>
    <row r="1023" spans="1:3">
      <c r="A1023" s="48">
        <v>17012</v>
      </c>
      <c r="B1023" s="25" t="s">
        <v>412</v>
      </c>
      <c r="C1023" s="48" t="s">
        <v>370</v>
      </c>
    </row>
    <row r="1024" spans="1:3">
      <c r="A1024" s="48">
        <v>17013</v>
      </c>
      <c r="B1024" s="25" t="s">
        <v>412</v>
      </c>
      <c r="C1024" s="48" t="s">
        <v>370</v>
      </c>
    </row>
    <row r="1025" spans="1:3">
      <c r="A1025" s="48">
        <v>17014</v>
      </c>
      <c r="B1025" s="25" t="s">
        <v>415</v>
      </c>
      <c r="C1025" s="48" t="s">
        <v>374</v>
      </c>
    </row>
    <row r="1026" spans="1:3">
      <c r="A1026" s="48">
        <v>17015</v>
      </c>
      <c r="B1026" s="25" t="s">
        <v>412</v>
      </c>
      <c r="C1026" s="48" t="s">
        <v>370</v>
      </c>
    </row>
    <row r="1027" spans="1:3">
      <c r="A1027" s="48">
        <v>17016</v>
      </c>
      <c r="B1027" s="25" t="s">
        <v>417</v>
      </c>
      <c r="C1027" s="48" t="s">
        <v>371</v>
      </c>
    </row>
    <row r="1028" spans="1:3">
      <c r="A1028" s="48">
        <v>17017</v>
      </c>
      <c r="B1028" s="25" t="s">
        <v>415</v>
      </c>
      <c r="C1028" s="48" t="s">
        <v>374</v>
      </c>
    </row>
    <row r="1029" spans="1:3">
      <c r="A1029" s="48">
        <v>17018</v>
      </c>
      <c r="B1029" s="25" t="s">
        <v>415</v>
      </c>
      <c r="C1029" s="48" t="s">
        <v>374</v>
      </c>
    </row>
    <row r="1030" spans="1:3">
      <c r="A1030" s="48">
        <v>17019</v>
      </c>
      <c r="B1030" s="25" t="s">
        <v>412</v>
      </c>
      <c r="C1030" s="48" t="s">
        <v>370</v>
      </c>
    </row>
    <row r="1031" spans="1:3">
      <c r="A1031" s="48">
        <v>17020</v>
      </c>
      <c r="B1031" s="25" t="s">
        <v>415</v>
      </c>
      <c r="C1031" s="48" t="s">
        <v>374</v>
      </c>
    </row>
    <row r="1032" spans="1:3">
      <c r="A1032" s="48">
        <v>17021</v>
      </c>
      <c r="B1032" s="25" t="s">
        <v>415</v>
      </c>
      <c r="C1032" s="48" t="s">
        <v>374</v>
      </c>
    </row>
    <row r="1033" spans="1:3">
      <c r="A1033" s="48">
        <v>17022</v>
      </c>
      <c r="B1033" s="25" t="s">
        <v>417</v>
      </c>
      <c r="C1033" s="48" t="s">
        <v>371</v>
      </c>
    </row>
    <row r="1034" spans="1:3">
      <c r="A1034" s="48">
        <v>17023</v>
      </c>
      <c r="B1034" s="25" t="s">
        <v>415</v>
      </c>
      <c r="C1034" s="48" t="s">
        <v>374</v>
      </c>
    </row>
    <row r="1035" spans="1:3">
      <c r="A1035" s="48">
        <v>17024</v>
      </c>
      <c r="B1035" s="25" t="s">
        <v>415</v>
      </c>
      <c r="C1035" s="48" t="s">
        <v>374</v>
      </c>
    </row>
    <row r="1036" spans="1:3">
      <c r="A1036" s="48">
        <v>17025</v>
      </c>
      <c r="B1036" s="25" t="s">
        <v>412</v>
      </c>
      <c r="C1036" s="48" t="s">
        <v>370</v>
      </c>
    </row>
    <row r="1037" spans="1:3">
      <c r="A1037" s="48">
        <v>17026</v>
      </c>
      <c r="B1037" s="25" t="s">
        <v>417</v>
      </c>
      <c r="C1037" s="48" t="s">
        <v>371</v>
      </c>
    </row>
    <row r="1038" spans="1:3">
      <c r="A1038" s="48">
        <v>17027</v>
      </c>
      <c r="B1038" s="25" t="s">
        <v>412</v>
      </c>
      <c r="C1038" s="48" t="s">
        <v>370</v>
      </c>
    </row>
    <row r="1039" spans="1:3">
      <c r="A1039" s="48">
        <v>17028</v>
      </c>
      <c r="B1039" s="25" t="s">
        <v>415</v>
      </c>
      <c r="C1039" s="48" t="s">
        <v>374</v>
      </c>
    </row>
    <row r="1040" spans="1:3">
      <c r="A1040" s="48">
        <v>17029</v>
      </c>
      <c r="B1040" s="25" t="s">
        <v>415</v>
      </c>
      <c r="C1040" s="48" t="s">
        <v>374</v>
      </c>
    </row>
    <row r="1041" spans="1:3">
      <c r="A1041" s="48">
        <v>17030</v>
      </c>
      <c r="B1041" s="25" t="s">
        <v>415</v>
      </c>
      <c r="C1041" s="48" t="s">
        <v>374</v>
      </c>
    </row>
    <row r="1042" spans="1:3">
      <c r="A1042" s="48">
        <v>17032</v>
      </c>
      <c r="B1042" s="25" t="s">
        <v>415</v>
      </c>
      <c r="C1042" s="48" t="s">
        <v>374</v>
      </c>
    </row>
    <row r="1043" spans="1:3">
      <c r="A1043" s="48">
        <v>17033</v>
      </c>
      <c r="B1043" s="25" t="s">
        <v>415</v>
      </c>
      <c r="C1043" s="48" t="s">
        <v>374</v>
      </c>
    </row>
    <row r="1044" spans="1:3">
      <c r="A1044" s="48">
        <v>17034</v>
      </c>
      <c r="B1044" s="25" t="s">
        <v>415</v>
      </c>
      <c r="C1044" s="48" t="s">
        <v>374</v>
      </c>
    </row>
    <row r="1045" spans="1:3">
      <c r="A1045" s="48">
        <v>17035</v>
      </c>
      <c r="B1045" s="25" t="s">
        <v>415</v>
      </c>
      <c r="C1045" s="48" t="s">
        <v>374</v>
      </c>
    </row>
    <row r="1046" spans="1:3">
      <c r="A1046" s="48">
        <v>17036</v>
      </c>
      <c r="B1046" s="25" t="s">
        <v>415</v>
      </c>
      <c r="C1046" s="48" t="s">
        <v>374</v>
      </c>
    </row>
    <row r="1047" spans="1:3">
      <c r="A1047" s="48">
        <v>17037</v>
      </c>
      <c r="B1047" s="25" t="s">
        <v>415</v>
      </c>
      <c r="C1047" s="48" t="s">
        <v>374</v>
      </c>
    </row>
    <row r="1048" spans="1:3">
      <c r="A1048" s="48">
        <v>17038</v>
      </c>
      <c r="B1048" s="25" t="s">
        <v>417</v>
      </c>
      <c r="C1048" s="48" t="s">
        <v>371</v>
      </c>
    </row>
    <row r="1049" spans="1:3">
      <c r="A1049" s="48">
        <v>17039</v>
      </c>
      <c r="B1049" s="25" t="s">
        <v>417</v>
      </c>
      <c r="C1049" s="48" t="s">
        <v>371</v>
      </c>
    </row>
    <row r="1050" spans="1:3">
      <c r="A1050" s="48">
        <v>17040</v>
      </c>
      <c r="B1050" s="25" t="s">
        <v>415</v>
      </c>
      <c r="C1050" s="48" t="s">
        <v>374</v>
      </c>
    </row>
    <row r="1051" spans="1:3">
      <c r="A1051" s="48">
        <v>17041</v>
      </c>
      <c r="B1051" s="25" t="s">
        <v>417</v>
      </c>
      <c r="C1051" s="48" t="s">
        <v>371</v>
      </c>
    </row>
    <row r="1052" spans="1:3">
      <c r="A1052" s="48">
        <v>17042</v>
      </c>
      <c r="B1052" s="25" t="s">
        <v>417</v>
      </c>
      <c r="C1052" s="48" t="s">
        <v>371</v>
      </c>
    </row>
    <row r="1053" spans="1:3">
      <c r="A1053" s="48">
        <v>17043</v>
      </c>
      <c r="B1053" s="25" t="s">
        <v>412</v>
      </c>
      <c r="C1053" s="48" t="s">
        <v>370</v>
      </c>
    </row>
    <row r="1054" spans="1:3">
      <c r="A1054" s="48">
        <v>17044</v>
      </c>
      <c r="B1054" s="25" t="s">
        <v>415</v>
      </c>
      <c r="C1054" s="48" t="s">
        <v>374</v>
      </c>
    </row>
    <row r="1055" spans="1:3">
      <c r="A1055" s="48">
        <v>17045</v>
      </c>
      <c r="B1055" s="25" t="s">
        <v>415</v>
      </c>
      <c r="C1055" s="48" t="s">
        <v>374</v>
      </c>
    </row>
    <row r="1056" spans="1:3">
      <c r="A1056" s="48">
        <v>17046</v>
      </c>
      <c r="B1056" s="25" t="s">
        <v>417</v>
      </c>
      <c r="C1056" s="48" t="s">
        <v>371</v>
      </c>
    </row>
    <row r="1057" spans="1:3">
      <c r="A1057" s="48">
        <v>17047</v>
      </c>
      <c r="B1057" s="25" t="s">
        <v>415</v>
      </c>
      <c r="C1057" s="48" t="s">
        <v>374</v>
      </c>
    </row>
    <row r="1058" spans="1:3">
      <c r="A1058" s="48">
        <v>17048</v>
      </c>
      <c r="B1058" s="25" t="s">
        <v>415</v>
      </c>
      <c r="C1058" s="48" t="s">
        <v>374</v>
      </c>
    </row>
    <row r="1059" spans="1:3">
      <c r="A1059" s="48">
        <v>17049</v>
      </c>
      <c r="B1059" s="25" t="s">
        <v>415</v>
      </c>
      <c r="C1059" s="48" t="s">
        <v>374</v>
      </c>
    </row>
    <row r="1060" spans="1:3">
      <c r="A1060" s="48">
        <v>17050</v>
      </c>
      <c r="B1060" s="25" t="s">
        <v>412</v>
      </c>
      <c r="C1060" s="48" t="s">
        <v>370</v>
      </c>
    </row>
    <row r="1061" spans="1:3">
      <c r="A1061" s="48">
        <v>17051</v>
      </c>
      <c r="B1061" s="25" t="s">
        <v>415</v>
      </c>
      <c r="C1061" s="48" t="s">
        <v>374</v>
      </c>
    </row>
    <row r="1062" spans="1:3">
      <c r="A1062" s="48">
        <v>17052</v>
      </c>
      <c r="B1062" s="25" t="s">
        <v>415</v>
      </c>
      <c r="C1062" s="48" t="s">
        <v>374</v>
      </c>
    </row>
    <row r="1063" spans="1:3">
      <c r="A1063" s="48">
        <v>17053</v>
      </c>
      <c r="B1063" s="25" t="s">
        <v>415</v>
      </c>
      <c r="C1063" s="48" t="s">
        <v>374</v>
      </c>
    </row>
    <row r="1064" spans="1:3">
      <c r="A1064" s="48">
        <v>17054</v>
      </c>
      <c r="B1064" s="25" t="s">
        <v>415</v>
      </c>
      <c r="C1064" s="48" t="s">
        <v>374</v>
      </c>
    </row>
    <row r="1065" spans="1:3">
      <c r="A1065" s="48">
        <v>17055</v>
      </c>
      <c r="B1065" s="25" t="s">
        <v>412</v>
      </c>
      <c r="C1065" s="48" t="s">
        <v>370</v>
      </c>
    </row>
    <row r="1066" spans="1:3">
      <c r="A1066" s="48">
        <v>17056</v>
      </c>
      <c r="B1066" s="25" t="s">
        <v>415</v>
      </c>
      <c r="C1066" s="48" t="s">
        <v>374</v>
      </c>
    </row>
    <row r="1067" spans="1:3">
      <c r="A1067" s="48">
        <v>17057</v>
      </c>
      <c r="B1067" s="25" t="s">
        <v>415</v>
      </c>
      <c r="C1067" s="48" t="s">
        <v>374</v>
      </c>
    </row>
    <row r="1068" spans="1:3">
      <c r="A1068" s="48">
        <v>17058</v>
      </c>
      <c r="B1068" s="25" t="s">
        <v>415</v>
      </c>
      <c r="C1068" s="48" t="s">
        <v>374</v>
      </c>
    </row>
    <row r="1069" spans="1:3">
      <c r="A1069" s="48">
        <v>17059</v>
      </c>
      <c r="B1069" s="25" t="s">
        <v>415</v>
      </c>
      <c r="C1069" s="48" t="s">
        <v>374</v>
      </c>
    </row>
    <row r="1070" spans="1:3">
      <c r="A1070" s="48">
        <v>17060</v>
      </c>
      <c r="B1070" s="25" t="s">
        <v>415</v>
      </c>
      <c r="C1070" s="48" t="s">
        <v>374</v>
      </c>
    </row>
    <row r="1071" spans="1:3">
      <c r="A1071" s="48">
        <v>17061</v>
      </c>
      <c r="B1071" s="25" t="s">
        <v>415</v>
      </c>
      <c r="C1071" s="48" t="s">
        <v>374</v>
      </c>
    </row>
    <row r="1072" spans="1:3">
      <c r="A1072" s="48">
        <v>17062</v>
      </c>
      <c r="B1072" s="25" t="s">
        <v>415</v>
      </c>
      <c r="C1072" s="48" t="s">
        <v>374</v>
      </c>
    </row>
    <row r="1073" spans="1:3">
      <c r="A1073" s="48">
        <v>17063</v>
      </c>
      <c r="B1073" s="25" t="s">
        <v>415</v>
      </c>
      <c r="C1073" s="48" t="s">
        <v>374</v>
      </c>
    </row>
    <row r="1074" spans="1:3">
      <c r="A1074" s="48">
        <v>17064</v>
      </c>
      <c r="B1074" s="25" t="s">
        <v>417</v>
      </c>
      <c r="C1074" s="48" t="s">
        <v>371</v>
      </c>
    </row>
    <row r="1075" spans="1:3">
      <c r="A1075" s="48">
        <v>17065</v>
      </c>
      <c r="B1075" s="25" t="s">
        <v>412</v>
      </c>
      <c r="C1075" s="48" t="s">
        <v>370</v>
      </c>
    </row>
    <row r="1076" spans="1:3">
      <c r="A1076" s="48">
        <v>17066</v>
      </c>
      <c r="B1076" s="25" t="s">
        <v>415</v>
      </c>
      <c r="C1076" s="48" t="s">
        <v>374</v>
      </c>
    </row>
    <row r="1077" spans="1:3">
      <c r="A1077" s="48">
        <v>17067</v>
      </c>
      <c r="B1077" s="25" t="s">
        <v>417</v>
      </c>
      <c r="C1077" s="48" t="s">
        <v>371</v>
      </c>
    </row>
    <row r="1078" spans="1:3">
      <c r="A1078" s="48">
        <v>17068</v>
      </c>
      <c r="B1078" s="25" t="s">
        <v>415</v>
      </c>
      <c r="C1078" s="48" t="s">
        <v>374</v>
      </c>
    </row>
    <row r="1079" spans="1:3">
      <c r="A1079" s="48">
        <v>17069</v>
      </c>
      <c r="B1079" s="25" t="s">
        <v>415</v>
      </c>
      <c r="C1079" s="48" t="s">
        <v>374</v>
      </c>
    </row>
    <row r="1080" spans="1:3">
      <c r="A1080" s="48">
        <v>17070</v>
      </c>
      <c r="B1080" s="25" t="s">
        <v>412</v>
      </c>
      <c r="C1080" s="48" t="s">
        <v>370</v>
      </c>
    </row>
    <row r="1081" spans="1:3">
      <c r="A1081" s="48">
        <v>17071</v>
      </c>
      <c r="B1081" s="25" t="s">
        <v>415</v>
      </c>
      <c r="C1081" s="48" t="s">
        <v>374</v>
      </c>
    </row>
    <row r="1082" spans="1:3">
      <c r="A1082" s="48">
        <v>17072</v>
      </c>
      <c r="B1082" s="25" t="s">
        <v>412</v>
      </c>
      <c r="C1082" s="48" t="s">
        <v>370</v>
      </c>
    </row>
    <row r="1083" spans="1:3">
      <c r="A1083" s="48">
        <v>17073</v>
      </c>
      <c r="B1083" s="25" t="s">
        <v>417</v>
      </c>
      <c r="C1083" s="48" t="s">
        <v>371</v>
      </c>
    </row>
    <row r="1084" spans="1:3">
      <c r="A1084" s="48">
        <v>17074</v>
      </c>
      <c r="B1084" s="25" t="s">
        <v>415</v>
      </c>
      <c r="C1084" s="48" t="s">
        <v>374</v>
      </c>
    </row>
    <row r="1085" spans="1:3">
      <c r="A1085" s="48">
        <v>17075</v>
      </c>
      <c r="B1085" s="25" t="s">
        <v>415</v>
      </c>
      <c r="C1085" s="48" t="s">
        <v>374</v>
      </c>
    </row>
    <row r="1086" spans="1:3">
      <c r="A1086" s="48">
        <v>17076</v>
      </c>
      <c r="B1086" s="25" t="s">
        <v>415</v>
      </c>
      <c r="C1086" s="48" t="s">
        <v>374</v>
      </c>
    </row>
    <row r="1087" spans="1:3">
      <c r="A1087" s="48">
        <v>17077</v>
      </c>
      <c r="B1087" s="25" t="s">
        <v>417</v>
      </c>
      <c r="C1087" s="48" t="s">
        <v>371</v>
      </c>
    </row>
    <row r="1088" spans="1:3">
      <c r="A1088" s="48">
        <v>17078</v>
      </c>
      <c r="B1088" s="25" t="s">
        <v>417</v>
      </c>
      <c r="C1088" s="48" t="s">
        <v>371</v>
      </c>
    </row>
    <row r="1089" spans="1:3">
      <c r="A1089" s="48">
        <v>17080</v>
      </c>
      <c r="B1089" s="25" t="s">
        <v>415</v>
      </c>
      <c r="C1089" s="48" t="s">
        <v>374</v>
      </c>
    </row>
    <row r="1090" spans="1:3">
      <c r="A1090" s="48">
        <v>17081</v>
      </c>
      <c r="B1090" s="25" t="s">
        <v>412</v>
      </c>
      <c r="C1090" s="48" t="s">
        <v>370</v>
      </c>
    </row>
    <row r="1091" spans="1:3">
      <c r="A1091" s="48">
        <v>17082</v>
      </c>
      <c r="B1091" s="25" t="s">
        <v>415</v>
      </c>
      <c r="C1091" s="48" t="s">
        <v>374</v>
      </c>
    </row>
    <row r="1092" spans="1:3">
      <c r="A1092" s="48">
        <v>17083</v>
      </c>
      <c r="B1092" s="25" t="s">
        <v>417</v>
      </c>
      <c r="C1092" s="48" t="s">
        <v>371</v>
      </c>
    </row>
    <row r="1093" spans="1:3">
      <c r="A1093" s="48">
        <v>17084</v>
      </c>
      <c r="B1093" s="25" t="s">
        <v>415</v>
      </c>
      <c r="C1093" s="48" t="s">
        <v>374</v>
      </c>
    </row>
    <row r="1094" spans="1:3">
      <c r="A1094" s="48">
        <v>17085</v>
      </c>
      <c r="B1094" s="25" t="s">
        <v>417</v>
      </c>
      <c r="C1094" s="48" t="s">
        <v>371</v>
      </c>
    </row>
    <row r="1095" spans="1:3">
      <c r="A1095" s="48">
        <v>17086</v>
      </c>
      <c r="B1095" s="25" t="s">
        <v>415</v>
      </c>
      <c r="C1095" s="48" t="s">
        <v>374</v>
      </c>
    </row>
    <row r="1096" spans="1:3">
      <c r="A1096" s="48">
        <v>17087</v>
      </c>
      <c r="B1096" s="25" t="s">
        <v>417</v>
      </c>
      <c r="C1096" s="48" t="s">
        <v>371</v>
      </c>
    </row>
    <row r="1097" spans="1:3">
      <c r="A1097" s="48">
        <v>17088</v>
      </c>
      <c r="B1097" s="25" t="s">
        <v>417</v>
      </c>
      <c r="C1097" s="48" t="s">
        <v>371</v>
      </c>
    </row>
    <row r="1098" spans="1:3">
      <c r="A1098" s="48">
        <v>17089</v>
      </c>
      <c r="B1098" s="25" t="s">
        <v>412</v>
      </c>
      <c r="C1098" s="48" t="s">
        <v>370</v>
      </c>
    </row>
    <row r="1099" spans="1:3">
      <c r="A1099" s="48">
        <v>17090</v>
      </c>
      <c r="B1099" s="25" t="s">
        <v>415</v>
      </c>
      <c r="C1099" s="48" t="s">
        <v>374</v>
      </c>
    </row>
    <row r="1100" spans="1:3">
      <c r="A1100" s="48">
        <v>17091</v>
      </c>
      <c r="B1100" s="25" t="s">
        <v>417</v>
      </c>
      <c r="C1100" s="48" t="s">
        <v>371</v>
      </c>
    </row>
    <row r="1101" spans="1:3">
      <c r="A1101" s="48">
        <v>17093</v>
      </c>
      <c r="B1101" s="25" t="s">
        <v>412</v>
      </c>
      <c r="C1101" s="48" t="s">
        <v>370</v>
      </c>
    </row>
    <row r="1102" spans="1:3">
      <c r="A1102" s="48">
        <v>17094</v>
      </c>
      <c r="B1102" s="25" t="s">
        <v>415</v>
      </c>
      <c r="C1102" s="48" t="s">
        <v>374</v>
      </c>
    </row>
    <row r="1103" spans="1:3">
      <c r="A1103" s="48">
        <v>17097</v>
      </c>
      <c r="B1103" s="25" t="s">
        <v>415</v>
      </c>
      <c r="C1103" s="48" t="s">
        <v>374</v>
      </c>
    </row>
    <row r="1104" spans="1:3">
      <c r="A1104" s="48">
        <v>17098</v>
      </c>
      <c r="B1104" s="25" t="s">
        <v>415</v>
      </c>
      <c r="C1104" s="48" t="s">
        <v>374</v>
      </c>
    </row>
    <row r="1105" spans="1:3">
      <c r="A1105" s="48">
        <v>17099</v>
      </c>
      <c r="B1105" s="25" t="s">
        <v>415</v>
      </c>
      <c r="C1105" s="48" t="s">
        <v>374</v>
      </c>
    </row>
    <row r="1106" spans="1:3">
      <c r="A1106" s="48">
        <v>17101</v>
      </c>
      <c r="B1106" s="25" t="s">
        <v>415</v>
      </c>
      <c r="C1106" s="48" t="s">
        <v>374</v>
      </c>
    </row>
    <row r="1107" spans="1:3">
      <c r="A1107" s="48">
        <v>17102</v>
      </c>
      <c r="B1107" s="25" t="s">
        <v>415</v>
      </c>
      <c r="C1107" s="48" t="s">
        <v>374</v>
      </c>
    </row>
    <row r="1108" spans="1:3">
      <c r="A1108" s="48">
        <v>17103</v>
      </c>
      <c r="B1108" s="25" t="s">
        <v>415</v>
      </c>
      <c r="C1108" s="48" t="s">
        <v>374</v>
      </c>
    </row>
    <row r="1109" spans="1:3">
      <c r="A1109" s="48">
        <v>17104</v>
      </c>
      <c r="B1109" s="25" t="s">
        <v>415</v>
      </c>
      <c r="C1109" s="48" t="s">
        <v>374</v>
      </c>
    </row>
    <row r="1110" spans="1:3">
      <c r="A1110" s="48">
        <v>17105</v>
      </c>
      <c r="B1110" s="25" t="s">
        <v>412</v>
      </c>
      <c r="C1110" s="48" t="s">
        <v>370</v>
      </c>
    </row>
    <row r="1111" spans="1:3">
      <c r="A1111" s="48">
        <v>17106</v>
      </c>
      <c r="B1111" s="25" t="s">
        <v>412</v>
      </c>
      <c r="C1111" s="48" t="s">
        <v>370</v>
      </c>
    </row>
    <row r="1112" spans="1:3">
      <c r="A1112" s="48">
        <v>17107</v>
      </c>
      <c r="B1112" s="25" t="s">
        <v>412</v>
      </c>
      <c r="C1112" s="48" t="s">
        <v>370</v>
      </c>
    </row>
    <row r="1113" spans="1:3">
      <c r="A1113" s="48">
        <v>17108</v>
      </c>
      <c r="B1113" s="25" t="s">
        <v>412</v>
      </c>
      <c r="C1113" s="48" t="s">
        <v>370</v>
      </c>
    </row>
    <row r="1114" spans="1:3">
      <c r="A1114" s="48">
        <v>17109</v>
      </c>
      <c r="B1114" s="25" t="s">
        <v>415</v>
      </c>
      <c r="C1114" s="48" t="s">
        <v>374</v>
      </c>
    </row>
    <row r="1115" spans="1:3">
      <c r="A1115" s="48">
        <v>17110</v>
      </c>
      <c r="B1115" s="25" t="s">
        <v>415</v>
      </c>
      <c r="C1115" s="48" t="s">
        <v>374</v>
      </c>
    </row>
    <row r="1116" spans="1:3">
      <c r="A1116" s="48">
        <v>17111</v>
      </c>
      <c r="B1116" s="25" t="s">
        <v>415</v>
      </c>
      <c r="C1116" s="48" t="s">
        <v>374</v>
      </c>
    </row>
    <row r="1117" spans="1:3">
      <c r="A1117" s="48">
        <v>17112</v>
      </c>
      <c r="B1117" s="25" t="s">
        <v>415</v>
      </c>
      <c r="C1117" s="48" t="s">
        <v>374</v>
      </c>
    </row>
    <row r="1118" spans="1:3">
      <c r="A1118" s="48">
        <v>17113</v>
      </c>
      <c r="B1118" s="25" t="s">
        <v>415</v>
      </c>
      <c r="C1118" s="48" t="s">
        <v>374</v>
      </c>
    </row>
    <row r="1119" spans="1:3">
      <c r="A1119" s="48">
        <v>17120</v>
      </c>
      <c r="B1119" s="25" t="s">
        <v>415</v>
      </c>
      <c r="C1119" s="48" t="s">
        <v>374</v>
      </c>
    </row>
    <row r="1120" spans="1:3">
      <c r="A1120" s="48">
        <v>17121</v>
      </c>
      <c r="B1120" s="25" t="s">
        <v>412</v>
      </c>
      <c r="C1120" s="48" t="s">
        <v>370</v>
      </c>
    </row>
    <row r="1121" spans="1:3">
      <c r="A1121" s="48">
        <v>17122</v>
      </c>
      <c r="B1121" s="25" t="s">
        <v>412</v>
      </c>
      <c r="C1121" s="48" t="s">
        <v>370</v>
      </c>
    </row>
    <row r="1122" spans="1:3">
      <c r="A1122" s="48">
        <v>17123</v>
      </c>
      <c r="B1122" s="25" t="s">
        <v>412</v>
      </c>
      <c r="C1122" s="48" t="s">
        <v>370</v>
      </c>
    </row>
    <row r="1123" spans="1:3">
      <c r="A1123" s="48">
        <v>17124</v>
      </c>
      <c r="B1123" s="25" t="s">
        <v>412</v>
      </c>
      <c r="C1123" s="48" t="s">
        <v>370</v>
      </c>
    </row>
    <row r="1124" spans="1:3">
      <c r="A1124" s="48">
        <v>17125</v>
      </c>
      <c r="B1124" s="25" t="s">
        <v>412</v>
      </c>
      <c r="C1124" s="48" t="s">
        <v>370</v>
      </c>
    </row>
    <row r="1125" spans="1:3">
      <c r="A1125" s="48">
        <v>17126</v>
      </c>
      <c r="B1125" s="25" t="s">
        <v>412</v>
      </c>
      <c r="C1125" s="48" t="s">
        <v>370</v>
      </c>
    </row>
    <row r="1126" spans="1:3">
      <c r="A1126" s="48">
        <v>17127</v>
      </c>
      <c r="B1126" s="25" t="s">
        <v>412</v>
      </c>
      <c r="C1126" s="48" t="s">
        <v>370</v>
      </c>
    </row>
    <row r="1127" spans="1:3">
      <c r="A1127" s="48">
        <v>17128</v>
      </c>
      <c r="B1127" s="25" t="s">
        <v>412</v>
      </c>
      <c r="C1127" s="48" t="s">
        <v>370</v>
      </c>
    </row>
    <row r="1128" spans="1:3">
      <c r="A1128" s="48">
        <v>17129</v>
      </c>
      <c r="B1128" s="25" t="s">
        <v>412</v>
      </c>
      <c r="C1128" s="48" t="s">
        <v>370</v>
      </c>
    </row>
    <row r="1129" spans="1:3">
      <c r="A1129" s="48">
        <v>17130</v>
      </c>
      <c r="B1129" s="25" t="s">
        <v>412</v>
      </c>
      <c r="C1129" s="48" t="s">
        <v>370</v>
      </c>
    </row>
    <row r="1130" spans="1:3">
      <c r="A1130" s="48">
        <v>17140</v>
      </c>
      <c r="B1130" s="25" t="s">
        <v>412</v>
      </c>
      <c r="C1130" s="48" t="s">
        <v>370</v>
      </c>
    </row>
    <row r="1131" spans="1:3">
      <c r="A1131" s="48">
        <v>17177</v>
      </c>
      <c r="B1131" s="25" t="s">
        <v>412</v>
      </c>
      <c r="C1131" s="48" t="s">
        <v>370</v>
      </c>
    </row>
    <row r="1132" spans="1:3">
      <c r="A1132" s="48">
        <v>17201</v>
      </c>
      <c r="B1132" s="25" t="s">
        <v>412</v>
      </c>
      <c r="C1132" s="48" t="s">
        <v>370</v>
      </c>
    </row>
    <row r="1133" spans="1:3">
      <c r="A1133" s="48">
        <v>17202</v>
      </c>
      <c r="B1133" s="25" t="s">
        <v>412</v>
      </c>
      <c r="C1133" s="48" t="s">
        <v>370</v>
      </c>
    </row>
    <row r="1134" spans="1:3">
      <c r="A1134" s="48">
        <v>17210</v>
      </c>
      <c r="B1134" s="25" t="s">
        <v>412</v>
      </c>
      <c r="C1134" s="48" t="s">
        <v>370</v>
      </c>
    </row>
    <row r="1135" spans="1:3">
      <c r="A1135" s="48">
        <v>17211</v>
      </c>
      <c r="B1135" s="25" t="s">
        <v>411</v>
      </c>
      <c r="C1135" s="48" t="s">
        <v>372</v>
      </c>
    </row>
    <row r="1136" spans="1:3">
      <c r="A1136" s="48">
        <v>17212</v>
      </c>
      <c r="B1136" s="25" t="s">
        <v>412</v>
      </c>
      <c r="C1136" s="48" t="s">
        <v>370</v>
      </c>
    </row>
    <row r="1137" spans="1:3">
      <c r="A1137" s="48">
        <v>17213</v>
      </c>
      <c r="B1137" s="25" t="s">
        <v>415</v>
      </c>
      <c r="C1137" s="48" t="s">
        <v>374</v>
      </c>
    </row>
    <row r="1138" spans="1:3">
      <c r="A1138" s="48">
        <v>17214</v>
      </c>
      <c r="B1138" s="25" t="s">
        <v>412</v>
      </c>
      <c r="C1138" s="48" t="s">
        <v>370</v>
      </c>
    </row>
    <row r="1139" spans="1:3">
      <c r="A1139" s="48">
        <v>17215</v>
      </c>
      <c r="B1139" s="25" t="s">
        <v>412</v>
      </c>
      <c r="C1139" s="48" t="s">
        <v>370</v>
      </c>
    </row>
    <row r="1140" spans="1:3">
      <c r="A1140" s="48">
        <v>17217</v>
      </c>
      <c r="B1140" s="25" t="s">
        <v>412</v>
      </c>
      <c r="C1140" s="48" t="s">
        <v>370</v>
      </c>
    </row>
    <row r="1141" spans="1:3">
      <c r="A1141" s="48">
        <v>17219</v>
      </c>
      <c r="B1141" s="25" t="s">
        <v>412</v>
      </c>
      <c r="C1141" s="48" t="s">
        <v>370</v>
      </c>
    </row>
    <row r="1142" spans="1:3">
      <c r="A1142" s="48">
        <v>17220</v>
      </c>
      <c r="B1142" s="25" t="s">
        <v>412</v>
      </c>
      <c r="C1142" s="48" t="s">
        <v>370</v>
      </c>
    </row>
    <row r="1143" spans="1:3">
      <c r="A1143" s="48">
        <v>17221</v>
      </c>
      <c r="B1143" s="25" t="s">
        <v>412</v>
      </c>
      <c r="C1143" s="48" t="s">
        <v>370</v>
      </c>
    </row>
    <row r="1144" spans="1:3">
      <c r="A1144" s="48">
        <v>17222</v>
      </c>
      <c r="B1144" s="25" t="s">
        <v>412</v>
      </c>
      <c r="C1144" s="48" t="s">
        <v>370</v>
      </c>
    </row>
    <row r="1145" spans="1:3">
      <c r="A1145" s="48">
        <v>17223</v>
      </c>
      <c r="B1145" s="25" t="s">
        <v>412</v>
      </c>
      <c r="C1145" s="48" t="s">
        <v>370</v>
      </c>
    </row>
    <row r="1146" spans="1:3">
      <c r="A1146" s="48">
        <v>17224</v>
      </c>
      <c r="B1146" s="25" t="s">
        <v>412</v>
      </c>
      <c r="C1146" s="48" t="s">
        <v>370</v>
      </c>
    </row>
    <row r="1147" spans="1:3">
      <c r="A1147" s="48">
        <v>17225</v>
      </c>
      <c r="B1147" s="25" t="s">
        <v>412</v>
      </c>
      <c r="C1147" s="48" t="s">
        <v>370</v>
      </c>
    </row>
    <row r="1148" spans="1:3">
      <c r="A1148" s="48">
        <v>17228</v>
      </c>
      <c r="B1148" s="25" t="s">
        <v>412</v>
      </c>
      <c r="C1148" s="48" t="s">
        <v>370</v>
      </c>
    </row>
    <row r="1149" spans="1:3">
      <c r="A1149" s="48">
        <v>17229</v>
      </c>
      <c r="B1149" s="25" t="s">
        <v>412</v>
      </c>
      <c r="C1149" s="48" t="s">
        <v>370</v>
      </c>
    </row>
    <row r="1150" spans="1:3">
      <c r="A1150" s="48">
        <v>17231</v>
      </c>
      <c r="B1150" s="25" t="s">
        <v>412</v>
      </c>
      <c r="C1150" s="48" t="s">
        <v>370</v>
      </c>
    </row>
    <row r="1151" spans="1:3">
      <c r="A1151" s="48">
        <v>17232</v>
      </c>
      <c r="B1151" s="25" t="s">
        <v>412</v>
      </c>
      <c r="C1151" s="48" t="s">
        <v>370</v>
      </c>
    </row>
    <row r="1152" spans="1:3">
      <c r="A1152" s="48">
        <v>17233</v>
      </c>
      <c r="B1152" s="25" t="s">
        <v>412</v>
      </c>
      <c r="C1152" s="48" t="s">
        <v>370</v>
      </c>
    </row>
    <row r="1153" spans="1:3">
      <c r="A1153" s="48">
        <v>17235</v>
      </c>
      <c r="B1153" s="25" t="s">
        <v>412</v>
      </c>
      <c r="C1153" s="48" t="s">
        <v>370</v>
      </c>
    </row>
    <row r="1154" spans="1:3">
      <c r="A1154" s="48">
        <v>17236</v>
      </c>
      <c r="B1154" s="25" t="s">
        <v>412</v>
      </c>
      <c r="C1154" s="48" t="s">
        <v>370</v>
      </c>
    </row>
    <row r="1155" spans="1:3">
      <c r="A1155" s="48">
        <v>17237</v>
      </c>
      <c r="B1155" s="25" t="s">
        <v>412</v>
      </c>
      <c r="C1155" s="48" t="s">
        <v>370</v>
      </c>
    </row>
    <row r="1156" spans="1:3">
      <c r="A1156" s="48">
        <v>17238</v>
      </c>
      <c r="B1156" s="25" t="s">
        <v>412</v>
      </c>
      <c r="C1156" s="48" t="s">
        <v>370</v>
      </c>
    </row>
    <row r="1157" spans="1:3">
      <c r="A1157" s="48">
        <v>17239</v>
      </c>
      <c r="B1157" s="25" t="s">
        <v>415</v>
      </c>
      <c r="C1157" s="48" t="s">
        <v>374</v>
      </c>
    </row>
    <row r="1158" spans="1:3">
      <c r="A1158" s="48">
        <v>17240</v>
      </c>
      <c r="B1158" s="25" t="s">
        <v>412</v>
      </c>
      <c r="C1158" s="48" t="s">
        <v>370</v>
      </c>
    </row>
    <row r="1159" spans="1:3">
      <c r="A1159" s="48">
        <v>17241</v>
      </c>
      <c r="B1159" s="25" t="s">
        <v>412</v>
      </c>
      <c r="C1159" s="48" t="s">
        <v>370</v>
      </c>
    </row>
    <row r="1160" spans="1:3">
      <c r="A1160" s="48">
        <v>17243</v>
      </c>
      <c r="B1160" s="25" t="s">
        <v>415</v>
      </c>
      <c r="C1160" s="48" t="s">
        <v>374</v>
      </c>
    </row>
    <row r="1161" spans="1:3">
      <c r="A1161" s="48">
        <v>17244</v>
      </c>
      <c r="B1161" s="25" t="s">
        <v>412</v>
      </c>
      <c r="C1161" s="48" t="s">
        <v>370</v>
      </c>
    </row>
    <row r="1162" spans="1:3">
      <c r="A1162" s="48">
        <v>17246</v>
      </c>
      <c r="B1162" s="25" t="s">
        <v>412</v>
      </c>
      <c r="C1162" s="48" t="s">
        <v>370</v>
      </c>
    </row>
    <row r="1163" spans="1:3">
      <c r="A1163" s="48">
        <v>17247</v>
      </c>
      <c r="B1163" s="25" t="s">
        <v>412</v>
      </c>
      <c r="C1163" s="48" t="s">
        <v>370</v>
      </c>
    </row>
    <row r="1164" spans="1:3">
      <c r="A1164" s="48">
        <v>17249</v>
      </c>
      <c r="B1164" s="25" t="s">
        <v>415</v>
      </c>
      <c r="C1164" s="48" t="s">
        <v>374</v>
      </c>
    </row>
    <row r="1165" spans="1:3">
      <c r="A1165" s="48">
        <v>17250</v>
      </c>
      <c r="B1165" s="25" t="s">
        <v>412</v>
      </c>
      <c r="C1165" s="48" t="s">
        <v>370</v>
      </c>
    </row>
    <row r="1166" spans="1:3">
      <c r="A1166" s="48">
        <v>17251</v>
      </c>
      <c r="B1166" s="25" t="s">
        <v>412</v>
      </c>
      <c r="C1166" s="48" t="s">
        <v>370</v>
      </c>
    </row>
    <row r="1167" spans="1:3">
      <c r="A1167" s="48">
        <v>17252</v>
      </c>
      <c r="B1167" s="25" t="s">
        <v>412</v>
      </c>
      <c r="C1167" s="48" t="s">
        <v>370</v>
      </c>
    </row>
    <row r="1168" spans="1:3">
      <c r="A1168" s="48">
        <v>17253</v>
      </c>
      <c r="B1168" s="25" t="s">
        <v>415</v>
      </c>
      <c r="C1168" s="48" t="s">
        <v>374</v>
      </c>
    </row>
    <row r="1169" spans="1:3">
      <c r="A1169" s="48">
        <v>17254</v>
      </c>
      <c r="B1169" s="25" t="s">
        <v>412</v>
      </c>
      <c r="C1169" s="48" t="s">
        <v>370</v>
      </c>
    </row>
    <row r="1170" spans="1:3">
      <c r="A1170" s="48">
        <v>17255</v>
      </c>
      <c r="B1170" s="25" t="s">
        <v>415</v>
      </c>
      <c r="C1170" s="48" t="s">
        <v>374</v>
      </c>
    </row>
    <row r="1171" spans="1:3">
      <c r="A1171" s="48">
        <v>17256</v>
      </c>
      <c r="B1171" s="25" t="s">
        <v>412</v>
      </c>
      <c r="C1171" s="48" t="s">
        <v>370</v>
      </c>
    </row>
    <row r="1172" spans="1:3">
      <c r="A1172" s="48">
        <v>17257</v>
      </c>
      <c r="B1172" s="25" t="s">
        <v>412</v>
      </c>
      <c r="C1172" s="48" t="s">
        <v>370</v>
      </c>
    </row>
    <row r="1173" spans="1:3">
      <c r="A1173" s="48">
        <v>17260</v>
      </c>
      <c r="B1173" s="25" t="s">
        <v>415</v>
      </c>
      <c r="C1173" s="48" t="s">
        <v>374</v>
      </c>
    </row>
    <row r="1174" spans="1:3">
      <c r="A1174" s="48">
        <v>17261</v>
      </c>
      <c r="B1174" s="25" t="s">
        <v>412</v>
      </c>
      <c r="C1174" s="48" t="s">
        <v>370</v>
      </c>
    </row>
    <row r="1175" spans="1:3">
      <c r="A1175" s="48">
        <v>17262</v>
      </c>
      <c r="B1175" s="25" t="s">
        <v>412</v>
      </c>
      <c r="C1175" s="48" t="s">
        <v>370</v>
      </c>
    </row>
    <row r="1176" spans="1:3">
      <c r="A1176" s="48">
        <v>17263</v>
      </c>
      <c r="B1176" s="25" t="s">
        <v>412</v>
      </c>
      <c r="C1176" s="48" t="s">
        <v>370</v>
      </c>
    </row>
    <row r="1177" spans="1:3">
      <c r="A1177" s="48">
        <v>17264</v>
      </c>
      <c r="B1177" s="25" t="s">
        <v>415</v>
      </c>
      <c r="C1177" s="48" t="s">
        <v>374</v>
      </c>
    </row>
    <row r="1178" spans="1:3">
      <c r="A1178" s="48">
        <v>17265</v>
      </c>
      <c r="B1178" s="25" t="s">
        <v>412</v>
      </c>
      <c r="C1178" s="48" t="s">
        <v>370</v>
      </c>
    </row>
    <row r="1179" spans="1:3">
      <c r="A1179" s="48">
        <v>17266</v>
      </c>
      <c r="B1179" s="25" t="s">
        <v>412</v>
      </c>
      <c r="C1179" s="48" t="s">
        <v>370</v>
      </c>
    </row>
    <row r="1180" spans="1:3">
      <c r="A1180" s="48">
        <v>17267</v>
      </c>
      <c r="B1180" s="25" t="s">
        <v>412</v>
      </c>
      <c r="C1180" s="48" t="s">
        <v>370</v>
      </c>
    </row>
    <row r="1181" spans="1:3">
      <c r="A1181" s="48">
        <v>17268</v>
      </c>
      <c r="B1181" s="25" t="s">
        <v>412</v>
      </c>
      <c r="C1181" s="48" t="s">
        <v>370</v>
      </c>
    </row>
    <row r="1182" spans="1:3">
      <c r="A1182" s="48">
        <v>17270</v>
      </c>
      <c r="B1182" s="25" t="s">
        <v>412</v>
      </c>
      <c r="C1182" s="48" t="s">
        <v>370</v>
      </c>
    </row>
    <row r="1183" spans="1:3">
      <c r="A1183" s="48">
        <v>17271</v>
      </c>
      <c r="B1183" s="25" t="s">
        <v>412</v>
      </c>
      <c r="C1183" s="48" t="s">
        <v>370</v>
      </c>
    </row>
    <row r="1184" spans="1:3">
      <c r="A1184" s="48">
        <v>17272</v>
      </c>
      <c r="B1184" s="25" t="s">
        <v>412</v>
      </c>
      <c r="C1184" s="48" t="s">
        <v>370</v>
      </c>
    </row>
    <row r="1185" spans="1:3">
      <c r="A1185" s="48">
        <v>17301</v>
      </c>
      <c r="B1185" s="25" t="s">
        <v>412</v>
      </c>
      <c r="C1185" s="48" t="s">
        <v>370</v>
      </c>
    </row>
    <row r="1186" spans="1:3">
      <c r="A1186" s="48">
        <v>17302</v>
      </c>
      <c r="B1186" s="25" t="s">
        <v>412</v>
      </c>
      <c r="C1186" s="48" t="s">
        <v>370</v>
      </c>
    </row>
    <row r="1187" spans="1:3">
      <c r="A1187" s="48">
        <v>17303</v>
      </c>
      <c r="B1187" s="25" t="s">
        <v>412</v>
      </c>
      <c r="C1187" s="48" t="s">
        <v>370</v>
      </c>
    </row>
    <row r="1188" spans="1:3">
      <c r="A1188" s="48">
        <v>17304</v>
      </c>
      <c r="B1188" s="25" t="s">
        <v>412</v>
      </c>
      <c r="C1188" s="48" t="s">
        <v>370</v>
      </c>
    </row>
    <row r="1189" spans="1:3">
      <c r="A1189" s="48">
        <v>17306</v>
      </c>
      <c r="B1189" s="25" t="s">
        <v>412</v>
      </c>
      <c r="C1189" s="48" t="s">
        <v>370</v>
      </c>
    </row>
    <row r="1190" spans="1:3">
      <c r="A1190" s="48">
        <v>17307</v>
      </c>
      <c r="B1190" s="25" t="s">
        <v>412</v>
      </c>
      <c r="C1190" s="48" t="s">
        <v>370</v>
      </c>
    </row>
    <row r="1191" spans="1:3">
      <c r="A1191" s="48">
        <v>17309</v>
      </c>
      <c r="B1191" s="25" t="s">
        <v>412</v>
      </c>
      <c r="C1191" s="48" t="s">
        <v>370</v>
      </c>
    </row>
    <row r="1192" spans="1:3">
      <c r="A1192" s="48">
        <v>17310</v>
      </c>
      <c r="B1192" s="25" t="s">
        <v>412</v>
      </c>
      <c r="C1192" s="48" t="s">
        <v>370</v>
      </c>
    </row>
    <row r="1193" spans="1:3">
      <c r="A1193" s="48">
        <v>17311</v>
      </c>
      <c r="B1193" s="25" t="s">
        <v>412</v>
      </c>
      <c r="C1193" s="48" t="s">
        <v>370</v>
      </c>
    </row>
    <row r="1194" spans="1:3">
      <c r="A1194" s="48">
        <v>17312</v>
      </c>
      <c r="B1194" s="25" t="s">
        <v>412</v>
      </c>
      <c r="C1194" s="48" t="s">
        <v>370</v>
      </c>
    </row>
    <row r="1195" spans="1:3">
      <c r="A1195" s="48">
        <v>17313</v>
      </c>
      <c r="B1195" s="25" t="s">
        <v>412</v>
      </c>
      <c r="C1195" s="48" t="s">
        <v>370</v>
      </c>
    </row>
    <row r="1196" spans="1:3">
      <c r="A1196" s="48">
        <v>17314</v>
      </c>
      <c r="B1196" s="25" t="s">
        <v>412</v>
      </c>
      <c r="C1196" s="48" t="s">
        <v>370</v>
      </c>
    </row>
    <row r="1197" spans="1:3">
      <c r="A1197" s="48">
        <v>17315</v>
      </c>
      <c r="B1197" s="25" t="s">
        <v>412</v>
      </c>
      <c r="C1197" s="48" t="s">
        <v>370</v>
      </c>
    </row>
    <row r="1198" spans="1:3">
      <c r="A1198" s="48">
        <v>17316</v>
      </c>
      <c r="B1198" s="25" t="s">
        <v>412</v>
      </c>
      <c r="C1198" s="48" t="s">
        <v>370</v>
      </c>
    </row>
    <row r="1199" spans="1:3">
      <c r="A1199" s="48">
        <v>17317</v>
      </c>
      <c r="B1199" s="25" t="s">
        <v>412</v>
      </c>
      <c r="C1199" s="48" t="s">
        <v>370</v>
      </c>
    </row>
    <row r="1200" spans="1:3">
      <c r="A1200" s="48">
        <v>17318</v>
      </c>
      <c r="B1200" s="25" t="s">
        <v>412</v>
      </c>
      <c r="C1200" s="48" t="s">
        <v>370</v>
      </c>
    </row>
    <row r="1201" spans="1:3">
      <c r="A1201" s="48">
        <v>17319</v>
      </c>
      <c r="B1201" s="25" t="s">
        <v>412</v>
      </c>
      <c r="C1201" s="48" t="s">
        <v>370</v>
      </c>
    </row>
    <row r="1202" spans="1:3">
      <c r="A1202" s="48">
        <v>17320</v>
      </c>
      <c r="B1202" s="25" t="s">
        <v>412</v>
      </c>
      <c r="C1202" s="48" t="s">
        <v>370</v>
      </c>
    </row>
    <row r="1203" spans="1:3">
      <c r="A1203" s="48">
        <v>17321</v>
      </c>
      <c r="B1203" s="25" t="s">
        <v>412</v>
      </c>
      <c r="C1203" s="48" t="s">
        <v>370</v>
      </c>
    </row>
    <row r="1204" spans="1:3">
      <c r="A1204" s="48">
        <v>17322</v>
      </c>
      <c r="B1204" s="25" t="s">
        <v>412</v>
      </c>
      <c r="C1204" s="48" t="s">
        <v>370</v>
      </c>
    </row>
    <row r="1205" spans="1:3">
      <c r="A1205" s="48">
        <v>17323</v>
      </c>
      <c r="B1205" s="25" t="s">
        <v>412</v>
      </c>
      <c r="C1205" s="48" t="s">
        <v>370</v>
      </c>
    </row>
    <row r="1206" spans="1:3">
      <c r="A1206" s="48">
        <v>17324</v>
      </c>
      <c r="B1206" s="25" t="s">
        <v>412</v>
      </c>
      <c r="C1206" s="48" t="s">
        <v>370</v>
      </c>
    </row>
    <row r="1207" spans="1:3">
      <c r="A1207" s="48">
        <v>17325</v>
      </c>
      <c r="B1207" s="25" t="s">
        <v>412</v>
      </c>
      <c r="C1207" s="48" t="s">
        <v>370</v>
      </c>
    </row>
    <row r="1208" spans="1:3">
      <c r="A1208" s="48">
        <v>17326</v>
      </c>
      <c r="B1208" s="25" t="s">
        <v>412</v>
      </c>
      <c r="C1208" s="48" t="s">
        <v>370</v>
      </c>
    </row>
    <row r="1209" spans="1:3">
      <c r="A1209" s="48">
        <v>17327</v>
      </c>
      <c r="B1209" s="25" t="s">
        <v>412</v>
      </c>
      <c r="C1209" s="48" t="s">
        <v>370</v>
      </c>
    </row>
    <row r="1210" spans="1:3">
      <c r="A1210" s="48">
        <v>17329</v>
      </c>
      <c r="B1210" s="25" t="s">
        <v>412</v>
      </c>
      <c r="C1210" s="48" t="s">
        <v>370</v>
      </c>
    </row>
    <row r="1211" spans="1:3">
      <c r="A1211" s="48">
        <v>17331</v>
      </c>
      <c r="B1211" s="25" t="s">
        <v>412</v>
      </c>
      <c r="C1211" s="48" t="s">
        <v>370</v>
      </c>
    </row>
    <row r="1212" spans="1:3">
      <c r="A1212" s="48">
        <v>17332</v>
      </c>
      <c r="B1212" s="25" t="s">
        <v>412</v>
      </c>
      <c r="C1212" s="48" t="s">
        <v>370</v>
      </c>
    </row>
    <row r="1213" spans="1:3">
      <c r="A1213" s="48">
        <v>17333</v>
      </c>
      <c r="B1213" s="25" t="s">
        <v>412</v>
      </c>
      <c r="C1213" s="48" t="s">
        <v>370</v>
      </c>
    </row>
    <row r="1214" spans="1:3">
      <c r="A1214" s="48">
        <v>17334</v>
      </c>
      <c r="B1214" s="25" t="s">
        <v>412</v>
      </c>
      <c r="C1214" s="48" t="s">
        <v>370</v>
      </c>
    </row>
    <row r="1215" spans="1:3">
      <c r="A1215" s="48">
        <v>17337</v>
      </c>
      <c r="B1215" s="25" t="s">
        <v>412</v>
      </c>
      <c r="C1215" s="48" t="s">
        <v>370</v>
      </c>
    </row>
    <row r="1216" spans="1:3">
      <c r="A1216" s="48">
        <v>17339</v>
      </c>
      <c r="B1216" s="25" t="s">
        <v>412</v>
      </c>
      <c r="C1216" s="48" t="s">
        <v>370</v>
      </c>
    </row>
    <row r="1217" spans="1:3">
      <c r="A1217" s="48">
        <v>17340</v>
      </c>
      <c r="B1217" s="25" t="s">
        <v>412</v>
      </c>
      <c r="C1217" s="48" t="s">
        <v>370</v>
      </c>
    </row>
    <row r="1218" spans="1:3">
      <c r="A1218" s="48">
        <v>17342</v>
      </c>
      <c r="B1218" s="25" t="s">
        <v>412</v>
      </c>
      <c r="C1218" s="48" t="s">
        <v>370</v>
      </c>
    </row>
    <row r="1219" spans="1:3">
      <c r="A1219" s="48">
        <v>17343</v>
      </c>
      <c r="B1219" s="25" t="s">
        <v>412</v>
      </c>
      <c r="C1219" s="48" t="s">
        <v>370</v>
      </c>
    </row>
    <row r="1220" spans="1:3">
      <c r="A1220" s="48">
        <v>17344</v>
      </c>
      <c r="B1220" s="25" t="s">
        <v>412</v>
      </c>
      <c r="C1220" s="48" t="s">
        <v>370</v>
      </c>
    </row>
    <row r="1221" spans="1:3">
      <c r="A1221" s="48">
        <v>17345</v>
      </c>
      <c r="B1221" s="25" t="s">
        <v>412</v>
      </c>
      <c r="C1221" s="48" t="s">
        <v>370</v>
      </c>
    </row>
    <row r="1222" spans="1:3">
      <c r="A1222" s="48">
        <v>17347</v>
      </c>
      <c r="B1222" s="25" t="s">
        <v>412</v>
      </c>
      <c r="C1222" s="48" t="s">
        <v>370</v>
      </c>
    </row>
    <row r="1223" spans="1:3">
      <c r="A1223" s="48">
        <v>17349</v>
      </c>
      <c r="B1223" s="25" t="s">
        <v>412</v>
      </c>
      <c r="C1223" s="48" t="s">
        <v>370</v>
      </c>
    </row>
    <row r="1224" spans="1:3">
      <c r="A1224" s="48">
        <v>17350</v>
      </c>
      <c r="B1224" s="25" t="s">
        <v>412</v>
      </c>
      <c r="C1224" s="48" t="s">
        <v>370</v>
      </c>
    </row>
    <row r="1225" spans="1:3">
      <c r="A1225" s="48">
        <v>17352</v>
      </c>
      <c r="B1225" s="25" t="s">
        <v>412</v>
      </c>
      <c r="C1225" s="48" t="s">
        <v>370</v>
      </c>
    </row>
    <row r="1226" spans="1:3">
      <c r="A1226" s="48">
        <v>17353</v>
      </c>
      <c r="B1226" s="25" t="s">
        <v>412</v>
      </c>
      <c r="C1226" s="48" t="s">
        <v>370</v>
      </c>
    </row>
    <row r="1227" spans="1:3">
      <c r="A1227" s="48">
        <v>17354</v>
      </c>
      <c r="B1227" s="25" t="s">
        <v>412</v>
      </c>
      <c r="C1227" s="48" t="s">
        <v>370</v>
      </c>
    </row>
    <row r="1228" spans="1:3">
      <c r="A1228" s="48">
        <v>17355</v>
      </c>
      <c r="B1228" s="25" t="s">
        <v>412</v>
      </c>
      <c r="C1228" s="48" t="s">
        <v>370</v>
      </c>
    </row>
    <row r="1229" spans="1:3">
      <c r="A1229" s="48">
        <v>17356</v>
      </c>
      <c r="B1229" s="25" t="s">
        <v>412</v>
      </c>
      <c r="C1229" s="48" t="s">
        <v>370</v>
      </c>
    </row>
    <row r="1230" spans="1:3">
      <c r="A1230" s="48">
        <v>17358</v>
      </c>
      <c r="B1230" s="25" t="s">
        <v>412</v>
      </c>
      <c r="C1230" s="48" t="s">
        <v>370</v>
      </c>
    </row>
    <row r="1231" spans="1:3">
      <c r="A1231" s="48">
        <v>17360</v>
      </c>
      <c r="B1231" s="25" t="s">
        <v>412</v>
      </c>
      <c r="C1231" s="48" t="s">
        <v>370</v>
      </c>
    </row>
    <row r="1232" spans="1:3">
      <c r="A1232" s="48">
        <v>17361</v>
      </c>
      <c r="B1232" s="25" t="s">
        <v>412</v>
      </c>
      <c r="C1232" s="48" t="s">
        <v>370</v>
      </c>
    </row>
    <row r="1233" spans="1:3">
      <c r="A1233" s="48">
        <v>17362</v>
      </c>
      <c r="B1233" s="25" t="s">
        <v>412</v>
      </c>
      <c r="C1233" s="48" t="s">
        <v>370</v>
      </c>
    </row>
    <row r="1234" spans="1:3">
      <c r="A1234" s="48">
        <v>17363</v>
      </c>
      <c r="B1234" s="25" t="s">
        <v>412</v>
      </c>
      <c r="C1234" s="48" t="s">
        <v>370</v>
      </c>
    </row>
    <row r="1235" spans="1:3">
      <c r="A1235" s="48">
        <v>17364</v>
      </c>
      <c r="B1235" s="25" t="s">
        <v>412</v>
      </c>
      <c r="C1235" s="48" t="s">
        <v>370</v>
      </c>
    </row>
    <row r="1236" spans="1:3">
      <c r="A1236" s="48">
        <v>17365</v>
      </c>
      <c r="B1236" s="25" t="s">
        <v>412</v>
      </c>
      <c r="C1236" s="48" t="s">
        <v>370</v>
      </c>
    </row>
    <row r="1237" spans="1:3">
      <c r="A1237" s="48">
        <v>17366</v>
      </c>
      <c r="B1237" s="25" t="s">
        <v>412</v>
      </c>
      <c r="C1237" s="48" t="s">
        <v>370</v>
      </c>
    </row>
    <row r="1238" spans="1:3">
      <c r="A1238" s="48">
        <v>17368</v>
      </c>
      <c r="B1238" s="25" t="s">
        <v>412</v>
      </c>
      <c r="C1238" s="48" t="s">
        <v>370</v>
      </c>
    </row>
    <row r="1239" spans="1:3">
      <c r="A1239" s="48">
        <v>17370</v>
      </c>
      <c r="B1239" s="25" t="s">
        <v>412</v>
      </c>
      <c r="C1239" s="48" t="s">
        <v>370</v>
      </c>
    </row>
    <row r="1240" spans="1:3">
      <c r="A1240" s="48">
        <v>17371</v>
      </c>
      <c r="B1240" s="25" t="s">
        <v>412</v>
      </c>
      <c r="C1240" s="48" t="s">
        <v>370</v>
      </c>
    </row>
    <row r="1241" spans="1:3">
      <c r="A1241" s="48">
        <v>17372</v>
      </c>
      <c r="B1241" s="25" t="s">
        <v>412</v>
      </c>
      <c r="C1241" s="48" t="s">
        <v>370</v>
      </c>
    </row>
    <row r="1242" spans="1:3">
      <c r="A1242" s="48">
        <v>17375</v>
      </c>
      <c r="B1242" s="25" t="s">
        <v>412</v>
      </c>
      <c r="C1242" s="48" t="s">
        <v>370</v>
      </c>
    </row>
    <row r="1243" spans="1:3">
      <c r="A1243" s="48">
        <v>17401</v>
      </c>
      <c r="B1243" s="25" t="s">
        <v>412</v>
      </c>
      <c r="C1243" s="48" t="s">
        <v>370</v>
      </c>
    </row>
    <row r="1244" spans="1:3">
      <c r="A1244" s="48">
        <v>17402</v>
      </c>
      <c r="B1244" s="25" t="s">
        <v>412</v>
      </c>
      <c r="C1244" s="48" t="s">
        <v>370</v>
      </c>
    </row>
    <row r="1245" spans="1:3">
      <c r="A1245" s="48">
        <v>17403</v>
      </c>
      <c r="B1245" s="25" t="s">
        <v>412</v>
      </c>
      <c r="C1245" s="48" t="s">
        <v>370</v>
      </c>
    </row>
    <row r="1246" spans="1:3">
      <c r="A1246" s="48">
        <v>17404</v>
      </c>
      <c r="B1246" s="25" t="s">
        <v>412</v>
      </c>
      <c r="C1246" s="48" t="s">
        <v>370</v>
      </c>
    </row>
    <row r="1247" spans="1:3">
      <c r="A1247" s="48">
        <v>17405</v>
      </c>
      <c r="B1247" s="25" t="s">
        <v>412</v>
      </c>
      <c r="C1247" s="48" t="s">
        <v>370</v>
      </c>
    </row>
    <row r="1248" spans="1:3">
      <c r="A1248" s="48">
        <v>17406</v>
      </c>
      <c r="B1248" s="25" t="s">
        <v>412</v>
      </c>
      <c r="C1248" s="48" t="s">
        <v>370</v>
      </c>
    </row>
    <row r="1249" spans="1:3">
      <c r="A1249" s="48">
        <v>17407</v>
      </c>
      <c r="B1249" s="25" t="s">
        <v>412</v>
      </c>
      <c r="C1249" s="48" t="s">
        <v>370</v>
      </c>
    </row>
    <row r="1250" spans="1:3">
      <c r="A1250" s="48">
        <v>17408</v>
      </c>
      <c r="B1250" s="25" t="s">
        <v>412</v>
      </c>
      <c r="C1250" s="48" t="s">
        <v>370</v>
      </c>
    </row>
    <row r="1251" spans="1:3">
      <c r="A1251" s="48">
        <v>17415</v>
      </c>
      <c r="B1251" s="25" t="s">
        <v>412</v>
      </c>
      <c r="C1251" s="48" t="s">
        <v>370</v>
      </c>
    </row>
    <row r="1252" spans="1:3">
      <c r="A1252" s="48">
        <v>17501</v>
      </c>
      <c r="B1252" s="25" t="s">
        <v>417</v>
      </c>
      <c r="C1252" s="48" t="s">
        <v>371</v>
      </c>
    </row>
    <row r="1253" spans="1:3">
      <c r="A1253" s="48">
        <v>17502</v>
      </c>
      <c r="B1253" s="25" t="s">
        <v>417</v>
      </c>
      <c r="C1253" s="48" t="s">
        <v>371</v>
      </c>
    </row>
    <row r="1254" spans="1:3">
      <c r="A1254" s="48">
        <v>17503</v>
      </c>
      <c r="B1254" s="25" t="s">
        <v>417</v>
      </c>
      <c r="C1254" s="48" t="s">
        <v>371</v>
      </c>
    </row>
    <row r="1255" spans="1:3">
      <c r="A1255" s="48">
        <v>17504</v>
      </c>
      <c r="B1255" s="25" t="s">
        <v>417</v>
      </c>
      <c r="C1255" s="48" t="s">
        <v>371</v>
      </c>
    </row>
    <row r="1256" spans="1:3">
      <c r="A1256" s="48">
        <v>17505</v>
      </c>
      <c r="B1256" s="25" t="s">
        <v>417</v>
      </c>
      <c r="C1256" s="48" t="s">
        <v>371</v>
      </c>
    </row>
    <row r="1257" spans="1:3">
      <c r="A1257" s="48">
        <v>17506</v>
      </c>
      <c r="B1257" s="25" t="s">
        <v>417</v>
      </c>
      <c r="C1257" s="48" t="s">
        <v>371</v>
      </c>
    </row>
    <row r="1258" spans="1:3">
      <c r="A1258" s="48">
        <v>17507</v>
      </c>
      <c r="B1258" s="25" t="s">
        <v>417</v>
      </c>
      <c r="C1258" s="48" t="s">
        <v>371</v>
      </c>
    </row>
    <row r="1259" spans="1:3">
      <c r="A1259" s="48">
        <v>17508</v>
      </c>
      <c r="B1259" s="25" t="s">
        <v>417</v>
      </c>
      <c r="C1259" s="48" t="s">
        <v>371</v>
      </c>
    </row>
    <row r="1260" spans="1:3">
      <c r="A1260" s="48">
        <v>17509</v>
      </c>
      <c r="B1260" s="25" t="s">
        <v>417</v>
      </c>
      <c r="C1260" s="48" t="s">
        <v>371</v>
      </c>
    </row>
    <row r="1261" spans="1:3">
      <c r="A1261" s="48">
        <v>17512</v>
      </c>
      <c r="B1261" s="25" t="s">
        <v>417</v>
      </c>
      <c r="C1261" s="48" t="s">
        <v>371</v>
      </c>
    </row>
    <row r="1262" spans="1:3">
      <c r="A1262" s="48">
        <v>17516</v>
      </c>
      <c r="B1262" s="25" t="s">
        <v>417</v>
      </c>
      <c r="C1262" s="48" t="s">
        <v>371</v>
      </c>
    </row>
    <row r="1263" spans="1:3">
      <c r="A1263" s="48">
        <v>17517</v>
      </c>
      <c r="B1263" s="25" t="s">
        <v>417</v>
      </c>
      <c r="C1263" s="48" t="s">
        <v>371</v>
      </c>
    </row>
    <row r="1264" spans="1:3">
      <c r="A1264" s="48">
        <v>17518</v>
      </c>
      <c r="B1264" s="25" t="s">
        <v>417</v>
      </c>
      <c r="C1264" s="48" t="s">
        <v>371</v>
      </c>
    </row>
    <row r="1265" spans="1:3">
      <c r="A1265" s="48">
        <v>17519</v>
      </c>
      <c r="B1265" s="25" t="s">
        <v>417</v>
      </c>
      <c r="C1265" s="48" t="s">
        <v>371</v>
      </c>
    </row>
    <row r="1266" spans="1:3">
      <c r="A1266" s="48">
        <v>17520</v>
      </c>
      <c r="B1266" s="25" t="s">
        <v>417</v>
      </c>
      <c r="C1266" s="48" t="s">
        <v>371</v>
      </c>
    </row>
    <row r="1267" spans="1:3">
      <c r="A1267" s="48">
        <v>17521</v>
      </c>
      <c r="B1267" s="25" t="s">
        <v>417</v>
      </c>
      <c r="C1267" s="48" t="s">
        <v>371</v>
      </c>
    </row>
    <row r="1268" spans="1:3">
      <c r="A1268" s="48">
        <v>17522</v>
      </c>
      <c r="B1268" s="25" t="s">
        <v>417</v>
      </c>
      <c r="C1268" s="48" t="s">
        <v>371</v>
      </c>
    </row>
    <row r="1269" spans="1:3">
      <c r="A1269" s="48">
        <v>17527</v>
      </c>
      <c r="B1269" s="25" t="s">
        <v>417</v>
      </c>
      <c r="C1269" s="48" t="s">
        <v>371</v>
      </c>
    </row>
    <row r="1270" spans="1:3">
      <c r="A1270" s="48">
        <v>17528</v>
      </c>
      <c r="B1270" s="25" t="s">
        <v>417</v>
      </c>
      <c r="C1270" s="48" t="s">
        <v>371</v>
      </c>
    </row>
    <row r="1271" spans="1:3">
      <c r="A1271" s="48">
        <v>17529</v>
      </c>
      <c r="B1271" s="25" t="s">
        <v>417</v>
      </c>
      <c r="C1271" s="48" t="s">
        <v>371</v>
      </c>
    </row>
    <row r="1272" spans="1:3">
      <c r="A1272" s="48">
        <v>17532</v>
      </c>
      <c r="B1272" s="25" t="s">
        <v>417</v>
      </c>
      <c r="C1272" s="48" t="s">
        <v>371</v>
      </c>
    </row>
    <row r="1273" spans="1:3">
      <c r="A1273" s="48">
        <v>17533</v>
      </c>
      <c r="B1273" s="25" t="s">
        <v>417</v>
      </c>
      <c r="C1273" s="48" t="s">
        <v>371</v>
      </c>
    </row>
    <row r="1274" spans="1:3">
      <c r="A1274" s="48">
        <v>17534</v>
      </c>
      <c r="B1274" s="25" t="s">
        <v>417</v>
      </c>
      <c r="C1274" s="48" t="s">
        <v>371</v>
      </c>
    </row>
    <row r="1275" spans="1:3">
      <c r="A1275" s="48">
        <v>17535</v>
      </c>
      <c r="B1275" s="25" t="s">
        <v>417</v>
      </c>
      <c r="C1275" s="48" t="s">
        <v>371</v>
      </c>
    </row>
    <row r="1276" spans="1:3">
      <c r="A1276" s="48">
        <v>17536</v>
      </c>
      <c r="B1276" s="25" t="s">
        <v>417</v>
      </c>
      <c r="C1276" s="48" t="s">
        <v>371</v>
      </c>
    </row>
    <row r="1277" spans="1:3">
      <c r="A1277" s="48">
        <v>17537</v>
      </c>
      <c r="B1277" s="25" t="s">
        <v>417</v>
      </c>
      <c r="C1277" s="48" t="s">
        <v>371</v>
      </c>
    </row>
    <row r="1278" spans="1:3">
      <c r="A1278" s="48">
        <v>17538</v>
      </c>
      <c r="B1278" s="25" t="s">
        <v>417</v>
      </c>
      <c r="C1278" s="48" t="s">
        <v>371</v>
      </c>
    </row>
    <row r="1279" spans="1:3">
      <c r="A1279" s="48">
        <v>17540</v>
      </c>
      <c r="B1279" s="25" t="s">
        <v>417</v>
      </c>
      <c r="C1279" s="48" t="s">
        <v>371</v>
      </c>
    </row>
    <row r="1280" spans="1:3">
      <c r="A1280" s="48">
        <v>17543</v>
      </c>
      <c r="B1280" s="25" t="s">
        <v>417</v>
      </c>
      <c r="C1280" s="48" t="s">
        <v>371</v>
      </c>
    </row>
    <row r="1281" spans="1:3">
      <c r="A1281" s="48">
        <v>17545</v>
      </c>
      <c r="B1281" s="25" t="s">
        <v>417</v>
      </c>
      <c r="C1281" s="48" t="s">
        <v>371</v>
      </c>
    </row>
    <row r="1282" spans="1:3">
      <c r="A1282" s="48">
        <v>17547</v>
      </c>
      <c r="B1282" s="25" t="s">
        <v>417</v>
      </c>
      <c r="C1282" s="48" t="s">
        <v>371</v>
      </c>
    </row>
    <row r="1283" spans="1:3">
      <c r="A1283" s="48">
        <v>17549</v>
      </c>
      <c r="B1283" s="25" t="s">
        <v>417</v>
      </c>
      <c r="C1283" s="48" t="s">
        <v>371</v>
      </c>
    </row>
    <row r="1284" spans="1:3">
      <c r="A1284" s="48">
        <v>17550</v>
      </c>
      <c r="B1284" s="25" t="s">
        <v>417</v>
      </c>
      <c r="C1284" s="48" t="s">
        <v>371</v>
      </c>
    </row>
    <row r="1285" spans="1:3">
      <c r="A1285" s="48">
        <v>17551</v>
      </c>
      <c r="B1285" s="25" t="s">
        <v>417</v>
      </c>
      <c r="C1285" s="48" t="s">
        <v>371</v>
      </c>
    </row>
    <row r="1286" spans="1:3">
      <c r="A1286" s="48">
        <v>17552</v>
      </c>
      <c r="B1286" s="25" t="s">
        <v>417</v>
      </c>
      <c r="C1286" s="48" t="s">
        <v>371</v>
      </c>
    </row>
    <row r="1287" spans="1:3">
      <c r="A1287" s="48">
        <v>17554</v>
      </c>
      <c r="B1287" s="25" t="s">
        <v>417</v>
      </c>
      <c r="C1287" s="48" t="s">
        <v>371</v>
      </c>
    </row>
    <row r="1288" spans="1:3">
      <c r="A1288" s="48">
        <v>17555</v>
      </c>
      <c r="B1288" s="25" t="s">
        <v>417</v>
      </c>
      <c r="C1288" s="48" t="s">
        <v>371</v>
      </c>
    </row>
    <row r="1289" spans="1:3">
      <c r="A1289" s="48">
        <v>17557</v>
      </c>
      <c r="B1289" s="25" t="s">
        <v>417</v>
      </c>
      <c r="C1289" s="48" t="s">
        <v>371</v>
      </c>
    </row>
    <row r="1290" spans="1:3">
      <c r="A1290" s="48">
        <v>17560</v>
      </c>
      <c r="B1290" s="25" t="s">
        <v>417</v>
      </c>
      <c r="C1290" s="48" t="s">
        <v>371</v>
      </c>
    </row>
    <row r="1291" spans="1:3">
      <c r="A1291" s="48">
        <v>17562</v>
      </c>
      <c r="B1291" s="25" t="s">
        <v>417</v>
      </c>
      <c r="C1291" s="48" t="s">
        <v>371</v>
      </c>
    </row>
    <row r="1292" spans="1:3">
      <c r="A1292" s="48">
        <v>17563</v>
      </c>
      <c r="B1292" s="25" t="s">
        <v>417</v>
      </c>
      <c r="C1292" s="48" t="s">
        <v>371</v>
      </c>
    </row>
    <row r="1293" spans="1:3">
      <c r="A1293" s="48">
        <v>17564</v>
      </c>
      <c r="B1293" s="25" t="s">
        <v>417</v>
      </c>
      <c r="C1293" s="48" t="s">
        <v>371</v>
      </c>
    </row>
    <row r="1294" spans="1:3">
      <c r="A1294" s="48">
        <v>17565</v>
      </c>
      <c r="B1294" s="25" t="s">
        <v>417</v>
      </c>
      <c r="C1294" s="48" t="s">
        <v>371</v>
      </c>
    </row>
    <row r="1295" spans="1:3">
      <c r="A1295" s="48">
        <v>17566</v>
      </c>
      <c r="B1295" s="25" t="s">
        <v>417</v>
      </c>
      <c r="C1295" s="48" t="s">
        <v>371</v>
      </c>
    </row>
    <row r="1296" spans="1:3">
      <c r="A1296" s="48">
        <v>17567</v>
      </c>
      <c r="B1296" s="25" t="s">
        <v>417</v>
      </c>
      <c r="C1296" s="48" t="s">
        <v>371</v>
      </c>
    </row>
    <row r="1297" spans="1:3">
      <c r="A1297" s="48">
        <v>17568</v>
      </c>
      <c r="B1297" s="25" t="s">
        <v>417</v>
      </c>
      <c r="C1297" s="48" t="s">
        <v>371</v>
      </c>
    </row>
    <row r="1298" spans="1:3">
      <c r="A1298" s="48">
        <v>17569</v>
      </c>
      <c r="B1298" s="25" t="s">
        <v>417</v>
      </c>
      <c r="C1298" s="48" t="s">
        <v>371</v>
      </c>
    </row>
    <row r="1299" spans="1:3">
      <c r="A1299" s="48">
        <v>17570</v>
      </c>
      <c r="B1299" s="25" t="s">
        <v>417</v>
      </c>
      <c r="C1299" s="48" t="s">
        <v>371</v>
      </c>
    </row>
    <row r="1300" spans="1:3">
      <c r="A1300" s="48">
        <v>17572</v>
      </c>
      <c r="B1300" s="25" t="s">
        <v>417</v>
      </c>
      <c r="C1300" s="48" t="s">
        <v>371</v>
      </c>
    </row>
    <row r="1301" spans="1:3">
      <c r="A1301" s="48">
        <v>17573</v>
      </c>
      <c r="B1301" s="25" t="s">
        <v>417</v>
      </c>
      <c r="C1301" s="48" t="s">
        <v>371</v>
      </c>
    </row>
    <row r="1302" spans="1:3">
      <c r="A1302" s="48">
        <v>17575</v>
      </c>
      <c r="B1302" s="25" t="s">
        <v>417</v>
      </c>
      <c r="C1302" s="48" t="s">
        <v>371</v>
      </c>
    </row>
    <row r="1303" spans="1:3">
      <c r="A1303" s="48">
        <v>17576</v>
      </c>
      <c r="B1303" s="25" t="s">
        <v>417</v>
      </c>
      <c r="C1303" s="48" t="s">
        <v>371</v>
      </c>
    </row>
    <row r="1304" spans="1:3">
      <c r="A1304" s="48">
        <v>17577</v>
      </c>
      <c r="B1304" s="25" t="s">
        <v>417</v>
      </c>
      <c r="C1304" s="48" t="s">
        <v>371</v>
      </c>
    </row>
    <row r="1305" spans="1:3">
      <c r="A1305" s="48">
        <v>17578</v>
      </c>
      <c r="B1305" s="25" t="s">
        <v>417</v>
      </c>
      <c r="C1305" s="48" t="s">
        <v>371</v>
      </c>
    </row>
    <row r="1306" spans="1:3">
      <c r="A1306" s="48">
        <v>17579</v>
      </c>
      <c r="B1306" s="25" t="s">
        <v>417</v>
      </c>
      <c r="C1306" s="48" t="s">
        <v>371</v>
      </c>
    </row>
    <row r="1307" spans="1:3">
      <c r="A1307" s="48">
        <v>17580</v>
      </c>
      <c r="B1307" s="25" t="s">
        <v>417</v>
      </c>
      <c r="C1307" s="48" t="s">
        <v>371</v>
      </c>
    </row>
    <row r="1308" spans="1:3">
      <c r="A1308" s="48">
        <v>17581</v>
      </c>
      <c r="B1308" s="25" t="s">
        <v>417</v>
      </c>
      <c r="C1308" s="48" t="s">
        <v>371</v>
      </c>
    </row>
    <row r="1309" spans="1:3">
      <c r="A1309" s="48">
        <v>17582</v>
      </c>
      <c r="B1309" s="25" t="s">
        <v>417</v>
      </c>
      <c r="C1309" s="48" t="s">
        <v>371</v>
      </c>
    </row>
    <row r="1310" spans="1:3">
      <c r="A1310" s="48">
        <v>17583</v>
      </c>
      <c r="B1310" s="25" t="s">
        <v>417</v>
      </c>
      <c r="C1310" s="48" t="s">
        <v>371</v>
      </c>
    </row>
    <row r="1311" spans="1:3">
      <c r="A1311" s="48">
        <v>17584</v>
      </c>
      <c r="B1311" s="25" t="s">
        <v>417</v>
      </c>
      <c r="C1311" s="48" t="s">
        <v>371</v>
      </c>
    </row>
    <row r="1312" spans="1:3">
      <c r="A1312" s="48">
        <v>17585</v>
      </c>
      <c r="B1312" s="25" t="s">
        <v>417</v>
      </c>
      <c r="C1312" s="48" t="s">
        <v>371</v>
      </c>
    </row>
    <row r="1313" spans="1:3">
      <c r="A1313" s="48">
        <v>17601</v>
      </c>
      <c r="B1313" s="25" t="s">
        <v>417</v>
      </c>
      <c r="C1313" s="48" t="s">
        <v>371</v>
      </c>
    </row>
    <row r="1314" spans="1:3">
      <c r="A1314" s="48">
        <v>17602</v>
      </c>
      <c r="B1314" s="25" t="s">
        <v>417</v>
      </c>
      <c r="C1314" s="48" t="s">
        <v>371</v>
      </c>
    </row>
    <row r="1315" spans="1:3">
      <c r="A1315" s="48">
        <v>17603</v>
      </c>
      <c r="B1315" s="25" t="s">
        <v>417</v>
      </c>
      <c r="C1315" s="48" t="s">
        <v>371</v>
      </c>
    </row>
    <row r="1316" spans="1:3">
      <c r="A1316" s="48">
        <v>17604</v>
      </c>
      <c r="B1316" s="25" t="s">
        <v>417</v>
      </c>
      <c r="C1316" s="48" t="s">
        <v>371</v>
      </c>
    </row>
    <row r="1317" spans="1:3">
      <c r="A1317" s="48">
        <v>17605</v>
      </c>
      <c r="B1317" s="25" t="s">
        <v>417</v>
      </c>
      <c r="C1317" s="48" t="s">
        <v>371</v>
      </c>
    </row>
    <row r="1318" spans="1:3">
      <c r="A1318" s="48">
        <v>17606</v>
      </c>
      <c r="B1318" s="25" t="s">
        <v>417</v>
      </c>
      <c r="C1318" s="48" t="s">
        <v>371</v>
      </c>
    </row>
    <row r="1319" spans="1:3">
      <c r="A1319" s="48">
        <v>17607</v>
      </c>
      <c r="B1319" s="25" t="s">
        <v>417</v>
      </c>
      <c r="C1319" s="48" t="s">
        <v>371</v>
      </c>
    </row>
    <row r="1320" spans="1:3">
      <c r="A1320" s="48">
        <v>17608</v>
      </c>
      <c r="B1320" s="25" t="s">
        <v>417</v>
      </c>
      <c r="C1320" s="48" t="s">
        <v>371</v>
      </c>
    </row>
    <row r="1321" spans="1:3">
      <c r="A1321" s="48">
        <v>17611</v>
      </c>
      <c r="B1321" s="25" t="s">
        <v>417</v>
      </c>
      <c r="C1321" s="48" t="s">
        <v>371</v>
      </c>
    </row>
    <row r="1322" spans="1:3">
      <c r="A1322" s="48">
        <v>17622</v>
      </c>
      <c r="B1322" s="25" t="s">
        <v>417</v>
      </c>
      <c r="C1322" s="48" t="s">
        <v>371</v>
      </c>
    </row>
    <row r="1323" spans="1:3">
      <c r="A1323" s="48">
        <v>17699</v>
      </c>
      <c r="B1323" s="25" t="s">
        <v>417</v>
      </c>
      <c r="C1323" s="48" t="s">
        <v>371</v>
      </c>
    </row>
    <row r="1324" spans="1:3">
      <c r="A1324" s="48">
        <v>17701</v>
      </c>
      <c r="B1324" s="25" t="s">
        <v>415</v>
      </c>
      <c r="C1324" s="48" t="s">
        <v>374</v>
      </c>
    </row>
    <row r="1325" spans="1:3">
      <c r="A1325" s="48">
        <v>17702</v>
      </c>
      <c r="B1325" s="25" t="s">
        <v>415</v>
      </c>
      <c r="C1325" s="48" t="s">
        <v>374</v>
      </c>
    </row>
    <row r="1326" spans="1:3">
      <c r="A1326" s="48">
        <v>17703</v>
      </c>
      <c r="B1326" s="25" t="s">
        <v>415</v>
      </c>
      <c r="C1326" s="48" t="s">
        <v>374</v>
      </c>
    </row>
    <row r="1327" spans="1:3">
      <c r="A1327" s="48">
        <v>17705</v>
      </c>
      <c r="B1327" s="25" t="s">
        <v>415</v>
      </c>
      <c r="C1327" s="48" t="s">
        <v>374</v>
      </c>
    </row>
    <row r="1328" spans="1:3">
      <c r="A1328" s="48">
        <v>17720</v>
      </c>
      <c r="B1328" s="25" t="s">
        <v>415</v>
      </c>
      <c r="C1328" s="48" t="s">
        <v>374</v>
      </c>
    </row>
    <row r="1329" spans="1:3">
      <c r="A1329" s="48">
        <v>17721</v>
      </c>
      <c r="B1329" s="25" t="s">
        <v>415</v>
      </c>
      <c r="C1329" s="48" t="s">
        <v>374</v>
      </c>
    </row>
    <row r="1330" spans="1:3">
      <c r="A1330" s="48">
        <v>17722</v>
      </c>
      <c r="B1330" s="25" t="s">
        <v>415</v>
      </c>
      <c r="C1330" s="48" t="s">
        <v>374</v>
      </c>
    </row>
    <row r="1331" spans="1:3">
      <c r="A1331" s="48">
        <v>17723</v>
      </c>
      <c r="B1331" s="25" t="s">
        <v>415</v>
      </c>
      <c r="C1331" s="48" t="s">
        <v>374</v>
      </c>
    </row>
    <row r="1332" spans="1:3">
      <c r="A1332" s="48">
        <v>17724</v>
      </c>
      <c r="B1332" s="25" t="s">
        <v>416</v>
      </c>
      <c r="C1332" s="48" t="s">
        <v>373</v>
      </c>
    </row>
    <row r="1333" spans="1:3">
      <c r="A1333" s="48">
        <v>17726</v>
      </c>
      <c r="B1333" s="25" t="s">
        <v>415</v>
      </c>
      <c r="C1333" s="48" t="s">
        <v>374</v>
      </c>
    </row>
    <row r="1334" spans="1:3">
      <c r="A1334" s="48">
        <v>17727</v>
      </c>
      <c r="B1334" s="25" t="s">
        <v>415</v>
      </c>
      <c r="C1334" s="48" t="s">
        <v>374</v>
      </c>
    </row>
    <row r="1335" spans="1:3">
      <c r="A1335" s="48">
        <v>17728</v>
      </c>
      <c r="B1335" s="25" t="s">
        <v>415</v>
      </c>
      <c r="C1335" s="48" t="s">
        <v>374</v>
      </c>
    </row>
    <row r="1336" spans="1:3">
      <c r="A1336" s="48">
        <v>17729</v>
      </c>
      <c r="B1336" s="25" t="s">
        <v>415</v>
      </c>
      <c r="C1336" s="48" t="s">
        <v>374</v>
      </c>
    </row>
    <row r="1337" spans="1:3">
      <c r="A1337" s="48">
        <v>17730</v>
      </c>
      <c r="B1337" s="25" t="s">
        <v>415</v>
      </c>
      <c r="C1337" s="48" t="s">
        <v>374</v>
      </c>
    </row>
    <row r="1338" spans="1:3">
      <c r="A1338" s="48">
        <v>17731</v>
      </c>
      <c r="B1338" s="25" t="s">
        <v>416</v>
      </c>
      <c r="C1338" s="48" t="s">
        <v>373</v>
      </c>
    </row>
    <row r="1339" spans="1:3">
      <c r="A1339" s="48">
        <v>17735</v>
      </c>
      <c r="B1339" s="25" t="s">
        <v>416</v>
      </c>
      <c r="C1339" s="48" t="s">
        <v>373</v>
      </c>
    </row>
    <row r="1340" spans="1:3">
      <c r="A1340" s="48">
        <v>17737</v>
      </c>
      <c r="B1340" s="25" t="s">
        <v>415</v>
      </c>
      <c r="C1340" s="48" t="s">
        <v>374</v>
      </c>
    </row>
    <row r="1341" spans="1:3">
      <c r="A1341" s="48">
        <v>17738</v>
      </c>
      <c r="B1341" s="25" t="s">
        <v>415</v>
      </c>
      <c r="C1341" s="48" t="s">
        <v>374</v>
      </c>
    </row>
    <row r="1342" spans="1:3">
      <c r="A1342" s="48">
        <v>17739</v>
      </c>
      <c r="B1342" s="25" t="s">
        <v>415</v>
      </c>
      <c r="C1342" s="48" t="s">
        <v>374</v>
      </c>
    </row>
    <row r="1343" spans="1:3">
      <c r="A1343" s="48">
        <v>17740</v>
      </c>
      <c r="B1343" s="25" t="s">
        <v>415</v>
      </c>
      <c r="C1343" s="48" t="s">
        <v>374</v>
      </c>
    </row>
    <row r="1344" spans="1:3">
      <c r="A1344" s="48">
        <v>17742</v>
      </c>
      <c r="B1344" s="25" t="s">
        <v>415</v>
      </c>
      <c r="C1344" s="48" t="s">
        <v>374</v>
      </c>
    </row>
    <row r="1345" spans="1:3">
      <c r="A1345" s="48">
        <v>17744</v>
      </c>
      <c r="B1345" s="25" t="s">
        <v>415</v>
      </c>
      <c r="C1345" s="48" t="s">
        <v>374</v>
      </c>
    </row>
    <row r="1346" spans="1:3">
      <c r="A1346" s="48">
        <v>17745</v>
      </c>
      <c r="B1346" s="25" t="s">
        <v>415</v>
      </c>
      <c r="C1346" s="48" t="s">
        <v>374</v>
      </c>
    </row>
    <row r="1347" spans="1:3">
      <c r="A1347" s="48">
        <v>17747</v>
      </c>
      <c r="B1347" s="25" t="s">
        <v>415</v>
      </c>
      <c r="C1347" s="48" t="s">
        <v>374</v>
      </c>
    </row>
    <row r="1348" spans="1:3">
      <c r="A1348" s="48">
        <v>17748</v>
      </c>
      <c r="B1348" s="25" t="s">
        <v>415</v>
      </c>
      <c r="C1348" s="48" t="s">
        <v>374</v>
      </c>
    </row>
    <row r="1349" spans="1:3">
      <c r="A1349" s="48">
        <v>17749</v>
      </c>
      <c r="B1349" s="25" t="s">
        <v>415</v>
      </c>
      <c r="C1349" s="48" t="s">
        <v>374</v>
      </c>
    </row>
    <row r="1350" spans="1:3">
      <c r="A1350" s="48">
        <v>17750</v>
      </c>
      <c r="B1350" s="25" t="s">
        <v>415</v>
      </c>
      <c r="C1350" s="48" t="s">
        <v>374</v>
      </c>
    </row>
    <row r="1351" spans="1:3">
      <c r="A1351" s="48">
        <v>17751</v>
      </c>
      <c r="B1351" s="25" t="s">
        <v>415</v>
      </c>
      <c r="C1351" s="48" t="s">
        <v>374</v>
      </c>
    </row>
    <row r="1352" spans="1:3">
      <c r="A1352" s="48">
        <v>17752</v>
      </c>
      <c r="B1352" s="25" t="s">
        <v>415</v>
      </c>
      <c r="C1352" s="48" t="s">
        <v>374</v>
      </c>
    </row>
    <row r="1353" spans="1:3">
      <c r="A1353" s="48">
        <v>17754</v>
      </c>
      <c r="B1353" s="25" t="s">
        <v>415</v>
      </c>
      <c r="C1353" s="48" t="s">
        <v>374</v>
      </c>
    </row>
    <row r="1354" spans="1:3">
      <c r="A1354" s="48">
        <v>17756</v>
      </c>
      <c r="B1354" s="25" t="s">
        <v>415</v>
      </c>
      <c r="C1354" s="48" t="s">
        <v>374</v>
      </c>
    </row>
    <row r="1355" spans="1:3">
      <c r="A1355" s="48">
        <v>17758</v>
      </c>
      <c r="B1355" s="25" t="s">
        <v>416</v>
      </c>
      <c r="C1355" s="48" t="s">
        <v>373</v>
      </c>
    </row>
    <row r="1356" spans="1:3">
      <c r="A1356" s="48">
        <v>17759</v>
      </c>
      <c r="B1356" s="25" t="s">
        <v>415</v>
      </c>
      <c r="C1356" s="48" t="s">
        <v>374</v>
      </c>
    </row>
    <row r="1357" spans="1:3">
      <c r="A1357" s="48">
        <v>17760</v>
      </c>
      <c r="B1357" s="25" t="s">
        <v>415</v>
      </c>
      <c r="C1357" s="48" t="s">
        <v>374</v>
      </c>
    </row>
    <row r="1358" spans="1:3">
      <c r="A1358" s="48">
        <v>17762</v>
      </c>
      <c r="B1358" s="25" t="s">
        <v>415</v>
      </c>
      <c r="C1358" s="48" t="s">
        <v>374</v>
      </c>
    </row>
    <row r="1359" spans="1:3">
      <c r="A1359" s="48">
        <v>17763</v>
      </c>
      <c r="B1359" s="25" t="s">
        <v>415</v>
      </c>
      <c r="C1359" s="48" t="s">
        <v>374</v>
      </c>
    </row>
    <row r="1360" spans="1:3">
      <c r="A1360" s="48">
        <v>17764</v>
      </c>
      <c r="B1360" s="25" t="s">
        <v>415</v>
      </c>
      <c r="C1360" s="48" t="s">
        <v>374</v>
      </c>
    </row>
    <row r="1361" spans="1:3">
      <c r="A1361" s="48">
        <v>17765</v>
      </c>
      <c r="B1361" s="25" t="s">
        <v>414</v>
      </c>
      <c r="C1361" s="48" t="s">
        <v>368</v>
      </c>
    </row>
    <row r="1362" spans="1:3">
      <c r="A1362" s="48">
        <v>17767</v>
      </c>
      <c r="B1362" s="25" t="s">
        <v>415</v>
      </c>
      <c r="C1362" s="48" t="s">
        <v>374</v>
      </c>
    </row>
    <row r="1363" spans="1:3">
      <c r="A1363" s="48">
        <v>17768</v>
      </c>
      <c r="B1363" s="25" t="s">
        <v>416</v>
      </c>
      <c r="C1363" s="48" t="s">
        <v>373</v>
      </c>
    </row>
    <row r="1364" spans="1:3">
      <c r="A1364" s="48">
        <v>17769</v>
      </c>
      <c r="B1364" s="25" t="s">
        <v>415</v>
      </c>
      <c r="C1364" s="48" t="s">
        <v>374</v>
      </c>
    </row>
    <row r="1365" spans="1:3">
      <c r="A1365" s="48">
        <v>17771</v>
      </c>
      <c r="B1365" s="25" t="s">
        <v>415</v>
      </c>
      <c r="C1365" s="48" t="s">
        <v>374</v>
      </c>
    </row>
    <row r="1366" spans="1:3">
      <c r="A1366" s="48">
        <v>17772</v>
      </c>
      <c r="B1366" s="25" t="s">
        <v>415</v>
      </c>
      <c r="C1366" s="48" t="s">
        <v>374</v>
      </c>
    </row>
    <row r="1367" spans="1:3">
      <c r="A1367" s="48">
        <v>17773</v>
      </c>
      <c r="B1367" s="25" t="s">
        <v>415</v>
      </c>
      <c r="C1367" s="48" t="s">
        <v>374</v>
      </c>
    </row>
    <row r="1368" spans="1:3">
      <c r="A1368" s="48">
        <v>17774</v>
      </c>
      <c r="B1368" s="25" t="s">
        <v>415</v>
      </c>
      <c r="C1368" s="48" t="s">
        <v>374</v>
      </c>
    </row>
    <row r="1369" spans="1:3">
      <c r="A1369" s="48">
        <v>17776</v>
      </c>
      <c r="B1369" s="25" t="s">
        <v>415</v>
      </c>
      <c r="C1369" s="48" t="s">
        <v>374</v>
      </c>
    </row>
    <row r="1370" spans="1:3">
      <c r="A1370" s="48">
        <v>17777</v>
      </c>
      <c r="B1370" s="25" t="s">
        <v>415</v>
      </c>
      <c r="C1370" s="48" t="s">
        <v>374</v>
      </c>
    </row>
    <row r="1371" spans="1:3">
      <c r="A1371" s="48">
        <v>17778</v>
      </c>
      <c r="B1371" s="25" t="s">
        <v>415</v>
      </c>
      <c r="C1371" s="48" t="s">
        <v>374</v>
      </c>
    </row>
    <row r="1372" spans="1:3">
      <c r="A1372" s="48">
        <v>17779</v>
      </c>
      <c r="B1372" s="25" t="s">
        <v>415</v>
      </c>
      <c r="C1372" s="48" t="s">
        <v>374</v>
      </c>
    </row>
    <row r="1373" spans="1:3">
      <c r="A1373" s="48">
        <v>17801</v>
      </c>
      <c r="B1373" s="25" t="s">
        <v>415</v>
      </c>
      <c r="C1373" s="48" t="s">
        <v>374</v>
      </c>
    </row>
    <row r="1374" spans="1:3">
      <c r="A1374" s="48">
        <v>17810</v>
      </c>
      <c r="B1374" s="25" t="s">
        <v>415</v>
      </c>
      <c r="C1374" s="48" t="s">
        <v>374</v>
      </c>
    </row>
    <row r="1375" spans="1:3">
      <c r="A1375" s="48">
        <v>17812</v>
      </c>
      <c r="B1375" s="25" t="s">
        <v>415</v>
      </c>
      <c r="C1375" s="48" t="s">
        <v>374</v>
      </c>
    </row>
    <row r="1376" spans="1:3">
      <c r="A1376" s="48">
        <v>17813</v>
      </c>
      <c r="B1376" s="25" t="s">
        <v>415</v>
      </c>
      <c r="C1376" s="48" t="s">
        <v>374</v>
      </c>
    </row>
    <row r="1377" spans="1:3">
      <c r="A1377" s="48">
        <v>17814</v>
      </c>
      <c r="B1377" s="25" t="s">
        <v>415</v>
      </c>
      <c r="C1377" s="48" t="s">
        <v>374</v>
      </c>
    </row>
    <row r="1378" spans="1:3">
      <c r="A1378" s="48">
        <v>17815</v>
      </c>
      <c r="B1378" s="25" t="s">
        <v>415</v>
      </c>
      <c r="C1378" s="48" t="s">
        <v>374</v>
      </c>
    </row>
    <row r="1379" spans="1:3">
      <c r="A1379" s="48">
        <v>17820</v>
      </c>
      <c r="B1379" s="25" t="s">
        <v>415</v>
      </c>
      <c r="C1379" s="48" t="s">
        <v>374</v>
      </c>
    </row>
    <row r="1380" spans="1:3">
      <c r="A1380" s="48">
        <v>17821</v>
      </c>
      <c r="B1380" s="25" t="s">
        <v>415</v>
      </c>
      <c r="C1380" s="48" t="s">
        <v>374</v>
      </c>
    </row>
    <row r="1381" spans="1:3">
      <c r="A1381" s="48">
        <v>17822</v>
      </c>
      <c r="B1381" s="25" t="s">
        <v>415</v>
      </c>
      <c r="C1381" s="48" t="s">
        <v>374</v>
      </c>
    </row>
    <row r="1382" spans="1:3">
      <c r="A1382" s="48">
        <v>17823</v>
      </c>
      <c r="B1382" s="25" t="s">
        <v>415</v>
      </c>
      <c r="C1382" s="48" t="s">
        <v>374</v>
      </c>
    </row>
    <row r="1383" spans="1:3">
      <c r="A1383" s="48">
        <v>17824</v>
      </c>
      <c r="B1383" s="25" t="s">
        <v>415</v>
      </c>
      <c r="C1383" s="48" t="s">
        <v>374</v>
      </c>
    </row>
    <row r="1384" spans="1:3">
      <c r="A1384" s="48">
        <v>17827</v>
      </c>
      <c r="B1384" s="25" t="s">
        <v>415</v>
      </c>
      <c r="C1384" s="48" t="s">
        <v>374</v>
      </c>
    </row>
    <row r="1385" spans="1:3">
      <c r="A1385" s="48">
        <v>17829</v>
      </c>
      <c r="B1385" s="25" t="s">
        <v>415</v>
      </c>
      <c r="C1385" s="48" t="s">
        <v>374</v>
      </c>
    </row>
    <row r="1386" spans="1:3">
      <c r="A1386" s="48">
        <v>17830</v>
      </c>
      <c r="B1386" s="25" t="s">
        <v>415</v>
      </c>
      <c r="C1386" s="48" t="s">
        <v>374</v>
      </c>
    </row>
    <row r="1387" spans="1:3">
      <c r="A1387" s="48">
        <v>17831</v>
      </c>
      <c r="B1387" s="25" t="s">
        <v>415</v>
      </c>
      <c r="C1387" s="48" t="s">
        <v>374</v>
      </c>
    </row>
    <row r="1388" spans="1:3">
      <c r="A1388" s="48">
        <v>17832</v>
      </c>
      <c r="B1388" s="25" t="s">
        <v>415</v>
      </c>
      <c r="C1388" s="48" t="s">
        <v>374</v>
      </c>
    </row>
    <row r="1389" spans="1:3">
      <c r="A1389" s="48">
        <v>17833</v>
      </c>
      <c r="B1389" s="25" t="s">
        <v>415</v>
      </c>
      <c r="C1389" s="48" t="s">
        <v>374</v>
      </c>
    </row>
    <row r="1390" spans="1:3">
      <c r="A1390" s="48">
        <v>17834</v>
      </c>
      <c r="B1390" s="25" t="s">
        <v>415</v>
      </c>
      <c r="C1390" s="48" t="s">
        <v>374</v>
      </c>
    </row>
    <row r="1391" spans="1:3">
      <c r="A1391" s="48">
        <v>17835</v>
      </c>
      <c r="B1391" s="25" t="s">
        <v>415</v>
      </c>
      <c r="C1391" s="48" t="s">
        <v>374</v>
      </c>
    </row>
    <row r="1392" spans="1:3">
      <c r="A1392" s="48">
        <v>17836</v>
      </c>
      <c r="B1392" s="25" t="s">
        <v>415</v>
      </c>
      <c r="C1392" s="48" t="s">
        <v>374</v>
      </c>
    </row>
    <row r="1393" spans="1:3">
      <c r="A1393" s="48">
        <v>17837</v>
      </c>
      <c r="B1393" s="25" t="s">
        <v>415</v>
      </c>
      <c r="C1393" s="48" t="s">
        <v>374</v>
      </c>
    </row>
    <row r="1394" spans="1:3">
      <c r="A1394" s="48">
        <v>17839</v>
      </c>
      <c r="B1394" s="25" t="s">
        <v>415</v>
      </c>
      <c r="C1394" s="48" t="s">
        <v>374</v>
      </c>
    </row>
    <row r="1395" spans="1:3">
      <c r="A1395" s="48">
        <v>17840</v>
      </c>
      <c r="B1395" s="25" t="s">
        <v>415</v>
      </c>
      <c r="C1395" s="48" t="s">
        <v>374</v>
      </c>
    </row>
    <row r="1396" spans="1:3">
      <c r="A1396" s="48">
        <v>17841</v>
      </c>
      <c r="B1396" s="25" t="s">
        <v>415</v>
      </c>
      <c r="C1396" s="48" t="s">
        <v>374</v>
      </c>
    </row>
    <row r="1397" spans="1:3">
      <c r="A1397" s="48">
        <v>17842</v>
      </c>
      <c r="B1397" s="25" t="s">
        <v>415</v>
      </c>
      <c r="C1397" s="48" t="s">
        <v>374</v>
      </c>
    </row>
    <row r="1398" spans="1:3">
      <c r="A1398" s="48">
        <v>17843</v>
      </c>
      <c r="B1398" s="25" t="s">
        <v>415</v>
      </c>
      <c r="C1398" s="48" t="s">
        <v>374</v>
      </c>
    </row>
    <row r="1399" spans="1:3">
      <c r="A1399" s="48">
        <v>17844</v>
      </c>
      <c r="B1399" s="25" t="s">
        <v>415</v>
      </c>
      <c r="C1399" s="48" t="s">
        <v>374</v>
      </c>
    </row>
    <row r="1400" spans="1:3">
      <c r="A1400" s="48">
        <v>17845</v>
      </c>
      <c r="B1400" s="25" t="s">
        <v>415</v>
      </c>
      <c r="C1400" s="48" t="s">
        <v>374</v>
      </c>
    </row>
    <row r="1401" spans="1:3">
      <c r="A1401" s="48">
        <v>17846</v>
      </c>
      <c r="B1401" s="25" t="s">
        <v>415</v>
      </c>
      <c r="C1401" s="48" t="s">
        <v>374</v>
      </c>
    </row>
    <row r="1402" spans="1:3">
      <c r="A1402" s="48">
        <v>17847</v>
      </c>
      <c r="B1402" s="25" t="s">
        <v>415</v>
      </c>
      <c r="C1402" s="48" t="s">
        <v>374</v>
      </c>
    </row>
    <row r="1403" spans="1:3">
      <c r="A1403" s="48">
        <v>17850</v>
      </c>
      <c r="B1403" s="25" t="s">
        <v>415</v>
      </c>
      <c r="C1403" s="48" t="s">
        <v>374</v>
      </c>
    </row>
    <row r="1404" spans="1:3">
      <c r="A1404" s="48">
        <v>17851</v>
      </c>
      <c r="B1404" s="25" t="s">
        <v>415</v>
      </c>
      <c r="C1404" s="48" t="s">
        <v>374</v>
      </c>
    </row>
    <row r="1405" spans="1:3">
      <c r="A1405" s="48">
        <v>17853</v>
      </c>
      <c r="B1405" s="25" t="s">
        <v>415</v>
      </c>
      <c r="C1405" s="48" t="s">
        <v>374</v>
      </c>
    </row>
    <row r="1406" spans="1:3">
      <c r="A1406" s="48">
        <v>17855</v>
      </c>
      <c r="B1406" s="25" t="s">
        <v>415</v>
      </c>
      <c r="C1406" s="48" t="s">
        <v>374</v>
      </c>
    </row>
    <row r="1407" spans="1:3">
      <c r="A1407" s="48">
        <v>17856</v>
      </c>
      <c r="B1407" s="25" t="s">
        <v>415</v>
      </c>
      <c r="C1407" s="48" t="s">
        <v>374</v>
      </c>
    </row>
    <row r="1408" spans="1:3">
      <c r="A1408" s="48">
        <v>17857</v>
      </c>
      <c r="B1408" s="25" t="s">
        <v>415</v>
      </c>
      <c r="C1408" s="48" t="s">
        <v>374</v>
      </c>
    </row>
    <row r="1409" spans="1:3">
      <c r="A1409" s="48">
        <v>17858</v>
      </c>
      <c r="B1409" s="25" t="s">
        <v>415</v>
      </c>
      <c r="C1409" s="48" t="s">
        <v>374</v>
      </c>
    </row>
    <row r="1410" spans="1:3">
      <c r="A1410" s="48">
        <v>17859</v>
      </c>
      <c r="B1410" s="25" t="s">
        <v>415</v>
      </c>
      <c r="C1410" s="48" t="s">
        <v>374</v>
      </c>
    </row>
    <row r="1411" spans="1:3">
      <c r="A1411" s="48">
        <v>17860</v>
      </c>
      <c r="B1411" s="25" t="s">
        <v>415</v>
      </c>
      <c r="C1411" s="48" t="s">
        <v>374</v>
      </c>
    </row>
    <row r="1412" spans="1:3">
      <c r="A1412" s="48">
        <v>17861</v>
      </c>
      <c r="B1412" s="25" t="s">
        <v>415</v>
      </c>
      <c r="C1412" s="48" t="s">
        <v>374</v>
      </c>
    </row>
    <row r="1413" spans="1:3">
      <c r="A1413" s="48">
        <v>17862</v>
      </c>
      <c r="B1413" s="25" t="s">
        <v>415</v>
      </c>
      <c r="C1413" s="48" t="s">
        <v>374</v>
      </c>
    </row>
    <row r="1414" spans="1:3">
      <c r="A1414" s="48">
        <v>17864</v>
      </c>
      <c r="B1414" s="25" t="s">
        <v>415</v>
      </c>
      <c r="C1414" s="48" t="s">
        <v>374</v>
      </c>
    </row>
    <row r="1415" spans="1:3">
      <c r="A1415" s="48">
        <v>17865</v>
      </c>
      <c r="B1415" s="25" t="s">
        <v>415</v>
      </c>
      <c r="C1415" s="48" t="s">
        <v>374</v>
      </c>
    </row>
    <row r="1416" spans="1:3">
      <c r="A1416" s="48">
        <v>17866</v>
      </c>
      <c r="B1416" s="25" t="s">
        <v>415</v>
      </c>
      <c r="C1416" s="48" t="s">
        <v>374</v>
      </c>
    </row>
    <row r="1417" spans="1:3">
      <c r="A1417" s="48">
        <v>17867</v>
      </c>
      <c r="B1417" s="25" t="s">
        <v>415</v>
      </c>
      <c r="C1417" s="48" t="s">
        <v>374</v>
      </c>
    </row>
    <row r="1418" spans="1:3">
      <c r="A1418" s="48">
        <v>17868</v>
      </c>
      <c r="B1418" s="25" t="s">
        <v>415</v>
      </c>
      <c r="C1418" s="48" t="s">
        <v>374</v>
      </c>
    </row>
    <row r="1419" spans="1:3">
      <c r="A1419" s="48">
        <v>17870</v>
      </c>
      <c r="B1419" s="25" t="s">
        <v>415</v>
      </c>
      <c r="C1419" s="48" t="s">
        <v>374</v>
      </c>
    </row>
    <row r="1420" spans="1:3">
      <c r="A1420" s="48">
        <v>17872</v>
      </c>
      <c r="B1420" s="25" t="s">
        <v>415</v>
      </c>
      <c r="C1420" s="48" t="s">
        <v>374</v>
      </c>
    </row>
    <row r="1421" spans="1:3">
      <c r="A1421" s="48">
        <v>17876</v>
      </c>
      <c r="B1421" s="25" t="s">
        <v>415</v>
      </c>
      <c r="C1421" s="48" t="s">
        <v>374</v>
      </c>
    </row>
    <row r="1422" spans="1:3">
      <c r="A1422" s="48">
        <v>17877</v>
      </c>
      <c r="B1422" s="25" t="s">
        <v>415</v>
      </c>
      <c r="C1422" s="48" t="s">
        <v>374</v>
      </c>
    </row>
    <row r="1423" spans="1:3">
      <c r="A1423" s="48">
        <v>17878</v>
      </c>
      <c r="B1423" s="25" t="s">
        <v>415</v>
      </c>
      <c r="C1423" s="48" t="s">
        <v>374</v>
      </c>
    </row>
    <row r="1424" spans="1:3">
      <c r="A1424" s="48">
        <v>17880</v>
      </c>
      <c r="B1424" s="25" t="s">
        <v>415</v>
      </c>
      <c r="C1424" s="48" t="s">
        <v>374</v>
      </c>
    </row>
    <row r="1425" spans="1:3">
      <c r="A1425" s="48">
        <v>17881</v>
      </c>
      <c r="B1425" s="25" t="s">
        <v>415</v>
      </c>
      <c r="C1425" s="48" t="s">
        <v>374</v>
      </c>
    </row>
    <row r="1426" spans="1:3">
      <c r="A1426" s="48">
        <v>17882</v>
      </c>
      <c r="B1426" s="25" t="s">
        <v>415</v>
      </c>
      <c r="C1426" s="48" t="s">
        <v>374</v>
      </c>
    </row>
    <row r="1427" spans="1:3">
      <c r="A1427" s="48">
        <v>17883</v>
      </c>
      <c r="B1427" s="25" t="s">
        <v>415</v>
      </c>
      <c r="C1427" s="48" t="s">
        <v>374</v>
      </c>
    </row>
    <row r="1428" spans="1:3">
      <c r="A1428" s="48">
        <v>17884</v>
      </c>
      <c r="B1428" s="25" t="s">
        <v>415</v>
      </c>
      <c r="C1428" s="48" t="s">
        <v>374</v>
      </c>
    </row>
    <row r="1429" spans="1:3">
      <c r="A1429" s="48">
        <v>17885</v>
      </c>
      <c r="B1429" s="25" t="s">
        <v>415</v>
      </c>
      <c r="C1429" s="48" t="s">
        <v>374</v>
      </c>
    </row>
    <row r="1430" spans="1:3">
      <c r="A1430" s="48">
        <v>17886</v>
      </c>
      <c r="B1430" s="25" t="s">
        <v>415</v>
      </c>
      <c r="C1430" s="48" t="s">
        <v>374</v>
      </c>
    </row>
    <row r="1431" spans="1:3">
      <c r="A1431" s="48">
        <v>17887</v>
      </c>
      <c r="B1431" s="25" t="s">
        <v>415</v>
      </c>
      <c r="C1431" s="48" t="s">
        <v>374</v>
      </c>
    </row>
    <row r="1432" spans="1:3">
      <c r="A1432" s="48">
        <v>17888</v>
      </c>
      <c r="B1432" s="25" t="s">
        <v>415</v>
      </c>
      <c r="C1432" s="48" t="s">
        <v>374</v>
      </c>
    </row>
    <row r="1433" spans="1:3">
      <c r="A1433" s="48">
        <v>17889</v>
      </c>
      <c r="B1433" s="25" t="s">
        <v>415</v>
      </c>
      <c r="C1433" s="48" t="s">
        <v>374</v>
      </c>
    </row>
    <row r="1434" spans="1:3">
      <c r="A1434" s="48">
        <v>17901</v>
      </c>
      <c r="B1434" s="25" t="s">
        <v>418</v>
      </c>
      <c r="C1434" s="48" t="s">
        <v>366</v>
      </c>
    </row>
    <row r="1435" spans="1:3">
      <c r="A1435" s="48">
        <v>17920</v>
      </c>
      <c r="B1435" s="25" t="s">
        <v>415</v>
      </c>
      <c r="C1435" s="48" t="s">
        <v>374</v>
      </c>
    </row>
    <row r="1436" spans="1:3">
      <c r="A1436" s="48">
        <v>17921</v>
      </c>
      <c r="B1436" s="25" t="s">
        <v>418</v>
      </c>
      <c r="C1436" s="48" t="s">
        <v>366</v>
      </c>
    </row>
    <row r="1437" spans="1:3">
      <c r="A1437" s="48">
        <v>17922</v>
      </c>
      <c r="B1437" s="25" t="s">
        <v>418</v>
      </c>
      <c r="C1437" s="48" t="s">
        <v>366</v>
      </c>
    </row>
    <row r="1438" spans="1:3">
      <c r="A1438" s="48">
        <v>17923</v>
      </c>
      <c r="B1438" s="25" t="s">
        <v>418</v>
      </c>
      <c r="C1438" s="48" t="s">
        <v>366</v>
      </c>
    </row>
    <row r="1439" spans="1:3">
      <c r="A1439" s="48">
        <v>17925</v>
      </c>
      <c r="B1439" s="25" t="s">
        <v>418</v>
      </c>
      <c r="C1439" s="48" t="s">
        <v>366</v>
      </c>
    </row>
    <row r="1440" spans="1:3">
      <c r="A1440" s="48">
        <v>17929</v>
      </c>
      <c r="B1440" s="25" t="s">
        <v>418</v>
      </c>
      <c r="C1440" s="48" t="s">
        <v>366</v>
      </c>
    </row>
    <row r="1441" spans="1:3">
      <c r="A1441" s="48">
        <v>17930</v>
      </c>
      <c r="B1441" s="25" t="s">
        <v>418</v>
      </c>
      <c r="C1441" s="48" t="s">
        <v>366</v>
      </c>
    </row>
    <row r="1442" spans="1:3">
      <c r="A1442" s="48">
        <v>17931</v>
      </c>
      <c r="B1442" s="25" t="s">
        <v>418</v>
      </c>
      <c r="C1442" s="48" t="s">
        <v>366</v>
      </c>
    </row>
    <row r="1443" spans="1:3">
      <c r="A1443" s="48">
        <v>17932</v>
      </c>
      <c r="B1443" s="25" t="s">
        <v>418</v>
      </c>
      <c r="C1443" s="48" t="s">
        <v>366</v>
      </c>
    </row>
    <row r="1444" spans="1:3">
      <c r="A1444" s="48">
        <v>17933</v>
      </c>
      <c r="B1444" s="25" t="s">
        <v>418</v>
      </c>
      <c r="C1444" s="48" t="s">
        <v>366</v>
      </c>
    </row>
    <row r="1445" spans="1:3">
      <c r="A1445" s="48">
        <v>17934</v>
      </c>
      <c r="B1445" s="25" t="s">
        <v>418</v>
      </c>
      <c r="C1445" s="48" t="s">
        <v>366</v>
      </c>
    </row>
    <row r="1446" spans="1:3">
      <c r="A1446" s="48">
        <v>17935</v>
      </c>
      <c r="B1446" s="25" t="s">
        <v>418</v>
      </c>
      <c r="C1446" s="48" t="s">
        <v>366</v>
      </c>
    </row>
    <row r="1447" spans="1:3">
      <c r="A1447" s="48">
        <v>17936</v>
      </c>
      <c r="B1447" s="25" t="s">
        <v>418</v>
      </c>
      <c r="C1447" s="48" t="s">
        <v>366</v>
      </c>
    </row>
    <row r="1448" spans="1:3">
      <c r="A1448" s="48">
        <v>17938</v>
      </c>
      <c r="B1448" s="25" t="s">
        <v>418</v>
      </c>
      <c r="C1448" s="48" t="s">
        <v>366</v>
      </c>
    </row>
    <row r="1449" spans="1:3">
      <c r="A1449" s="48">
        <v>17941</v>
      </c>
      <c r="B1449" s="25" t="s">
        <v>418</v>
      </c>
      <c r="C1449" s="48" t="s">
        <v>366</v>
      </c>
    </row>
    <row r="1450" spans="1:3">
      <c r="A1450" s="48">
        <v>17942</v>
      </c>
      <c r="B1450" s="25" t="s">
        <v>418</v>
      </c>
      <c r="C1450" s="48" t="s">
        <v>366</v>
      </c>
    </row>
    <row r="1451" spans="1:3">
      <c r="A1451" s="48">
        <v>17943</v>
      </c>
      <c r="B1451" s="25" t="s">
        <v>418</v>
      </c>
      <c r="C1451" s="48" t="s">
        <v>366</v>
      </c>
    </row>
    <row r="1452" spans="1:3">
      <c r="A1452" s="48">
        <v>17944</v>
      </c>
      <c r="B1452" s="25" t="s">
        <v>418</v>
      </c>
      <c r="C1452" s="48" t="s">
        <v>366</v>
      </c>
    </row>
    <row r="1453" spans="1:3">
      <c r="A1453" s="48">
        <v>17945</v>
      </c>
      <c r="B1453" s="25" t="s">
        <v>415</v>
      </c>
      <c r="C1453" s="48" t="s">
        <v>374</v>
      </c>
    </row>
    <row r="1454" spans="1:3">
      <c r="A1454" s="48">
        <v>17946</v>
      </c>
      <c r="B1454" s="25" t="s">
        <v>418</v>
      </c>
      <c r="C1454" s="48" t="s">
        <v>366</v>
      </c>
    </row>
    <row r="1455" spans="1:3">
      <c r="A1455" s="48">
        <v>17948</v>
      </c>
      <c r="B1455" s="25" t="s">
        <v>418</v>
      </c>
      <c r="C1455" s="48" t="s">
        <v>366</v>
      </c>
    </row>
    <row r="1456" spans="1:3">
      <c r="A1456" s="48">
        <v>17949</v>
      </c>
      <c r="B1456" s="25" t="s">
        <v>418</v>
      </c>
      <c r="C1456" s="48" t="s">
        <v>366</v>
      </c>
    </row>
    <row r="1457" spans="1:3">
      <c r="A1457" s="48">
        <v>17951</v>
      </c>
      <c r="B1457" s="25" t="s">
        <v>418</v>
      </c>
      <c r="C1457" s="48" t="s">
        <v>366</v>
      </c>
    </row>
    <row r="1458" spans="1:3">
      <c r="A1458" s="48">
        <v>17952</v>
      </c>
      <c r="B1458" s="25" t="s">
        <v>418</v>
      </c>
      <c r="C1458" s="48" t="s">
        <v>366</v>
      </c>
    </row>
    <row r="1459" spans="1:3">
      <c r="A1459" s="48">
        <v>17953</v>
      </c>
      <c r="B1459" s="25" t="s">
        <v>418</v>
      </c>
      <c r="C1459" s="48" t="s">
        <v>366</v>
      </c>
    </row>
    <row r="1460" spans="1:3">
      <c r="A1460" s="48">
        <v>17954</v>
      </c>
      <c r="B1460" s="25" t="s">
        <v>418</v>
      </c>
      <c r="C1460" s="48" t="s">
        <v>366</v>
      </c>
    </row>
    <row r="1461" spans="1:3">
      <c r="A1461" s="48">
        <v>17957</v>
      </c>
      <c r="B1461" s="25" t="s">
        <v>418</v>
      </c>
      <c r="C1461" s="48" t="s">
        <v>366</v>
      </c>
    </row>
    <row r="1462" spans="1:3">
      <c r="A1462" s="48">
        <v>17959</v>
      </c>
      <c r="B1462" s="25" t="s">
        <v>418</v>
      </c>
      <c r="C1462" s="48" t="s">
        <v>366</v>
      </c>
    </row>
    <row r="1463" spans="1:3">
      <c r="A1463" s="48">
        <v>17960</v>
      </c>
      <c r="B1463" s="25" t="s">
        <v>418</v>
      </c>
      <c r="C1463" s="48" t="s">
        <v>366</v>
      </c>
    </row>
    <row r="1464" spans="1:3">
      <c r="A1464" s="48">
        <v>17961</v>
      </c>
      <c r="B1464" s="25" t="s">
        <v>418</v>
      </c>
      <c r="C1464" s="48" t="s">
        <v>366</v>
      </c>
    </row>
    <row r="1465" spans="1:3">
      <c r="A1465" s="48">
        <v>17963</v>
      </c>
      <c r="B1465" s="25" t="s">
        <v>418</v>
      </c>
      <c r="C1465" s="48" t="s">
        <v>366</v>
      </c>
    </row>
    <row r="1466" spans="1:3">
      <c r="A1466" s="48">
        <v>17964</v>
      </c>
      <c r="B1466" s="25" t="s">
        <v>418</v>
      </c>
      <c r="C1466" s="48" t="s">
        <v>366</v>
      </c>
    </row>
    <row r="1467" spans="1:3">
      <c r="A1467" s="48">
        <v>17965</v>
      </c>
      <c r="B1467" s="25" t="s">
        <v>418</v>
      </c>
      <c r="C1467" s="48" t="s">
        <v>366</v>
      </c>
    </row>
    <row r="1468" spans="1:3">
      <c r="A1468" s="48">
        <v>17966</v>
      </c>
      <c r="B1468" s="25" t="s">
        <v>418</v>
      </c>
      <c r="C1468" s="48" t="s">
        <v>366</v>
      </c>
    </row>
    <row r="1469" spans="1:3">
      <c r="A1469" s="48">
        <v>17967</v>
      </c>
      <c r="B1469" s="25" t="s">
        <v>418</v>
      </c>
      <c r="C1469" s="48" t="s">
        <v>366</v>
      </c>
    </row>
    <row r="1470" spans="1:3">
      <c r="A1470" s="48">
        <v>17968</v>
      </c>
      <c r="B1470" s="25" t="s">
        <v>418</v>
      </c>
      <c r="C1470" s="48" t="s">
        <v>366</v>
      </c>
    </row>
    <row r="1471" spans="1:3">
      <c r="A1471" s="48">
        <v>17970</v>
      </c>
      <c r="B1471" s="25" t="s">
        <v>418</v>
      </c>
      <c r="C1471" s="48" t="s">
        <v>366</v>
      </c>
    </row>
    <row r="1472" spans="1:3">
      <c r="A1472" s="48">
        <v>17972</v>
      </c>
      <c r="B1472" s="25" t="s">
        <v>418</v>
      </c>
      <c r="C1472" s="48" t="s">
        <v>366</v>
      </c>
    </row>
    <row r="1473" spans="1:3">
      <c r="A1473" s="48">
        <v>17974</v>
      </c>
      <c r="B1473" s="25" t="s">
        <v>418</v>
      </c>
      <c r="C1473" s="48" t="s">
        <v>366</v>
      </c>
    </row>
    <row r="1474" spans="1:3">
      <c r="A1474" s="48">
        <v>17976</v>
      </c>
      <c r="B1474" s="25" t="s">
        <v>418</v>
      </c>
      <c r="C1474" s="48" t="s">
        <v>366</v>
      </c>
    </row>
    <row r="1475" spans="1:3">
      <c r="A1475" s="48">
        <v>17978</v>
      </c>
      <c r="B1475" s="25" t="s">
        <v>418</v>
      </c>
      <c r="C1475" s="48" t="s">
        <v>366</v>
      </c>
    </row>
    <row r="1476" spans="1:3">
      <c r="A1476" s="48">
        <v>17979</v>
      </c>
      <c r="B1476" s="25" t="s">
        <v>418</v>
      </c>
      <c r="C1476" s="48" t="s">
        <v>366</v>
      </c>
    </row>
    <row r="1477" spans="1:3">
      <c r="A1477" s="48">
        <v>17980</v>
      </c>
      <c r="B1477" s="25" t="s">
        <v>418</v>
      </c>
      <c r="C1477" s="48" t="s">
        <v>366</v>
      </c>
    </row>
    <row r="1478" spans="1:3">
      <c r="A1478" s="48">
        <v>17981</v>
      </c>
      <c r="B1478" s="25" t="s">
        <v>418</v>
      </c>
      <c r="C1478" s="48" t="s">
        <v>366</v>
      </c>
    </row>
    <row r="1479" spans="1:3">
      <c r="A1479" s="48">
        <v>17982</v>
      </c>
      <c r="B1479" s="25" t="s">
        <v>418</v>
      </c>
      <c r="C1479" s="48" t="s">
        <v>366</v>
      </c>
    </row>
    <row r="1480" spans="1:3">
      <c r="A1480" s="48">
        <v>17983</v>
      </c>
      <c r="B1480" s="25" t="s">
        <v>418</v>
      </c>
      <c r="C1480" s="48" t="s">
        <v>366</v>
      </c>
    </row>
    <row r="1481" spans="1:3">
      <c r="A1481" s="48">
        <v>17985</v>
      </c>
      <c r="B1481" s="25" t="s">
        <v>418</v>
      </c>
      <c r="C1481" s="48" t="s">
        <v>366</v>
      </c>
    </row>
    <row r="1482" spans="1:3">
      <c r="A1482" s="48">
        <v>18001</v>
      </c>
      <c r="B1482" s="25" t="s">
        <v>418</v>
      </c>
      <c r="C1482" s="48" t="s">
        <v>366</v>
      </c>
    </row>
    <row r="1483" spans="1:3">
      <c r="A1483" s="48">
        <v>18002</v>
      </c>
      <c r="B1483" s="25" t="s">
        <v>418</v>
      </c>
      <c r="C1483" s="48" t="s">
        <v>366</v>
      </c>
    </row>
    <row r="1484" spans="1:3">
      <c r="A1484" s="48">
        <v>18003</v>
      </c>
      <c r="B1484" s="25" t="s">
        <v>418</v>
      </c>
      <c r="C1484" s="48" t="s">
        <v>366</v>
      </c>
    </row>
    <row r="1485" spans="1:3">
      <c r="A1485" s="48">
        <v>18010</v>
      </c>
      <c r="B1485" s="25" t="s">
        <v>418</v>
      </c>
      <c r="C1485" s="48" t="s">
        <v>366</v>
      </c>
    </row>
    <row r="1486" spans="1:3">
      <c r="A1486" s="48">
        <v>18011</v>
      </c>
      <c r="B1486" s="25" t="s">
        <v>418</v>
      </c>
      <c r="C1486" s="48" t="s">
        <v>366</v>
      </c>
    </row>
    <row r="1487" spans="1:3">
      <c r="A1487" s="48">
        <v>18012</v>
      </c>
      <c r="B1487" s="25" t="s">
        <v>418</v>
      </c>
      <c r="C1487" s="48" t="s">
        <v>366</v>
      </c>
    </row>
    <row r="1488" spans="1:3">
      <c r="A1488" s="48">
        <v>18013</v>
      </c>
      <c r="B1488" s="25" t="s">
        <v>418</v>
      </c>
      <c r="C1488" s="48" t="s">
        <v>366</v>
      </c>
    </row>
    <row r="1489" spans="1:3">
      <c r="A1489" s="48">
        <v>18014</v>
      </c>
      <c r="B1489" s="25" t="s">
        <v>418</v>
      </c>
      <c r="C1489" s="48" t="s">
        <v>366</v>
      </c>
    </row>
    <row r="1490" spans="1:3">
      <c r="A1490" s="48">
        <v>18015</v>
      </c>
      <c r="B1490" s="25" t="s">
        <v>418</v>
      </c>
      <c r="C1490" s="48" t="s">
        <v>366</v>
      </c>
    </row>
    <row r="1491" spans="1:3">
      <c r="A1491" s="48">
        <v>18016</v>
      </c>
      <c r="B1491" s="25" t="s">
        <v>418</v>
      </c>
      <c r="C1491" s="48" t="s">
        <v>366</v>
      </c>
    </row>
    <row r="1492" spans="1:3">
      <c r="A1492" s="48">
        <v>18017</v>
      </c>
      <c r="B1492" s="25" t="s">
        <v>418</v>
      </c>
      <c r="C1492" s="48" t="s">
        <v>366</v>
      </c>
    </row>
    <row r="1493" spans="1:3">
      <c r="A1493" s="48">
        <v>18018</v>
      </c>
      <c r="B1493" s="25" t="s">
        <v>418</v>
      </c>
      <c r="C1493" s="48" t="s">
        <v>366</v>
      </c>
    </row>
    <row r="1494" spans="1:3">
      <c r="A1494" s="48">
        <v>18020</v>
      </c>
      <c r="B1494" s="25" t="s">
        <v>418</v>
      </c>
      <c r="C1494" s="48" t="s">
        <v>366</v>
      </c>
    </row>
    <row r="1495" spans="1:3">
      <c r="A1495" s="48">
        <v>18025</v>
      </c>
      <c r="B1495" s="25" t="s">
        <v>418</v>
      </c>
      <c r="C1495" s="48" t="s">
        <v>366</v>
      </c>
    </row>
    <row r="1496" spans="1:3">
      <c r="A1496" s="48">
        <v>18030</v>
      </c>
      <c r="B1496" s="25" t="s">
        <v>418</v>
      </c>
      <c r="C1496" s="48" t="s">
        <v>366</v>
      </c>
    </row>
    <row r="1497" spans="1:3">
      <c r="A1497" s="48">
        <v>18031</v>
      </c>
      <c r="B1497" s="25" t="s">
        <v>418</v>
      </c>
      <c r="C1497" s="48" t="s">
        <v>366</v>
      </c>
    </row>
    <row r="1498" spans="1:3">
      <c r="A1498" s="48">
        <v>18032</v>
      </c>
      <c r="B1498" s="25" t="s">
        <v>418</v>
      </c>
      <c r="C1498" s="48" t="s">
        <v>366</v>
      </c>
    </row>
    <row r="1499" spans="1:3">
      <c r="A1499" s="48">
        <v>18034</v>
      </c>
      <c r="B1499" s="25" t="s">
        <v>418</v>
      </c>
      <c r="C1499" s="48" t="s">
        <v>366</v>
      </c>
    </row>
    <row r="1500" spans="1:3">
      <c r="A1500" s="48">
        <v>18035</v>
      </c>
      <c r="B1500" s="25" t="s">
        <v>418</v>
      </c>
      <c r="C1500" s="48" t="s">
        <v>366</v>
      </c>
    </row>
    <row r="1501" spans="1:3">
      <c r="A1501" s="48">
        <v>18036</v>
      </c>
      <c r="B1501" s="25" t="s">
        <v>418</v>
      </c>
      <c r="C1501" s="48" t="s">
        <v>366</v>
      </c>
    </row>
    <row r="1502" spans="1:3">
      <c r="A1502" s="48">
        <v>18037</v>
      </c>
      <c r="B1502" s="25" t="s">
        <v>418</v>
      </c>
      <c r="C1502" s="48" t="s">
        <v>366</v>
      </c>
    </row>
    <row r="1503" spans="1:3">
      <c r="A1503" s="48">
        <v>18038</v>
      </c>
      <c r="B1503" s="25" t="s">
        <v>418</v>
      </c>
      <c r="C1503" s="48" t="s">
        <v>366</v>
      </c>
    </row>
    <row r="1504" spans="1:3">
      <c r="A1504" s="48">
        <v>18039</v>
      </c>
      <c r="B1504" s="25" t="s">
        <v>417</v>
      </c>
      <c r="C1504" s="48" t="s">
        <v>371</v>
      </c>
    </row>
    <row r="1505" spans="1:3">
      <c r="A1505" s="48">
        <v>18040</v>
      </c>
      <c r="B1505" s="25" t="s">
        <v>418</v>
      </c>
      <c r="C1505" s="48" t="s">
        <v>366</v>
      </c>
    </row>
    <row r="1506" spans="1:3">
      <c r="A1506" s="48">
        <v>18041</v>
      </c>
      <c r="B1506" s="25" t="s">
        <v>417</v>
      </c>
      <c r="C1506" s="48" t="s">
        <v>371</v>
      </c>
    </row>
    <row r="1507" spans="1:3">
      <c r="A1507" s="48">
        <v>18042</v>
      </c>
      <c r="B1507" s="25" t="s">
        <v>418</v>
      </c>
      <c r="C1507" s="48" t="s">
        <v>366</v>
      </c>
    </row>
    <row r="1508" spans="1:3">
      <c r="A1508" s="48">
        <v>18043</v>
      </c>
      <c r="B1508" s="25" t="s">
        <v>418</v>
      </c>
      <c r="C1508" s="48" t="s">
        <v>366</v>
      </c>
    </row>
    <row r="1509" spans="1:3">
      <c r="A1509" s="48">
        <v>18044</v>
      </c>
      <c r="B1509" s="25" t="s">
        <v>418</v>
      </c>
      <c r="C1509" s="48" t="s">
        <v>366</v>
      </c>
    </row>
    <row r="1510" spans="1:3">
      <c r="A1510" s="48">
        <v>18045</v>
      </c>
      <c r="B1510" s="25" t="s">
        <v>418</v>
      </c>
      <c r="C1510" s="48" t="s">
        <v>366</v>
      </c>
    </row>
    <row r="1511" spans="1:3">
      <c r="A1511" s="48">
        <v>18046</v>
      </c>
      <c r="B1511" s="25" t="s">
        <v>418</v>
      </c>
      <c r="C1511" s="48" t="s">
        <v>366</v>
      </c>
    </row>
    <row r="1512" spans="1:3">
      <c r="A1512" s="48">
        <v>18049</v>
      </c>
      <c r="B1512" s="25" t="s">
        <v>418</v>
      </c>
      <c r="C1512" s="48" t="s">
        <v>366</v>
      </c>
    </row>
    <row r="1513" spans="1:3">
      <c r="A1513" s="48">
        <v>18050</v>
      </c>
      <c r="B1513" s="25" t="s">
        <v>418</v>
      </c>
      <c r="C1513" s="48" t="s">
        <v>366</v>
      </c>
    </row>
    <row r="1514" spans="1:3">
      <c r="A1514" s="48">
        <v>18051</v>
      </c>
      <c r="B1514" s="25" t="s">
        <v>418</v>
      </c>
      <c r="C1514" s="48" t="s">
        <v>366</v>
      </c>
    </row>
    <row r="1515" spans="1:3">
      <c r="A1515" s="48">
        <v>18052</v>
      </c>
      <c r="B1515" s="25" t="s">
        <v>418</v>
      </c>
      <c r="C1515" s="48" t="s">
        <v>366</v>
      </c>
    </row>
    <row r="1516" spans="1:3">
      <c r="A1516" s="48">
        <v>18053</v>
      </c>
      <c r="B1516" s="25" t="s">
        <v>418</v>
      </c>
      <c r="C1516" s="48" t="s">
        <v>366</v>
      </c>
    </row>
    <row r="1517" spans="1:3">
      <c r="A1517" s="48">
        <v>18054</v>
      </c>
      <c r="B1517" s="25" t="s">
        <v>417</v>
      </c>
      <c r="C1517" s="48" t="s">
        <v>371</v>
      </c>
    </row>
    <row r="1518" spans="1:3">
      <c r="A1518" s="48">
        <v>18055</v>
      </c>
      <c r="B1518" s="25" t="s">
        <v>418</v>
      </c>
      <c r="C1518" s="48" t="s">
        <v>366</v>
      </c>
    </row>
    <row r="1519" spans="1:3">
      <c r="A1519" s="48">
        <v>18056</v>
      </c>
      <c r="B1519" s="25" t="s">
        <v>417</v>
      </c>
      <c r="C1519" s="48" t="s">
        <v>371</v>
      </c>
    </row>
    <row r="1520" spans="1:3">
      <c r="A1520" s="48">
        <v>18058</v>
      </c>
      <c r="B1520" s="25" t="s">
        <v>416</v>
      </c>
      <c r="C1520" s="48" t="s">
        <v>373</v>
      </c>
    </row>
    <row r="1521" spans="1:3">
      <c r="A1521" s="48">
        <v>18059</v>
      </c>
      <c r="B1521" s="25" t="s">
        <v>418</v>
      </c>
      <c r="C1521" s="48" t="s">
        <v>366</v>
      </c>
    </row>
    <row r="1522" spans="1:3">
      <c r="A1522" s="48">
        <v>18060</v>
      </c>
      <c r="B1522" s="25" t="s">
        <v>418</v>
      </c>
      <c r="C1522" s="48" t="s">
        <v>366</v>
      </c>
    </row>
    <row r="1523" spans="1:3">
      <c r="A1523" s="48">
        <v>18062</v>
      </c>
      <c r="B1523" s="25" t="s">
        <v>418</v>
      </c>
      <c r="C1523" s="48" t="s">
        <v>366</v>
      </c>
    </row>
    <row r="1524" spans="1:3">
      <c r="A1524" s="48">
        <v>18063</v>
      </c>
      <c r="B1524" s="25" t="s">
        <v>418</v>
      </c>
      <c r="C1524" s="48" t="s">
        <v>366</v>
      </c>
    </row>
    <row r="1525" spans="1:3">
      <c r="A1525" s="48">
        <v>18064</v>
      </c>
      <c r="B1525" s="25" t="s">
        <v>418</v>
      </c>
      <c r="C1525" s="48" t="s">
        <v>366</v>
      </c>
    </row>
    <row r="1526" spans="1:3">
      <c r="A1526" s="48">
        <v>18065</v>
      </c>
      <c r="B1526" s="25" t="s">
        <v>418</v>
      </c>
      <c r="C1526" s="48" t="s">
        <v>366</v>
      </c>
    </row>
    <row r="1527" spans="1:3">
      <c r="A1527" s="48">
        <v>18066</v>
      </c>
      <c r="B1527" s="25" t="s">
        <v>418</v>
      </c>
      <c r="C1527" s="48" t="s">
        <v>366</v>
      </c>
    </row>
    <row r="1528" spans="1:3">
      <c r="A1528" s="48">
        <v>18067</v>
      </c>
      <c r="B1528" s="25" t="s">
        <v>418</v>
      </c>
      <c r="C1528" s="48" t="s">
        <v>366</v>
      </c>
    </row>
    <row r="1529" spans="1:3">
      <c r="A1529" s="48">
        <v>18068</v>
      </c>
      <c r="B1529" s="25" t="s">
        <v>418</v>
      </c>
      <c r="C1529" s="48" t="s">
        <v>366</v>
      </c>
    </row>
    <row r="1530" spans="1:3">
      <c r="A1530" s="48">
        <v>18069</v>
      </c>
      <c r="B1530" s="25" t="s">
        <v>418</v>
      </c>
      <c r="C1530" s="48" t="s">
        <v>366</v>
      </c>
    </row>
    <row r="1531" spans="1:3">
      <c r="A1531" s="48">
        <v>18070</v>
      </c>
      <c r="B1531" s="25" t="s">
        <v>417</v>
      </c>
      <c r="C1531" s="48" t="s">
        <v>371</v>
      </c>
    </row>
    <row r="1532" spans="1:3">
      <c r="A1532" s="48">
        <v>18071</v>
      </c>
      <c r="B1532" s="25" t="s">
        <v>418</v>
      </c>
      <c r="C1532" s="48" t="s">
        <v>366</v>
      </c>
    </row>
    <row r="1533" spans="1:3">
      <c r="A1533" s="48">
        <v>18072</v>
      </c>
      <c r="B1533" s="25" t="s">
        <v>418</v>
      </c>
      <c r="C1533" s="48" t="s">
        <v>366</v>
      </c>
    </row>
    <row r="1534" spans="1:3">
      <c r="A1534" s="48">
        <v>18073</v>
      </c>
      <c r="B1534" s="25" t="s">
        <v>417</v>
      </c>
      <c r="C1534" s="48" t="s">
        <v>371</v>
      </c>
    </row>
    <row r="1535" spans="1:3">
      <c r="A1535" s="48">
        <v>18074</v>
      </c>
      <c r="B1535" s="25" t="s">
        <v>417</v>
      </c>
      <c r="C1535" s="48" t="s">
        <v>371</v>
      </c>
    </row>
    <row r="1536" spans="1:3">
      <c r="A1536" s="48">
        <v>18076</v>
      </c>
      <c r="B1536" s="25" t="s">
        <v>417</v>
      </c>
      <c r="C1536" s="48" t="s">
        <v>371</v>
      </c>
    </row>
    <row r="1537" spans="1:3">
      <c r="A1537" s="48">
        <v>18077</v>
      </c>
      <c r="B1537" s="25" t="s">
        <v>417</v>
      </c>
      <c r="C1537" s="48" t="s">
        <v>371</v>
      </c>
    </row>
    <row r="1538" spans="1:3">
      <c r="A1538" s="48">
        <v>18078</v>
      </c>
      <c r="B1538" s="25" t="s">
        <v>418</v>
      </c>
      <c r="C1538" s="48" t="s">
        <v>366</v>
      </c>
    </row>
    <row r="1539" spans="1:3">
      <c r="A1539" s="48">
        <v>18079</v>
      </c>
      <c r="B1539" s="25" t="s">
        <v>418</v>
      </c>
      <c r="C1539" s="48" t="s">
        <v>366</v>
      </c>
    </row>
    <row r="1540" spans="1:3">
      <c r="A1540" s="48">
        <v>18080</v>
      </c>
      <c r="B1540" s="25" t="s">
        <v>418</v>
      </c>
      <c r="C1540" s="48" t="s">
        <v>366</v>
      </c>
    </row>
    <row r="1541" spans="1:3">
      <c r="A1541" s="48">
        <v>18081</v>
      </c>
      <c r="B1541" s="25" t="s">
        <v>417</v>
      </c>
      <c r="C1541" s="48" t="s">
        <v>371</v>
      </c>
    </row>
    <row r="1542" spans="1:3">
      <c r="A1542" s="48">
        <v>18083</v>
      </c>
      <c r="B1542" s="25" t="s">
        <v>418</v>
      </c>
      <c r="C1542" s="48" t="s">
        <v>366</v>
      </c>
    </row>
    <row r="1543" spans="1:3">
      <c r="A1543" s="48">
        <v>18084</v>
      </c>
      <c r="B1543" s="25" t="s">
        <v>417</v>
      </c>
      <c r="C1543" s="48" t="s">
        <v>371</v>
      </c>
    </row>
    <row r="1544" spans="1:3">
      <c r="A1544" s="48">
        <v>18085</v>
      </c>
      <c r="B1544" s="25" t="s">
        <v>418</v>
      </c>
      <c r="C1544" s="48" t="s">
        <v>366</v>
      </c>
    </row>
    <row r="1545" spans="1:3">
      <c r="A1545" s="48">
        <v>18086</v>
      </c>
      <c r="B1545" s="25" t="s">
        <v>418</v>
      </c>
      <c r="C1545" s="48" t="s">
        <v>366</v>
      </c>
    </row>
    <row r="1546" spans="1:3">
      <c r="A1546" s="48">
        <v>18087</v>
      </c>
      <c r="B1546" s="25" t="s">
        <v>418</v>
      </c>
      <c r="C1546" s="48" t="s">
        <v>366</v>
      </c>
    </row>
    <row r="1547" spans="1:3">
      <c r="A1547" s="48">
        <v>18088</v>
      </c>
      <c r="B1547" s="25" t="s">
        <v>418</v>
      </c>
      <c r="C1547" s="48" t="s">
        <v>366</v>
      </c>
    </row>
    <row r="1548" spans="1:3">
      <c r="A1548" s="48">
        <v>18091</v>
      </c>
      <c r="B1548" s="25" t="s">
        <v>418</v>
      </c>
      <c r="C1548" s="48" t="s">
        <v>366</v>
      </c>
    </row>
    <row r="1549" spans="1:3">
      <c r="A1549" s="48">
        <v>18092</v>
      </c>
      <c r="B1549" s="25" t="s">
        <v>418</v>
      </c>
      <c r="C1549" s="48" t="s">
        <v>366</v>
      </c>
    </row>
    <row r="1550" spans="1:3">
      <c r="A1550" s="48">
        <v>18098</v>
      </c>
      <c r="B1550" s="25" t="s">
        <v>418</v>
      </c>
      <c r="C1550" s="48" t="s">
        <v>366</v>
      </c>
    </row>
    <row r="1551" spans="1:3">
      <c r="A1551" s="48">
        <v>18099</v>
      </c>
      <c r="B1551" s="25" t="s">
        <v>418</v>
      </c>
      <c r="C1551" s="48" t="s">
        <v>366</v>
      </c>
    </row>
    <row r="1552" spans="1:3">
      <c r="A1552" s="48">
        <v>18101</v>
      </c>
      <c r="B1552" s="25" t="s">
        <v>418</v>
      </c>
      <c r="C1552" s="48" t="s">
        <v>366</v>
      </c>
    </row>
    <row r="1553" spans="1:3">
      <c r="A1553" s="48">
        <v>18102</v>
      </c>
      <c r="B1553" s="25" t="s">
        <v>418</v>
      </c>
      <c r="C1553" s="48" t="s">
        <v>366</v>
      </c>
    </row>
    <row r="1554" spans="1:3">
      <c r="A1554" s="48">
        <v>18103</v>
      </c>
      <c r="B1554" s="25" t="s">
        <v>418</v>
      </c>
      <c r="C1554" s="48" t="s">
        <v>366</v>
      </c>
    </row>
    <row r="1555" spans="1:3">
      <c r="A1555" s="48">
        <v>18104</v>
      </c>
      <c r="B1555" s="25" t="s">
        <v>418</v>
      </c>
      <c r="C1555" s="48" t="s">
        <v>366</v>
      </c>
    </row>
    <row r="1556" spans="1:3">
      <c r="A1556" s="48">
        <v>18105</v>
      </c>
      <c r="B1556" s="25" t="s">
        <v>418</v>
      </c>
      <c r="C1556" s="48" t="s">
        <v>366</v>
      </c>
    </row>
    <row r="1557" spans="1:3">
      <c r="A1557" s="48">
        <v>18106</v>
      </c>
      <c r="B1557" s="25" t="s">
        <v>418</v>
      </c>
      <c r="C1557" s="48" t="s">
        <v>366</v>
      </c>
    </row>
    <row r="1558" spans="1:3">
      <c r="A1558" s="48">
        <v>18109</v>
      </c>
      <c r="B1558" s="25" t="s">
        <v>418</v>
      </c>
      <c r="C1558" s="48" t="s">
        <v>366</v>
      </c>
    </row>
    <row r="1559" spans="1:3">
      <c r="A1559" s="48">
        <v>18175</v>
      </c>
      <c r="B1559" s="25" t="s">
        <v>418</v>
      </c>
      <c r="C1559" s="48" t="s">
        <v>366</v>
      </c>
    </row>
    <row r="1560" spans="1:3">
      <c r="A1560" s="48">
        <v>18195</v>
      </c>
      <c r="B1560" s="25" t="s">
        <v>418</v>
      </c>
      <c r="C1560" s="48" t="s">
        <v>366</v>
      </c>
    </row>
    <row r="1561" spans="1:3">
      <c r="A1561" s="48">
        <v>18201</v>
      </c>
      <c r="B1561" s="25" t="s">
        <v>416</v>
      </c>
      <c r="C1561" s="48" t="s">
        <v>373</v>
      </c>
    </row>
    <row r="1562" spans="1:3">
      <c r="A1562" s="48">
        <v>18202</v>
      </c>
      <c r="B1562" s="25" t="s">
        <v>416</v>
      </c>
      <c r="C1562" s="48" t="s">
        <v>373</v>
      </c>
    </row>
    <row r="1563" spans="1:3">
      <c r="A1563" s="48">
        <v>18210</v>
      </c>
      <c r="B1563" s="25" t="s">
        <v>418</v>
      </c>
      <c r="C1563" s="48" t="s">
        <v>366</v>
      </c>
    </row>
    <row r="1564" spans="1:3">
      <c r="A1564" s="48">
        <v>18211</v>
      </c>
      <c r="B1564" s="25" t="s">
        <v>418</v>
      </c>
      <c r="C1564" s="48" t="s">
        <v>366</v>
      </c>
    </row>
    <row r="1565" spans="1:3">
      <c r="A1565" s="48">
        <v>18212</v>
      </c>
      <c r="B1565" s="25" t="s">
        <v>418</v>
      </c>
      <c r="C1565" s="48" t="s">
        <v>366</v>
      </c>
    </row>
    <row r="1566" spans="1:3">
      <c r="A1566" s="48">
        <v>18214</v>
      </c>
      <c r="B1566" s="25" t="s">
        <v>418</v>
      </c>
      <c r="C1566" s="48" t="s">
        <v>366</v>
      </c>
    </row>
    <row r="1567" spans="1:3">
      <c r="A1567" s="48">
        <v>18216</v>
      </c>
      <c r="B1567" s="25" t="s">
        <v>418</v>
      </c>
      <c r="C1567" s="48" t="s">
        <v>366</v>
      </c>
    </row>
    <row r="1568" spans="1:3">
      <c r="A1568" s="48">
        <v>18218</v>
      </c>
      <c r="B1568" s="25" t="s">
        <v>418</v>
      </c>
      <c r="C1568" s="48" t="s">
        <v>366</v>
      </c>
    </row>
    <row r="1569" spans="1:3">
      <c r="A1569" s="48">
        <v>18219</v>
      </c>
      <c r="B1569" s="25" t="s">
        <v>416</v>
      </c>
      <c r="C1569" s="48" t="s">
        <v>373</v>
      </c>
    </row>
    <row r="1570" spans="1:3">
      <c r="A1570" s="48">
        <v>18220</v>
      </c>
      <c r="B1570" s="25" t="s">
        <v>418</v>
      </c>
      <c r="C1570" s="48" t="s">
        <v>366</v>
      </c>
    </row>
    <row r="1571" spans="1:3">
      <c r="A1571" s="48">
        <v>18221</v>
      </c>
      <c r="B1571" s="25" t="s">
        <v>416</v>
      </c>
      <c r="C1571" s="48" t="s">
        <v>373</v>
      </c>
    </row>
    <row r="1572" spans="1:3">
      <c r="A1572" s="48">
        <v>18222</v>
      </c>
      <c r="B1572" s="25" t="s">
        <v>416</v>
      </c>
      <c r="C1572" s="48" t="s">
        <v>373</v>
      </c>
    </row>
    <row r="1573" spans="1:3">
      <c r="A1573" s="48">
        <v>18223</v>
      </c>
      <c r="B1573" s="25" t="s">
        <v>416</v>
      </c>
      <c r="C1573" s="48" t="s">
        <v>373</v>
      </c>
    </row>
    <row r="1574" spans="1:3">
      <c r="A1574" s="48">
        <v>18224</v>
      </c>
      <c r="B1574" s="25" t="s">
        <v>416</v>
      </c>
      <c r="C1574" s="48" t="s">
        <v>373</v>
      </c>
    </row>
    <row r="1575" spans="1:3">
      <c r="A1575" s="48">
        <v>18225</v>
      </c>
      <c r="B1575" s="25" t="s">
        <v>416</v>
      </c>
      <c r="C1575" s="48" t="s">
        <v>373</v>
      </c>
    </row>
    <row r="1576" spans="1:3">
      <c r="A1576" s="48">
        <v>18229</v>
      </c>
      <c r="B1576" s="25" t="s">
        <v>418</v>
      </c>
      <c r="C1576" s="48" t="s">
        <v>366</v>
      </c>
    </row>
    <row r="1577" spans="1:3">
      <c r="A1577" s="48">
        <v>18230</v>
      </c>
      <c r="B1577" s="25" t="s">
        <v>418</v>
      </c>
      <c r="C1577" s="48" t="s">
        <v>366</v>
      </c>
    </row>
    <row r="1578" spans="1:3">
      <c r="A1578" s="48">
        <v>18231</v>
      </c>
      <c r="B1578" s="25" t="s">
        <v>418</v>
      </c>
      <c r="C1578" s="48" t="s">
        <v>366</v>
      </c>
    </row>
    <row r="1579" spans="1:3">
      <c r="A1579" s="48">
        <v>18232</v>
      </c>
      <c r="B1579" s="25" t="s">
        <v>418</v>
      </c>
      <c r="C1579" s="48" t="s">
        <v>366</v>
      </c>
    </row>
    <row r="1580" spans="1:3">
      <c r="A1580" s="48">
        <v>18234</v>
      </c>
      <c r="B1580" s="25" t="s">
        <v>416</v>
      </c>
      <c r="C1580" s="48" t="s">
        <v>373</v>
      </c>
    </row>
    <row r="1581" spans="1:3">
      <c r="A1581" s="48">
        <v>18235</v>
      </c>
      <c r="B1581" s="25" t="s">
        <v>418</v>
      </c>
      <c r="C1581" s="48" t="s">
        <v>366</v>
      </c>
    </row>
    <row r="1582" spans="1:3">
      <c r="A1582" s="48">
        <v>18237</v>
      </c>
      <c r="B1582" s="25" t="s">
        <v>418</v>
      </c>
      <c r="C1582" s="48" t="s">
        <v>366</v>
      </c>
    </row>
    <row r="1583" spans="1:3">
      <c r="A1583" s="48">
        <v>18239</v>
      </c>
      <c r="B1583" s="25" t="s">
        <v>416</v>
      </c>
      <c r="C1583" s="48" t="s">
        <v>373</v>
      </c>
    </row>
    <row r="1584" spans="1:3">
      <c r="A1584" s="48">
        <v>18240</v>
      </c>
      <c r="B1584" s="25" t="s">
        <v>418</v>
      </c>
      <c r="C1584" s="48" t="s">
        <v>366</v>
      </c>
    </row>
    <row r="1585" spans="1:3">
      <c r="A1585" s="48">
        <v>18241</v>
      </c>
      <c r="B1585" s="25" t="s">
        <v>418</v>
      </c>
      <c r="C1585" s="48" t="s">
        <v>366</v>
      </c>
    </row>
    <row r="1586" spans="1:3">
      <c r="A1586" s="48">
        <v>18242</v>
      </c>
      <c r="B1586" s="25" t="s">
        <v>418</v>
      </c>
      <c r="C1586" s="48" t="s">
        <v>366</v>
      </c>
    </row>
    <row r="1587" spans="1:3">
      <c r="A1587" s="48">
        <v>18244</v>
      </c>
      <c r="B1587" s="25" t="s">
        <v>418</v>
      </c>
      <c r="C1587" s="48" t="s">
        <v>366</v>
      </c>
    </row>
    <row r="1588" spans="1:3">
      <c r="A1588" s="48">
        <v>18245</v>
      </c>
      <c r="B1588" s="25" t="s">
        <v>418</v>
      </c>
      <c r="C1588" s="48" t="s">
        <v>366</v>
      </c>
    </row>
    <row r="1589" spans="1:3">
      <c r="A1589" s="48">
        <v>18246</v>
      </c>
      <c r="B1589" s="25" t="s">
        <v>416</v>
      </c>
      <c r="C1589" s="48" t="s">
        <v>373</v>
      </c>
    </row>
    <row r="1590" spans="1:3">
      <c r="A1590" s="48">
        <v>18247</v>
      </c>
      <c r="B1590" s="25" t="s">
        <v>416</v>
      </c>
      <c r="C1590" s="48" t="s">
        <v>373</v>
      </c>
    </row>
    <row r="1591" spans="1:3">
      <c r="A1591" s="48">
        <v>18248</v>
      </c>
      <c r="B1591" s="25" t="s">
        <v>418</v>
      </c>
      <c r="C1591" s="48" t="s">
        <v>366</v>
      </c>
    </row>
    <row r="1592" spans="1:3">
      <c r="A1592" s="48">
        <v>18249</v>
      </c>
      <c r="B1592" s="25" t="s">
        <v>416</v>
      </c>
      <c r="C1592" s="48" t="s">
        <v>373</v>
      </c>
    </row>
    <row r="1593" spans="1:3">
      <c r="A1593" s="48">
        <v>18250</v>
      </c>
      <c r="B1593" s="25" t="s">
        <v>418</v>
      </c>
      <c r="C1593" s="48" t="s">
        <v>366</v>
      </c>
    </row>
    <row r="1594" spans="1:3">
      <c r="A1594" s="48">
        <v>18251</v>
      </c>
      <c r="B1594" s="25" t="s">
        <v>416</v>
      </c>
      <c r="C1594" s="48" t="s">
        <v>373</v>
      </c>
    </row>
    <row r="1595" spans="1:3">
      <c r="A1595" s="48">
        <v>18252</v>
      </c>
      <c r="B1595" s="25" t="s">
        <v>418</v>
      </c>
      <c r="C1595" s="48" t="s">
        <v>366</v>
      </c>
    </row>
    <row r="1596" spans="1:3">
      <c r="A1596" s="48">
        <v>18254</v>
      </c>
      <c r="B1596" s="25" t="s">
        <v>418</v>
      </c>
      <c r="C1596" s="48" t="s">
        <v>366</v>
      </c>
    </row>
    <row r="1597" spans="1:3">
      <c r="A1597" s="48">
        <v>18255</v>
      </c>
      <c r="B1597" s="25" t="s">
        <v>418</v>
      </c>
      <c r="C1597" s="48" t="s">
        <v>366</v>
      </c>
    </row>
    <row r="1598" spans="1:3">
      <c r="A1598" s="48">
        <v>18256</v>
      </c>
      <c r="B1598" s="25" t="s">
        <v>416</v>
      </c>
      <c r="C1598" s="48" t="s">
        <v>373</v>
      </c>
    </row>
    <row r="1599" spans="1:3">
      <c r="A1599" s="48">
        <v>18301</v>
      </c>
      <c r="B1599" s="25" t="s">
        <v>416</v>
      </c>
      <c r="C1599" s="48" t="s">
        <v>373</v>
      </c>
    </row>
    <row r="1600" spans="1:3">
      <c r="A1600" s="48">
        <v>18302</v>
      </c>
      <c r="B1600" s="25" t="s">
        <v>416</v>
      </c>
      <c r="C1600" s="48" t="s">
        <v>373</v>
      </c>
    </row>
    <row r="1601" spans="1:3">
      <c r="A1601" s="48">
        <v>18320</v>
      </c>
      <c r="B1601" s="25" t="s">
        <v>416</v>
      </c>
      <c r="C1601" s="48" t="s">
        <v>373</v>
      </c>
    </row>
    <row r="1602" spans="1:3">
      <c r="A1602" s="48">
        <v>18321</v>
      </c>
      <c r="B1602" s="25" t="s">
        <v>416</v>
      </c>
      <c r="C1602" s="48" t="s">
        <v>373</v>
      </c>
    </row>
    <row r="1603" spans="1:3">
      <c r="A1603" s="48">
        <v>18322</v>
      </c>
      <c r="B1603" s="25" t="s">
        <v>416</v>
      </c>
      <c r="C1603" s="48" t="s">
        <v>373</v>
      </c>
    </row>
    <row r="1604" spans="1:3">
      <c r="A1604" s="48">
        <v>18323</v>
      </c>
      <c r="B1604" s="25" t="s">
        <v>416</v>
      </c>
      <c r="C1604" s="48" t="s">
        <v>373</v>
      </c>
    </row>
    <row r="1605" spans="1:3">
      <c r="A1605" s="48">
        <v>18324</v>
      </c>
      <c r="B1605" s="25" t="s">
        <v>416</v>
      </c>
      <c r="C1605" s="48" t="s">
        <v>373</v>
      </c>
    </row>
    <row r="1606" spans="1:3">
      <c r="A1606" s="48">
        <v>18325</v>
      </c>
      <c r="B1606" s="25" t="s">
        <v>416</v>
      </c>
      <c r="C1606" s="48" t="s">
        <v>373</v>
      </c>
    </row>
    <row r="1607" spans="1:3">
      <c r="A1607" s="48">
        <v>18326</v>
      </c>
      <c r="B1607" s="25" t="s">
        <v>416</v>
      </c>
      <c r="C1607" s="48" t="s">
        <v>373</v>
      </c>
    </row>
    <row r="1608" spans="1:3">
      <c r="A1608" s="48">
        <v>18327</v>
      </c>
      <c r="B1608" s="25" t="s">
        <v>416</v>
      </c>
      <c r="C1608" s="48" t="s">
        <v>373</v>
      </c>
    </row>
    <row r="1609" spans="1:3">
      <c r="A1609" s="48">
        <v>18328</v>
      </c>
      <c r="B1609" s="25" t="s">
        <v>416</v>
      </c>
      <c r="C1609" s="48" t="s">
        <v>373</v>
      </c>
    </row>
    <row r="1610" spans="1:3">
      <c r="A1610" s="48">
        <v>18330</v>
      </c>
      <c r="B1610" s="25" t="s">
        <v>416</v>
      </c>
      <c r="C1610" s="48" t="s">
        <v>373</v>
      </c>
    </row>
    <row r="1611" spans="1:3">
      <c r="A1611" s="48">
        <v>18331</v>
      </c>
      <c r="B1611" s="25" t="s">
        <v>416</v>
      </c>
      <c r="C1611" s="48" t="s">
        <v>373</v>
      </c>
    </row>
    <row r="1612" spans="1:3">
      <c r="A1612" s="48">
        <v>18332</v>
      </c>
      <c r="B1612" s="25" t="s">
        <v>416</v>
      </c>
      <c r="C1612" s="48" t="s">
        <v>373</v>
      </c>
    </row>
    <row r="1613" spans="1:3">
      <c r="A1613" s="48">
        <v>18333</v>
      </c>
      <c r="B1613" s="25" t="s">
        <v>416</v>
      </c>
      <c r="C1613" s="48" t="s">
        <v>373</v>
      </c>
    </row>
    <row r="1614" spans="1:3">
      <c r="A1614" s="48">
        <v>18334</v>
      </c>
      <c r="B1614" s="25" t="s">
        <v>416</v>
      </c>
      <c r="C1614" s="48" t="s">
        <v>373</v>
      </c>
    </row>
    <row r="1615" spans="1:3">
      <c r="A1615" s="48">
        <v>18335</v>
      </c>
      <c r="B1615" s="25" t="s">
        <v>416</v>
      </c>
      <c r="C1615" s="48" t="s">
        <v>373</v>
      </c>
    </row>
    <row r="1616" spans="1:3">
      <c r="A1616" s="48">
        <v>18336</v>
      </c>
      <c r="B1616" s="25" t="s">
        <v>416</v>
      </c>
      <c r="C1616" s="48" t="s">
        <v>373</v>
      </c>
    </row>
    <row r="1617" spans="1:3">
      <c r="A1617" s="48">
        <v>18337</v>
      </c>
      <c r="B1617" s="25" t="s">
        <v>416</v>
      </c>
      <c r="C1617" s="48" t="s">
        <v>373</v>
      </c>
    </row>
    <row r="1618" spans="1:3">
      <c r="A1618" s="48">
        <v>18340</v>
      </c>
      <c r="B1618" s="25" t="s">
        <v>416</v>
      </c>
      <c r="C1618" s="48" t="s">
        <v>373</v>
      </c>
    </row>
    <row r="1619" spans="1:3">
      <c r="A1619" s="48">
        <v>18341</v>
      </c>
      <c r="B1619" s="25" t="s">
        <v>416</v>
      </c>
      <c r="C1619" s="48" t="s">
        <v>373</v>
      </c>
    </row>
    <row r="1620" spans="1:3">
      <c r="A1620" s="48">
        <v>18342</v>
      </c>
      <c r="B1620" s="25" t="s">
        <v>416</v>
      </c>
      <c r="C1620" s="48" t="s">
        <v>373</v>
      </c>
    </row>
    <row r="1621" spans="1:3">
      <c r="A1621" s="48">
        <v>18343</v>
      </c>
      <c r="B1621" s="25" t="s">
        <v>418</v>
      </c>
      <c r="C1621" s="48" t="s">
        <v>366</v>
      </c>
    </row>
    <row r="1622" spans="1:3">
      <c r="A1622" s="48">
        <v>18344</v>
      </c>
      <c r="B1622" s="25" t="s">
        <v>416</v>
      </c>
      <c r="C1622" s="48" t="s">
        <v>373</v>
      </c>
    </row>
    <row r="1623" spans="1:3">
      <c r="A1623" s="48">
        <v>18346</v>
      </c>
      <c r="B1623" s="25" t="s">
        <v>416</v>
      </c>
      <c r="C1623" s="48" t="s">
        <v>373</v>
      </c>
    </row>
    <row r="1624" spans="1:3">
      <c r="A1624" s="48">
        <v>18347</v>
      </c>
      <c r="B1624" s="25" t="s">
        <v>416</v>
      </c>
      <c r="C1624" s="48" t="s">
        <v>373</v>
      </c>
    </row>
    <row r="1625" spans="1:3">
      <c r="A1625" s="48">
        <v>18348</v>
      </c>
      <c r="B1625" s="25" t="s">
        <v>416</v>
      </c>
      <c r="C1625" s="48" t="s">
        <v>373</v>
      </c>
    </row>
    <row r="1626" spans="1:3">
      <c r="A1626" s="48">
        <v>18349</v>
      </c>
      <c r="B1626" s="25" t="s">
        <v>416</v>
      </c>
      <c r="C1626" s="48" t="s">
        <v>373</v>
      </c>
    </row>
    <row r="1627" spans="1:3">
      <c r="A1627" s="48">
        <v>18350</v>
      </c>
      <c r="B1627" s="25" t="s">
        <v>416</v>
      </c>
      <c r="C1627" s="48" t="s">
        <v>373</v>
      </c>
    </row>
    <row r="1628" spans="1:3">
      <c r="A1628" s="48">
        <v>18351</v>
      </c>
      <c r="B1628" s="25" t="s">
        <v>418</v>
      </c>
      <c r="C1628" s="48" t="s">
        <v>366</v>
      </c>
    </row>
    <row r="1629" spans="1:3">
      <c r="A1629" s="48">
        <v>18352</v>
      </c>
      <c r="B1629" s="25" t="s">
        <v>416</v>
      </c>
      <c r="C1629" s="48" t="s">
        <v>373</v>
      </c>
    </row>
    <row r="1630" spans="1:3">
      <c r="A1630" s="48">
        <v>18353</v>
      </c>
      <c r="B1630" s="25" t="s">
        <v>416</v>
      </c>
      <c r="C1630" s="48" t="s">
        <v>373</v>
      </c>
    </row>
    <row r="1631" spans="1:3">
      <c r="A1631" s="48">
        <v>18354</v>
      </c>
      <c r="B1631" s="25" t="s">
        <v>416</v>
      </c>
      <c r="C1631" s="48" t="s">
        <v>373</v>
      </c>
    </row>
    <row r="1632" spans="1:3">
      <c r="A1632" s="48">
        <v>18355</v>
      </c>
      <c r="B1632" s="25" t="s">
        <v>416</v>
      </c>
      <c r="C1632" s="48" t="s">
        <v>373</v>
      </c>
    </row>
    <row r="1633" spans="1:3">
      <c r="A1633" s="48">
        <v>18356</v>
      </c>
      <c r="B1633" s="25" t="s">
        <v>416</v>
      </c>
      <c r="C1633" s="48" t="s">
        <v>373</v>
      </c>
    </row>
    <row r="1634" spans="1:3">
      <c r="A1634" s="48">
        <v>18357</v>
      </c>
      <c r="B1634" s="25" t="s">
        <v>416</v>
      </c>
      <c r="C1634" s="48" t="s">
        <v>373</v>
      </c>
    </row>
    <row r="1635" spans="1:3">
      <c r="A1635" s="48">
        <v>18360</v>
      </c>
      <c r="B1635" s="25" t="s">
        <v>416</v>
      </c>
      <c r="C1635" s="48" t="s">
        <v>373</v>
      </c>
    </row>
    <row r="1636" spans="1:3">
      <c r="A1636" s="48">
        <v>18370</v>
      </c>
      <c r="B1636" s="25" t="s">
        <v>416</v>
      </c>
      <c r="C1636" s="48" t="s">
        <v>373</v>
      </c>
    </row>
    <row r="1637" spans="1:3">
      <c r="A1637" s="48">
        <v>18371</v>
      </c>
      <c r="B1637" s="25" t="s">
        <v>416</v>
      </c>
      <c r="C1637" s="48" t="s">
        <v>373</v>
      </c>
    </row>
    <row r="1638" spans="1:3">
      <c r="A1638" s="48">
        <v>18372</v>
      </c>
      <c r="B1638" s="25" t="s">
        <v>416</v>
      </c>
      <c r="C1638" s="48" t="s">
        <v>373</v>
      </c>
    </row>
    <row r="1639" spans="1:3">
      <c r="A1639" s="48">
        <v>18373</v>
      </c>
      <c r="B1639" s="25" t="s">
        <v>416</v>
      </c>
      <c r="C1639" s="48" t="s">
        <v>373</v>
      </c>
    </row>
    <row r="1640" spans="1:3">
      <c r="A1640" s="48">
        <v>18401</v>
      </c>
      <c r="B1640" s="25" t="s">
        <v>419</v>
      </c>
      <c r="C1640" s="48" t="s">
        <v>407</v>
      </c>
    </row>
    <row r="1641" spans="1:3">
      <c r="A1641" s="48">
        <v>18403</v>
      </c>
      <c r="B1641" s="25" t="s">
        <v>416</v>
      </c>
      <c r="C1641" s="48" t="s">
        <v>373</v>
      </c>
    </row>
    <row r="1642" spans="1:3">
      <c r="A1642" s="48">
        <v>18405</v>
      </c>
      <c r="B1642" s="25" t="s">
        <v>419</v>
      </c>
      <c r="C1642" s="48" t="s">
        <v>407</v>
      </c>
    </row>
    <row r="1643" spans="1:3">
      <c r="A1643" s="48">
        <v>18407</v>
      </c>
      <c r="B1643" s="25" t="s">
        <v>416</v>
      </c>
      <c r="C1643" s="48" t="s">
        <v>373</v>
      </c>
    </row>
    <row r="1644" spans="1:3">
      <c r="A1644" s="48">
        <v>18410</v>
      </c>
      <c r="B1644" s="25" t="s">
        <v>416</v>
      </c>
      <c r="C1644" s="48" t="s">
        <v>373</v>
      </c>
    </row>
    <row r="1645" spans="1:3">
      <c r="A1645" s="48">
        <v>18411</v>
      </c>
      <c r="B1645" s="25" t="s">
        <v>416</v>
      </c>
      <c r="C1645" s="48" t="s">
        <v>373</v>
      </c>
    </row>
    <row r="1646" spans="1:3">
      <c r="A1646" s="48">
        <v>18413</v>
      </c>
      <c r="B1646" s="25" t="s">
        <v>419</v>
      </c>
      <c r="C1646" s="48" t="s">
        <v>407</v>
      </c>
    </row>
    <row r="1647" spans="1:3">
      <c r="A1647" s="48">
        <v>18414</v>
      </c>
      <c r="B1647" s="25" t="s">
        <v>416</v>
      </c>
      <c r="C1647" s="48" t="s">
        <v>373</v>
      </c>
    </row>
    <row r="1648" spans="1:3">
      <c r="A1648" s="48">
        <v>18415</v>
      </c>
      <c r="B1648" s="25" t="s">
        <v>419</v>
      </c>
      <c r="C1648" s="48" t="s">
        <v>407</v>
      </c>
    </row>
    <row r="1649" spans="1:3">
      <c r="A1649" s="48">
        <v>18416</v>
      </c>
      <c r="B1649" s="25" t="s">
        <v>416</v>
      </c>
      <c r="C1649" s="48" t="s">
        <v>373</v>
      </c>
    </row>
    <row r="1650" spans="1:3">
      <c r="A1650" s="48">
        <v>18417</v>
      </c>
      <c r="B1650" s="25" t="s">
        <v>419</v>
      </c>
      <c r="C1650" s="48" t="s">
        <v>407</v>
      </c>
    </row>
    <row r="1651" spans="1:3">
      <c r="A1651" s="48">
        <v>18419</v>
      </c>
      <c r="B1651" s="25" t="s">
        <v>416</v>
      </c>
      <c r="C1651" s="48" t="s">
        <v>373</v>
      </c>
    </row>
    <row r="1652" spans="1:3">
      <c r="A1652" s="48">
        <v>18420</v>
      </c>
      <c r="B1652" s="25" t="s">
        <v>416</v>
      </c>
      <c r="C1652" s="48" t="s">
        <v>373</v>
      </c>
    </row>
    <row r="1653" spans="1:3">
      <c r="A1653" s="48">
        <v>18421</v>
      </c>
      <c r="B1653" s="25" t="s">
        <v>419</v>
      </c>
      <c r="C1653" s="48" t="s">
        <v>407</v>
      </c>
    </row>
    <row r="1654" spans="1:3">
      <c r="A1654" s="48">
        <v>18424</v>
      </c>
      <c r="B1654" s="25" t="s">
        <v>416</v>
      </c>
      <c r="C1654" s="48" t="s">
        <v>373</v>
      </c>
    </row>
    <row r="1655" spans="1:3">
      <c r="A1655" s="48">
        <v>18425</v>
      </c>
      <c r="B1655" s="25" t="s">
        <v>416</v>
      </c>
      <c r="C1655" s="48" t="s">
        <v>373</v>
      </c>
    </row>
    <row r="1656" spans="1:3">
      <c r="A1656" s="48">
        <v>18426</v>
      </c>
      <c r="B1656" s="25" t="s">
        <v>416</v>
      </c>
      <c r="C1656" s="48" t="s">
        <v>373</v>
      </c>
    </row>
    <row r="1657" spans="1:3">
      <c r="A1657" s="48">
        <v>18427</v>
      </c>
      <c r="B1657" s="25" t="s">
        <v>419</v>
      </c>
      <c r="C1657" s="48" t="s">
        <v>407</v>
      </c>
    </row>
    <row r="1658" spans="1:3">
      <c r="A1658" s="48">
        <v>18428</v>
      </c>
      <c r="B1658" s="25" t="s">
        <v>416</v>
      </c>
      <c r="C1658" s="48" t="s">
        <v>373</v>
      </c>
    </row>
    <row r="1659" spans="1:3">
      <c r="A1659" s="48">
        <v>18430</v>
      </c>
      <c r="B1659" s="25" t="s">
        <v>419</v>
      </c>
      <c r="C1659" s="48" t="s">
        <v>407</v>
      </c>
    </row>
    <row r="1660" spans="1:3">
      <c r="A1660" s="48">
        <v>18431</v>
      </c>
      <c r="B1660" s="25" t="s">
        <v>419</v>
      </c>
      <c r="C1660" s="48" t="s">
        <v>407</v>
      </c>
    </row>
    <row r="1661" spans="1:3">
      <c r="A1661" s="48">
        <v>18433</v>
      </c>
      <c r="B1661" s="25" t="s">
        <v>416</v>
      </c>
      <c r="C1661" s="48" t="s">
        <v>373</v>
      </c>
    </row>
    <row r="1662" spans="1:3">
      <c r="A1662" s="48">
        <v>18434</v>
      </c>
      <c r="B1662" s="25" t="s">
        <v>416</v>
      </c>
      <c r="C1662" s="48" t="s">
        <v>373</v>
      </c>
    </row>
    <row r="1663" spans="1:3">
      <c r="A1663" s="48">
        <v>18435</v>
      </c>
      <c r="B1663" s="25" t="s">
        <v>416</v>
      </c>
      <c r="C1663" s="48" t="s">
        <v>373</v>
      </c>
    </row>
    <row r="1664" spans="1:3">
      <c r="A1664" s="48">
        <v>18436</v>
      </c>
      <c r="B1664" s="25" t="s">
        <v>419</v>
      </c>
      <c r="C1664" s="48" t="s">
        <v>407</v>
      </c>
    </row>
    <row r="1665" spans="1:3">
      <c r="A1665" s="48">
        <v>18437</v>
      </c>
      <c r="B1665" s="25" t="s">
        <v>419</v>
      </c>
      <c r="C1665" s="48" t="s">
        <v>407</v>
      </c>
    </row>
    <row r="1666" spans="1:3">
      <c r="A1666" s="48">
        <v>18438</v>
      </c>
      <c r="B1666" s="25" t="s">
        <v>419</v>
      </c>
      <c r="C1666" s="48" t="s">
        <v>407</v>
      </c>
    </row>
    <row r="1667" spans="1:3">
      <c r="A1667" s="48">
        <v>18439</v>
      </c>
      <c r="B1667" s="25" t="s">
        <v>419</v>
      </c>
      <c r="C1667" s="48" t="s">
        <v>407</v>
      </c>
    </row>
    <row r="1668" spans="1:3">
      <c r="A1668" s="48">
        <v>18440</v>
      </c>
      <c r="B1668" s="25" t="s">
        <v>416</v>
      </c>
      <c r="C1668" s="48" t="s">
        <v>373</v>
      </c>
    </row>
    <row r="1669" spans="1:3">
      <c r="A1669" s="48">
        <v>18441</v>
      </c>
      <c r="B1669" s="25" t="s">
        <v>419</v>
      </c>
      <c r="C1669" s="48" t="s">
        <v>407</v>
      </c>
    </row>
    <row r="1670" spans="1:3">
      <c r="A1670" s="48">
        <v>18443</v>
      </c>
      <c r="B1670" s="25" t="s">
        <v>419</v>
      </c>
      <c r="C1670" s="48" t="s">
        <v>407</v>
      </c>
    </row>
    <row r="1671" spans="1:3">
      <c r="A1671" s="48">
        <v>18444</v>
      </c>
      <c r="B1671" s="25" t="s">
        <v>416</v>
      </c>
      <c r="C1671" s="48" t="s">
        <v>373</v>
      </c>
    </row>
    <row r="1672" spans="1:3">
      <c r="A1672" s="48">
        <v>18445</v>
      </c>
      <c r="B1672" s="25" t="s">
        <v>419</v>
      </c>
      <c r="C1672" s="48" t="s">
        <v>407</v>
      </c>
    </row>
    <row r="1673" spans="1:3">
      <c r="A1673" s="48">
        <v>18446</v>
      </c>
      <c r="B1673" s="25" t="s">
        <v>416</v>
      </c>
      <c r="C1673" s="48" t="s">
        <v>373</v>
      </c>
    </row>
    <row r="1674" spans="1:3">
      <c r="A1674" s="48">
        <v>18447</v>
      </c>
      <c r="B1674" s="25" t="s">
        <v>416</v>
      </c>
      <c r="C1674" s="48" t="s">
        <v>373</v>
      </c>
    </row>
    <row r="1675" spans="1:3">
      <c r="A1675" s="48">
        <v>18448</v>
      </c>
      <c r="B1675" s="25" t="s">
        <v>416</v>
      </c>
      <c r="C1675" s="48" t="s">
        <v>373</v>
      </c>
    </row>
    <row r="1676" spans="1:3">
      <c r="A1676" s="48">
        <v>18449</v>
      </c>
      <c r="B1676" s="25" t="s">
        <v>419</v>
      </c>
      <c r="C1676" s="48" t="s">
        <v>407</v>
      </c>
    </row>
    <row r="1677" spans="1:3">
      <c r="A1677" s="48">
        <v>18451</v>
      </c>
      <c r="B1677" s="25" t="s">
        <v>416</v>
      </c>
      <c r="C1677" s="48" t="s">
        <v>373</v>
      </c>
    </row>
    <row r="1678" spans="1:3">
      <c r="A1678" s="48">
        <v>18452</v>
      </c>
      <c r="B1678" s="25" t="s">
        <v>416</v>
      </c>
      <c r="C1678" s="48" t="s">
        <v>373</v>
      </c>
    </row>
    <row r="1679" spans="1:3">
      <c r="A1679" s="48">
        <v>18453</v>
      </c>
      <c r="B1679" s="25" t="s">
        <v>419</v>
      </c>
      <c r="C1679" s="48" t="s">
        <v>407</v>
      </c>
    </row>
    <row r="1680" spans="1:3">
      <c r="A1680" s="48">
        <v>18454</v>
      </c>
      <c r="B1680" s="25" t="s">
        <v>419</v>
      </c>
      <c r="C1680" s="48" t="s">
        <v>407</v>
      </c>
    </row>
    <row r="1681" spans="1:3">
      <c r="A1681" s="48">
        <v>18455</v>
      </c>
      <c r="B1681" s="25" t="s">
        <v>419</v>
      </c>
      <c r="C1681" s="48" t="s">
        <v>407</v>
      </c>
    </row>
    <row r="1682" spans="1:3">
      <c r="A1682" s="48">
        <v>18456</v>
      </c>
      <c r="B1682" s="25" t="s">
        <v>419</v>
      </c>
      <c r="C1682" s="48" t="s">
        <v>407</v>
      </c>
    </row>
    <row r="1683" spans="1:3">
      <c r="A1683" s="48">
        <v>18457</v>
      </c>
      <c r="B1683" s="25" t="s">
        <v>416</v>
      </c>
      <c r="C1683" s="48" t="s">
        <v>373</v>
      </c>
    </row>
    <row r="1684" spans="1:3">
      <c r="A1684" s="48">
        <v>18458</v>
      </c>
      <c r="B1684" s="25" t="s">
        <v>416</v>
      </c>
      <c r="C1684" s="48" t="s">
        <v>373</v>
      </c>
    </row>
    <row r="1685" spans="1:3">
      <c r="A1685" s="48">
        <v>18459</v>
      </c>
      <c r="B1685" s="25" t="s">
        <v>419</v>
      </c>
      <c r="C1685" s="48" t="s">
        <v>407</v>
      </c>
    </row>
    <row r="1686" spans="1:3">
      <c r="A1686" s="48">
        <v>18460</v>
      </c>
      <c r="B1686" s="25" t="s">
        <v>419</v>
      </c>
      <c r="C1686" s="48" t="s">
        <v>407</v>
      </c>
    </row>
    <row r="1687" spans="1:3">
      <c r="A1687" s="48">
        <v>18461</v>
      </c>
      <c r="B1687" s="25" t="s">
        <v>419</v>
      </c>
      <c r="C1687" s="48" t="s">
        <v>407</v>
      </c>
    </row>
    <row r="1688" spans="1:3">
      <c r="A1688" s="48">
        <v>18462</v>
      </c>
      <c r="B1688" s="25" t="s">
        <v>419</v>
      </c>
      <c r="C1688" s="48" t="s">
        <v>407</v>
      </c>
    </row>
    <row r="1689" spans="1:3">
      <c r="A1689" s="48">
        <v>18463</v>
      </c>
      <c r="B1689" s="25" t="s">
        <v>419</v>
      </c>
      <c r="C1689" s="48" t="s">
        <v>407</v>
      </c>
    </row>
    <row r="1690" spans="1:3">
      <c r="A1690" s="48">
        <v>18464</v>
      </c>
      <c r="B1690" s="25" t="s">
        <v>416</v>
      </c>
      <c r="C1690" s="48" t="s">
        <v>373</v>
      </c>
    </row>
    <row r="1691" spans="1:3">
      <c r="A1691" s="48">
        <v>18465</v>
      </c>
      <c r="B1691" s="25" t="s">
        <v>419</v>
      </c>
      <c r="C1691" s="48" t="s">
        <v>407</v>
      </c>
    </row>
    <row r="1692" spans="1:3">
      <c r="A1692" s="48">
        <v>18466</v>
      </c>
      <c r="B1692" s="25" t="s">
        <v>416</v>
      </c>
      <c r="C1692" s="48" t="s">
        <v>373</v>
      </c>
    </row>
    <row r="1693" spans="1:3">
      <c r="A1693" s="48">
        <v>18469</v>
      </c>
      <c r="B1693" s="25" t="s">
        <v>419</v>
      </c>
      <c r="C1693" s="48" t="s">
        <v>407</v>
      </c>
    </row>
    <row r="1694" spans="1:3">
      <c r="A1694" s="48">
        <v>18470</v>
      </c>
      <c r="B1694" s="25" t="s">
        <v>419</v>
      </c>
      <c r="C1694" s="48" t="s">
        <v>407</v>
      </c>
    </row>
    <row r="1695" spans="1:3">
      <c r="A1695" s="48">
        <v>18471</v>
      </c>
      <c r="B1695" s="25" t="s">
        <v>416</v>
      </c>
      <c r="C1695" s="48" t="s">
        <v>373</v>
      </c>
    </row>
    <row r="1696" spans="1:3">
      <c r="A1696" s="48">
        <v>18472</v>
      </c>
      <c r="B1696" s="25" t="s">
        <v>419</v>
      </c>
      <c r="C1696" s="48" t="s">
        <v>407</v>
      </c>
    </row>
    <row r="1697" spans="1:3">
      <c r="A1697" s="48">
        <v>18473</v>
      </c>
      <c r="B1697" s="25" t="s">
        <v>419</v>
      </c>
      <c r="C1697" s="48" t="s">
        <v>407</v>
      </c>
    </row>
    <row r="1698" spans="1:3">
      <c r="A1698" s="48">
        <v>18501</v>
      </c>
      <c r="B1698" s="25" t="s">
        <v>416</v>
      </c>
      <c r="C1698" s="48" t="s">
        <v>373</v>
      </c>
    </row>
    <row r="1699" spans="1:3">
      <c r="A1699" s="48">
        <v>18502</v>
      </c>
      <c r="B1699" s="25" t="s">
        <v>416</v>
      </c>
      <c r="C1699" s="48" t="s">
        <v>373</v>
      </c>
    </row>
    <row r="1700" spans="1:3">
      <c r="A1700" s="48">
        <v>18503</v>
      </c>
      <c r="B1700" s="25" t="s">
        <v>416</v>
      </c>
      <c r="C1700" s="48" t="s">
        <v>373</v>
      </c>
    </row>
    <row r="1701" spans="1:3">
      <c r="A1701" s="48">
        <v>18504</v>
      </c>
      <c r="B1701" s="25" t="s">
        <v>416</v>
      </c>
      <c r="C1701" s="48" t="s">
        <v>373</v>
      </c>
    </row>
    <row r="1702" spans="1:3">
      <c r="A1702" s="48">
        <v>18505</v>
      </c>
      <c r="B1702" s="25" t="s">
        <v>416</v>
      </c>
      <c r="C1702" s="48" t="s">
        <v>373</v>
      </c>
    </row>
    <row r="1703" spans="1:3">
      <c r="A1703" s="48">
        <v>18507</v>
      </c>
      <c r="B1703" s="25" t="s">
        <v>416</v>
      </c>
      <c r="C1703" s="48" t="s">
        <v>373</v>
      </c>
    </row>
    <row r="1704" spans="1:3">
      <c r="A1704" s="48">
        <v>18508</v>
      </c>
      <c r="B1704" s="25" t="s">
        <v>416</v>
      </c>
      <c r="C1704" s="48" t="s">
        <v>373</v>
      </c>
    </row>
    <row r="1705" spans="1:3">
      <c r="A1705" s="48">
        <v>18509</v>
      </c>
      <c r="B1705" s="25" t="s">
        <v>416</v>
      </c>
      <c r="C1705" s="48" t="s">
        <v>373</v>
      </c>
    </row>
    <row r="1706" spans="1:3">
      <c r="A1706" s="48">
        <v>18510</v>
      </c>
      <c r="B1706" s="25" t="s">
        <v>416</v>
      </c>
      <c r="C1706" s="48" t="s">
        <v>373</v>
      </c>
    </row>
    <row r="1707" spans="1:3">
      <c r="A1707" s="48">
        <v>18512</v>
      </c>
      <c r="B1707" s="25" t="s">
        <v>416</v>
      </c>
      <c r="C1707" s="48" t="s">
        <v>373</v>
      </c>
    </row>
    <row r="1708" spans="1:3">
      <c r="A1708" s="48">
        <v>18514</v>
      </c>
      <c r="B1708" s="25" t="s">
        <v>416</v>
      </c>
      <c r="C1708" s="48" t="s">
        <v>373</v>
      </c>
    </row>
    <row r="1709" spans="1:3">
      <c r="A1709" s="48">
        <v>18515</v>
      </c>
      <c r="B1709" s="25" t="s">
        <v>416</v>
      </c>
      <c r="C1709" s="48" t="s">
        <v>373</v>
      </c>
    </row>
    <row r="1710" spans="1:3">
      <c r="A1710" s="48">
        <v>18517</v>
      </c>
      <c r="B1710" s="25" t="s">
        <v>416</v>
      </c>
      <c r="C1710" s="48" t="s">
        <v>373</v>
      </c>
    </row>
    <row r="1711" spans="1:3">
      <c r="A1711" s="48">
        <v>18518</v>
      </c>
      <c r="B1711" s="25" t="s">
        <v>416</v>
      </c>
      <c r="C1711" s="48" t="s">
        <v>373</v>
      </c>
    </row>
    <row r="1712" spans="1:3">
      <c r="A1712" s="48">
        <v>18519</v>
      </c>
      <c r="B1712" s="25" t="s">
        <v>416</v>
      </c>
      <c r="C1712" s="48" t="s">
        <v>373</v>
      </c>
    </row>
    <row r="1713" spans="1:3">
      <c r="A1713" s="48">
        <v>18522</v>
      </c>
      <c r="B1713" s="25" t="s">
        <v>416</v>
      </c>
      <c r="C1713" s="48" t="s">
        <v>373</v>
      </c>
    </row>
    <row r="1714" spans="1:3">
      <c r="A1714" s="48">
        <v>18540</v>
      </c>
      <c r="B1714" s="25" t="s">
        <v>416</v>
      </c>
      <c r="C1714" s="48" t="s">
        <v>373</v>
      </c>
    </row>
    <row r="1715" spans="1:3">
      <c r="A1715" s="48">
        <v>18577</v>
      </c>
      <c r="B1715" s="25" t="s">
        <v>416</v>
      </c>
      <c r="C1715" s="48" t="s">
        <v>373</v>
      </c>
    </row>
    <row r="1716" spans="1:3">
      <c r="A1716" s="48">
        <v>18601</v>
      </c>
      <c r="B1716" s="25" t="s">
        <v>416</v>
      </c>
      <c r="C1716" s="48" t="s">
        <v>373</v>
      </c>
    </row>
    <row r="1717" spans="1:3">
      <c r="A1717" s="48">
        <v>18602</v>
      </c>
      <c r="B1717" s="25" t="s">
        <v>416</v>
      </c>
      <c r="C1717" s="48" t="s">
        <v>373</v>
      </c>
    </row>
    <row r="1718" spans="1:3">
      <c r="A1718" s="48">
        <v>18603</v>
      </c>
      <c r="B1718" s="25" t="s">
        <v>415</v>
      </c>
      <c r="C1718" s="48" t="s">
        <v>374</v>
      </c>
    </row>
    <row r="1719" spans="1:3">
      <c r="A1719" s="48">
        <v>18610</v>
      </c>
      <c r="B1719" s="25" t="s">
        <v>416</v>
      </c>
      <c r="C1719" s="48" t="s">
        <v>373</v>
      </c>
    </row>
    <row r="1720" spans="1:3">
      <c r="A1720" s="48">
        <v>18611</v>
      </c>
      <c r="B1720" s="25" t="s">
        <v>416</v>
      </c>
      <c r="C1720" s="48" t="s">
        <v>373</v>
      </c>
    </row>
    <row r="1721" spans="1:3">
      <c r="A1721" s="48">
        <v>18612</v>
      </c>
      <c r="B1721" s="25" t="s">
        <v>416</v>
      </c>
      <c r="C1721" s="48" t="s">
        <v>373</v>
      </c>
    </row>
    <row r="1722" spans="1:3">
      <c r="A1722" s="48">
        <v>18614</v>
      </c>
      <c r="B1722" s="25" t="s">
        <v>416</v>
      </c>
      <c r="C1722" s="48" t="s">
        <v>373</v>
      </c>
    </row>
    <row r="1723" spans="1:3">
      <c r="A1723" s="48">
        <v>18615</v>
      </c>
      <c r="B1723" s="25" t="s">
        <v>416</v>
      </c>
      <c r="C1723" s="48" t="s">
        <v>373</v>
      </c>
    </row>
    <row r="1724" spans="1:3">
      <c r="A1724" s="48">
        <v>18616</v>
      </c>
      <c r="B1724" s="25" t="s">
        <v>416</v>
      </c>
      <c r="C1724" s="48" t="s">
        <v>373</v>
      </c>
    </row>
    <row r="1725" spans="1:3">
      <c r="A1725" s="48">
        <v>18617</v>
      </c>
      <c r="B1725" s="25" t="s">
        <v>416</v>
      </c>
      <c r="C1725" s="48" t="s">
        <v>373</v>
      </c>
    </row>
    <row r="1726" spans="1:3">
      <c r="A1726" s="48">
        <v>18618</v>
      </c>
      <c r="B1726" s="25" t="s">
        <v>416</v>
      </c>
      <c r="C1726" s="48" t="s">
        <v>373</v>
      </c>
    </row>
    <row r="1727" spans="1:3">
      <c r="A1727" s="48">
        <v>18619</v>
      </c>
      <c r="B1727" s="25" t="s">
        <v>416</v>
      </c>
      <c r="C1727" s="48" t="s">
        <v>373</v>
      </c>
    </row>
    <row r="1728" spans="1:3">
      <c r="A1728" s="48">
        <v>18621</v>
      </c>
      <c r="B1728" s="25" t="s">
        <v>416</v>
      </c>
      <c r="C1728" s="48" t="s">
        <v>373</v>
      </c>
    </row>
    <row r="1729" spans="1:3">
      <c r="A1729" s="48">
        <v>18622</v>
      </c>
      <c r="B1729" s="25" t="s">
        <v>416</v>
      </c>
      <c r="C1729" s="48" t="s">
        <v>373</v>
      </c>
    </row>
    <row r="1730" spans="1:3">
      <c r="A1730" s="48">
        <v>18623</v>
      </c>
      <c r="B1730" s="25" t="s">
        <v>416</v>
      </c>
      <c r="C1730" s="48" t="s">
        <v>373</v>
      </c>
    </row>
    <row r="1731" spans="1:3">
      <c r="A1731" s="48">
        <v>18624</v>
      </c>
      <c r="B1731" s="25" t="s">
        <v>418</v>
      </c>
      <c r="C1731" s="48" t="s">
        <v>366</v>
      </c>
    </row>
    <row r="1732" spans="1:3">
      <c r="A1732" s="48">
        <v>18625</v>
      </c>
      <c r="B1732" s="25" t="s">
        <v>416</v>
      </c>
      <c r="C1732" s="48" t="s">
        <v>373</v>
      </c>
    </row>
    <row r="1733" spans="1:3">
      <c r="A1733" s="48">
        <v>18626</v>
      </c>
      <c r="B1733" s="25" t="s">
        <v>416</v>
      </c>
      <c r="C1733" s="48" t="s">
        <v>373</v>
      </c>
    </row>
    <row r="1734" spans="1:3">
      <c r="A1734" s="48">
        <v>18627</v>
      </c>
      <c r="B1734" s="25" t="s">
        <v>416</v>
      </c>
      <c r="C1734" s="48" t="s">
        <v>373</v>
      </c>
    </row>
    <row r="1735" spans="1:3">
      <c r="A1735" s="48">
        <v>18628</v>
      </c>
      <c r="B1735" s="25" t="s">
        <v>416</v>
      </c>
      <c r="C1735" s="48" t="s">
        <v>373</v>
      </c>
    </row>
    <row r="1736" spans="1:3">
      <c r="A1736" s="48">
        <v>18629</v>
      </c>
      <c r="B1736" s="25" t="s">
        <v>416</v>
      </c>
      <c r="C1736" s="48" t="s">
        <v>373</v>
      </c>
    </row>
    <row r="1737" spans="1:3">
      <c r="A1737" s="48">
        <v>18630</v>
      </c>
      <c r="B1737" s="25" t="s">
        <v>416</v>
      </c>
      <c r="C1737" s="48" t="s">
        <v>373</v>
      </c>
    </row>
    <row r="1738" spans="1:3">
      <c r="A1738" s="48">
        <v>18631</v>
      </c>
      <c r="B1738" s="25" t="s">
        <v>415</v>
      </c>
      <c r="C1738" s="48" t="s">
        <v>374</v>
      </c>
    </row>
    <row r="1739" spans="1:3">
      <c r="A1739" s="48">
        <v>18632</v>
      </c>
      <c r="B1739" s="25" t="s">
        <v>416</v>
      </c>
      <c r="C1739" s="48" t="s">
        <v>373</v>
      </c>
    </row>
    <row r="1740" spans="1:3">
      <c r="A1740" s="48">
        <v>18634</v>
      </c>
      <c r="B1740" s="25" t="s">
        <v>416</v>
      </c>
      <c r="C1740" s="48" t="s">
        <v>373</v>
      </c>
    </row>
    <row r="1741" spans="1:3">
      <c r="A1741" s="48">
        <v>18635</v>
      </c>
      <c r="B1741" s="25" t="s">
        <v>416</v>
      </c>
      <c r="C1741" s="48" t="s">
        <v>373</v>
      </c>
    </row>
    <row r="1742" spans="1:3">
      <c r="A1742" s="48">
        <v>18636</v>
      </c>
      <c r="B1742" s="25" t="s">
        <v>416</v>
      </c>
      <c r="C1742" s="48" t="s">
        <v>373</v>
      </c>
    </row>
    <row r="1743" spans="1:3">
      <c r="A1743" s="48">
        <v>18640</v>
      </c>
      <c r="B1743" s="25" t="s">
        <v>416</v>
      </c>
      <c r="C1743" s="48" t="s">
        <v>373</v>
      </c>
    </row>
    <row r="1744" spans="1:3">
      <c r="A1744" s="48">
        <v>18641</v>
      </c>
      <c r="B1744" s="25" t="s">
        <v>416</v>
      </c>
      <c r="C1744" s="48" t="s">
        <v>373</v>
      </c>
    </row>
    <row r="1745" spans="1:3">
      <c r="A1745" s="48">
        <v>18642</v>
      </c>
      <c r="B1745" s="25" t="s">
        <v>416</v>
      </c>
      <c r="C1745" s="48" t="s">
        <v>373</v>
      </c>
    </row>
    <row r="1746" spans="1:3">
      <c r="A1746" s="48">
        <v>18643</v>
      </c>
      <c r="B1746" s="25" t="s">
        <v>416</v>
      </c>
      <c r="C1746" s="48" t="s">
        <v>373</v>
      </c>
    </row>
    <row r="1747" spans="1:3">
      <c r="A1747" s="48">
        <v>18644</v>
      </c>
      <c r="B1747" s="25" t="s">
        <v>416</v>
      </c>
      <c r="C1747" s="48" t="s">
        <v>373</v>
      </c>
    </row>
    <row r="1748" spans="1:3">
      <c r="A1748" s="48">
        <v>18651</v>
      </c>
      <c r="B1748" s="25" t="s">
        <v>416</v>
      </c>
      <c r="C1748" s="48" t="s">
        <v>373</v>
      </c>
    </row>
    <row r="1749" spans="1:3">
      <c r="A1749" s="48">
        <v>18653</v>
      </c>
      <c r="B1749" s="25" t="s">
        <v>416</v>
      </c>
      <c r="C1749" s="48" t="s">
        <v>373</v>
      </c>
    </row>
    <row r="1750" spans="1:3">
      <c r="A1750" s="48">
        <v>18654</v>
      </c>
      <c r="B1750" s="25" t="s">
        <v>416</v>
      </c>
      <c r="C1750" s="48" t="s">
        <v>373</v>
      </c>
    </row>
    <row r="1751" spans="1:3">
      <c r="A1751" s="48">
        <v>18655</v>
      </c>
      <c r="B1751" s="25" t="s">
        <v>416</v>
      </c>
      <c r="C1751" s="48" t="s">
        <v>373</v>
      </c>
    </row>
    <row r="1752" spans="1:3">
      <c r="A1752" s="48">
        <v>18656</v>
      </c>
      <c r="B1752" s="25" t="s">
        <v>416</v>
      </c>
      <c r="C1752" s="48" t="s">
        <v>373</v>
      </c>
    </row>
    <row r="1753" spans="1:3">
      <c r="A1753" s="48">
        <v>18657</v>
      </c>
      <c r="B1753" s="25" t="s">
        <v>416</v>
      </c>
      <c r="C1753" s="48" t="s">
        <v>373</v>
      </c>
    </row>
    <row r="1754" spans="1:3">
      <c r="A1754" s="48">
        <v>18660</v>
      </c>
      <c r="B1754" s="25" t="s">
        <v>416</v>
      </c>
      <c r="C1754" s="48" t="s">
        <v>373</v>
      </c>
    </row>
    <row r="1755" spans="1:3">
      <c r="A1755" s="48">
        <v>18661</v>
      </c>
      <c r="B1755" s="25" t="s">
        <v>416</v>
      </c>
      <c r="C1755" s="48" t="s">
        <v>373</v>
      </c>
    </row>
    <row r="1756" spans="1:3">
      <c r="A1756" s="48">
        <v>18690</v>
      </c>
      <c r="B1756" s="25" t="s">
        <v>416</v>
      </c>
      <c r="C1756" s="48" t="s">
        <v>373</v>
      </c>
    </row>
    <row r="1757" spans="1:3">
      <c r="A1757" s="48">
        <v>18701</v>
      </c>
      <c r="B1757" s="25" t="s">
        <v>416</v>
      </c>
      <c r="C1757" s="48" t="s">
        <v>373</v>
      </c>
    </row>
    <row r="1758" spans="1:3">
      <c r="A1758" s="48">
        <v>18702</v>
      </c>
      <c r="B1758" s="25" t="s">
        <v>416</v>
      </c>
      <c r="C1758" s="48" t="s">
        <v>373</v>
      </c>
    </row>
    <row r="1759" spans="1:3">
      <c r="A1759" s="48">
        <v>18703</v>
      </c>
      <c r="B1759" s="25" t="s">
        <v>416</v>
      </c>
      <c r="C1759" s="48" t="s">
        <v>373</v>
      </c>
    </row>
    <row r="1760" spans="1:3">
      <c r="A1760" s="48">
        <v>18704</v>
      </c>
      <c r="B1760" s="25" t="s">
        <v>416</v>
      </c>
      <c r="C1760" s="48" t="s">
        <v>373</v>
      </c>
    </row>
    <row r="1761" spans="1:3">
      <c r="A1761" s="48">
        <v>18705</v>
      </c>
      <c r="B1761" s="25" t="s">
        <v>416</v>
      </c>
      <c r="C1761" s="48" t="s">
        <v>373</v>
      </c>
    </row>
    <row r="1762" spans="1:3">
      <c r="A1762" s="48">
        <v>18706</v>
      </c>
      <c r="B1762" s="25" t="s">
        <v>416</v>
      </c>
      <c r="C1762" s="48" t="s">
        <v>373</v>
      </c>
    </row>
    <row r="1763" spans="1:3">
      <c r="A1763" s="48">
        <v>18707</v>
      </c>
      <c r="B1763" s="25" t="s">
        <v>416</v>
      </c>
      <c r="C1763" s="48" t="s">
        <v>373</v>
      </c>
    </row>
    <row r="1764" spans="1:3">
      <c r="A1764" s="48">
        <v>18708</v>
      </c>
      <c r="B1764" s="25" t="s">
        <v>416</v>
      </c>
      <c r="C1764" s="48" t="s">
        <v>373</v>
      </c>
    </row>
    <row r="1765" spans="1:3">
      <c r="A1765" s="48">
        <v>18709</v>
      </c>
      <c r="B1765" s="25" t="s">
        <v>416</v>
      </c>
      <c r="C1765" s="48" t="s">
        <v>373</v>
      </c>
    </row>
    <row r="1766" spans="1:3">
      <c r="A1766" s="48">
        <v>18710</v>
      </c>
      <c r="B1766" s="25" t="s">
        <v>416</v>
      </c>
      <c r="C1766" s="48" t="s">
        <v>373</v>
      </c>
    </row>
    <row r="1767" spans="1:3">
      <c r="A1767" s="48">
        <v>18711</v>
      </c>
      <c r="B1767" s="25" t="s">
        <v>416</v>
      </c>
      <c r="C1767" s="48" t="s">
        <v>373</v>
      </c>
    </row>
    <row r="1768" spans="1:3">
      <c r="A1768" s="48">
        <v>18761</v>
      </c>
      <c r="B1768" s="25" t="s">
        <v>416</v>
      </c>
      <c r="C1768" s="48" t="s">
        <v>373</v>
      </c>
    </row>
    <row r="1769" spans="1:3">
      <c r="A1769" s="48">
        <v>18762</v>
      </c>
      <c r="B1769" s="25" t="s">
        <v>416</v>
      </c>
      <c r="C1769" s="48" t="s">
        <v>373</v>
      </c>
    </row>
    <row r="1770" spans="1:3">
      <c r="A1770" s="48">
        <v>18763</v>
      </c>
      <c r="B1770" s="25" t="s">
        <v>416</v>
      </c>
      <c r="C1770" s="48" t="s">
        <v>373</v>
      </c>
    </row>
    <row r="1771" spans="1:3">
      <c r="A1771" s="48">
        <v>18764</v>
      </c>
      <c r="B1771" s="25" t="s">
        <v>416</v>
      </c>
      <c r="C1771" s="48" t="s">
        <v>373</v>
      </c>
    </row>
    <row r="1772" spans="1:3">
      <c r="A1772" s="48">
        <v>18765</v>
      </c>
      <c r="B1772" s="25" t="s">
        <v>416</v>
      </c>
      <c r="C1772" s="48" t="s">
        <v>373</v>
      </c>
    </row>
    <row r="1773" spans="1:3">
      <c r="A1773" s="48">
        <v>18766</v>
      </c>
      <c r="B1773" s="25" t="s">
        <v>416</v>
      </c>
      <c r="C1773" s="48" t="s">
        <v>373</v>
      </c>
    </row>
    <row r="1774" spans="1:3">
      <c r="A1774" s="48">
        <v>18767</v>
      </c>
      <c r="B1774" s="25" t="s">
        <v>416</v>
      </c>
      <c r="C1774" s="48" t="s">
        <v>373</v>
      </c>
    </row>
    <row r="1775" spans="1:3">
      <c r="A1775" s="48">
        <v>18768</v>
      </c>
      <c r="B1775" s="25" t="s">
        <v>416</v>
      </c>
      <c r="C1775" s="48" t="s">
        <v>373</v>
      </c>
    </row>
    <row r="1776" spans="1:3">
      <c r="A1776" s="48">
        <v>18769</v>
      </c>
      <c r="B1776" s="25" t="s">
        <v>416</v>
      </c>
      <c r="C1776" s="48" t="s">
        <v>373</v>
      </c>
    </row>
    <row r="1777" spans="1:3">
      <c r="A1777" s="48">
        <v>18773</v>
      </c>
      <c r="B1777" s="25" t="s">
        <v>416</v>
      </c>
      <c r="C1777" s="48" t="s">
        <v>373</v>
      </c>
    </row>
    <row r="1778" spans="1:3">
      <c r="A1778" s="48">
        <v>18774</v>
      </c>
      <c r="B1778" s="25" t="s">
        <v>416</v>
      </c>
      <c r="C1778" s="48" t="s">
        <v>373</v>
      </c>
    </row>
    <row r="1779" spans="1:3">
      <c r="A1779" s="48">
        <v>18801</v>
      </c>
      <c r="B1779" s="25" t="s">
        <v>419</v>
      </c>
      <c r="C1779" s="48" t="s">
        <v>407</v>
      </c>
    </row>
    <row r="1780" spans="1:3">
      <c r="A1780" s="48">
        <v>18810</v>
      </c>
      <c r="B1780" s="25" t="s">
        <v>416</v>
      </c>
      <c r="C1780" s="48" t="s">
        <v>373</v>
      </c>
    </row>
    <row r="1781" spans="1:3">
      <c r="A1781" s="48">
        <v>18812</v>
      </c>
      <c r="B1781" s="25" t="s">
        <v>419</v>
      </c>
      <c r="C1781" s="48" t="s">
        <v>407</v>
      </c>
    </row>
    <row r="1782" spans="1:3">
      <c r="A1782" s="48">
        <v>18813</v>
      </c>
      <c r="B1782" s="25" t="s">
        <v>419</v>
      </c>
      <c r="C1782" s="48" t="s">
        <v>407</v>
      </c>
    </row>
    <row r="1783" spans="1:3">
      <c r="A1783" s="48">
        <v>18814</v>
      </c>
      <c r="B1783" s="25" t="s">
        <v>416</v>
      </c>
      <c r="C1783" s="48" t="s">
        <v>373</v>
      </c>
    </row>
    <row r="1784" spans="1:3">
      <c r="A1784" s="48">
        <v>18815</v>
      </c>
      <c r="B1784" s="25" t="s">
        <v>416</v>
      </c>
      <c r="C1784" s="48" t="s">
        <v>373</v>
      </c>
    </row>
    <row r="1785" spans="1:3">
      <c r="A1785" s="48">
        <v>18816</v>
      </c>
      <c r="B1785" s="25" t="s">
        <v>419</v>
      </c>
      <c r="C1785" s="48" t="s">
        <v>407</v>
      </c>
    </row>
    <row r="1786" spans="1:3">
      <c r="A1786" s="48">
        <v>18817</v>
      </c>
      <c r="B1786" s="25" t="s">
        <v>416</v>
      </c>
      <c r="C1786" s="48" t="s">
        <v>373</v>
      </c>
    </row>
    <row r="1787" spans="1:3">
      <c r="A1787" s="48">
        <v>18818</v>
      </c>
      <c r="B1787" s="25" t="s">
        <v>419</v>
      </c>
      <c r="C1787" s="48" t="s">
        <v>407</v>
      </c>
    </row>
    <row r="1788" spans="1:3">
      <c r="A1788" s="48">
        <v>18820</v>
      </c>
      <c r="B1788" s="25" t="s">
        <v>419</v>
      </c>
      <c r="C1788" s="48" t="s">
        <v>407</v>
      </c>
    </row>
    <row r="1789" spans="1:3">
      <c r="A1789" s="48">
        <v>18821</v>
      </c>
      <c r="B1789" s="25" t="s">
        <v>419</v>
      </c>
      <c r="C1789" s="48" t="s">
        <v>407</v>
      </c>
    </row>
    <row r="1790" spans="1:3">
      <c r="A1790" s="48">
        <v>18822</v>
      </c>
      <c r="B1790" s="25" t="s">
        <v>419</v>
      </c>
      <c r="C1790" s="48" t="s">
        <v>407</v>
      </c>
    </row>
    <row r="1791" spans="1:3">
      <c r="A1791" s="48">
        <v>18823</v>
      </c>
      <c r="B1791" s="25" t="s">
        <v>419</v>
      </c>
      <c r="C1791" s="48" t="s">
        <v>407</v>
      </c>
    </row>
    <row r="1792" spans="1:3">
      <c r="A1792" s="48">
        <v>18824</v>
      </c>
      <c r="B1792" s="25" t="s">
        <v>419</v>
      </c>
      <c r="C1792" s="48" t="s">
        <v>407</v>
      </c>
    </row>
    <row r="1793" spans="1:3">
      <c r="A1793" s="48">
        <v>18825</v>
      </c>
      <c r="B1793" s="25" t="s">
        <v>419</v>
      </c>
      <c r="C1793" s="48" t="s">
        <v>407</v>
      </c>
    </row>
    <row r="1794" spans="1:3">
      <c r="A1794" s="48">
        <v>18826</v>
      </c>
      <c r="B1794" s="25" t="s">
        <v>419</v>
      </c>
      <c r="C1794" s="48" t="s">
        <v>407</v>
      </c>
    </row>
    <row r="1795" spans="1:3">
      <c r="A1795" s="48">
        <v>18827</v>
      </c>
      <c r="B1795" s="25" t="s">
        <v>419</v>
      </c>
      <c r="C1795" s="48" t="s">
        <v>407</v>
      </c>
    </row>
    <row r="1796" spans="1:3">
      <c r="A1796" s="48">
        <v>18828</v>
      </c>
      <c r="B1796" s="25" t="s">
        <v>419</v>
      </c>
      <c r="C1796" s="48" t="s">
        <v>407</v>
      </c>
    </row>
    <row r="1797" spans="1:3">
      <c r="A1797" s="48">
        <v>18829</v>
      </c>
      <c r="B1797" s="25" t="s">
        <v>416</v>
      </c>
      <c r="C1797" s="48" t="s">
        <v>373</v>
      </c>
    </row>
    <row r="1798" spans="1:3">
      <c r="A1798" s="48">
        <v>18830</v>
      </c>
      <c r="B1798" s="25" t="s">
        <v>419</v>
      </c>
      <c r="C1798" s="48" t="s">
        <v>407</v>
      </c>
    </row>
    <row r="1799" spans="1:3">
      <c r="A1799" s="48">
        <v>18831</v>
      </c>
      <c r="B1799" s="25" t="s">
        <v>416</v>
      </c>
      <c r="C1799" s="48" t="s">
        <v>373</v>
      </c>
    </row>
    <row r="1800" spans="1:3">
      <c r="A1800" s="48">
        <v>18832</v>
      </c>
      <c r="B1800" s="25" t="s">
        <v>416</v>
      </c>
      <c r="C1800" s="48" t="s">
        <v>373</v>
      </c>
    </row>
    <row r="1801" spans="1:3">
      <c r="A1801" s="48">
        <v>18833</v>
      </c>
      <c r="B1801" s="25" t="s">
        <v>416</v>
      </c>
      <c r="C1801" s="48" t="s">
        <v>373</v>
      </c>
    </row>
    <row r="1802" spans="1:3">
      <c r="A1802" s="48">
        <v>18834</v>
      </c>
      <c r="B1802" s="25" t="s">
        <v>419</v>
      </c>
      <c r="C1802" s="48" t="s">
        <v>407</v>
      </c>
    </row>
    <row r="1803" spans="1:3">
      <c r="A1803" s="48">
        <v>18837</v>
      </c>
      <c r="B1803" s="25" t="s">
        <v>416</v>
      </c>
      <c r="C1803" s="48" t="s">
        <v>373</v>
      </c>
    </row>
    <row r="1804" spans="1:3">
      <c r="A1804" s="48">
        <v>18840</v>
      </c>
      <c r="B1804" s="25" t="s">
        <v>416</v>
      </c>
      <c r="C1804" s="48" t="s">
        <v>373</v>
      </c>
    </row>
    <row r="1805" spans="1:3">
      <c r="A1805" s="48">
        <v>18842</v>
      </c>
      <c r="B1805" s="25" t="s">
        <v>419</v>
      </c>
      <c r="C1805" s="48" t="s">
        <v>407</v>
      </c>
    </row>
    <row r="1806" spans="1:3">
      <c r="A1806" s="48">
        <v>18843</v>
      </c>
      <c r="B1806" s="25" t="s">
        <v>419</v>
      </c>
      <c r="C1806" s="48" t="s">
        <v>407</v>
      </c>
    </row>
    <row r="1807" spans="1:3">
      <c r="A1807" s="48">
        <v>18844</v>
      </c>
      <c r="B1807" s="25" t="s">
        <v>419</v>
      </c>
      <c r="C1807" s="48" t="s">
        <v>407</v>
      </c>
    </row>
    <row r="1808" spans="1:3">
      <c r="A1808" s="48">
        <v>18845</v>
      </c>
      <c r="B1808" s="25" t="s">
        <v>416</v>
      </c>
      <c r="C1808" s="48" t="s">
        <v>373</v>
      </c>
    </row>
    <row r="1809" spans="1:3">
      <c r="A1809" s="48">
        <v>18846</v>
      </c>
      <c r="B1809" s="25" t="s">
        <v>416</v>
      </c>
      <c r="C1809" s="48" t="s">
        <v>373</v>
      </c>
    </row>
    <row r="1810" spans="1:3">
      <c r="A1810" s="48">
        <v>18847</v>
      </c>
      <c r="B1810" s="25" t="s">
        <v>419</v>
      </c>
      <c r="C1810" s="48" t="s">
        <v>407</v>
      </c>
    </row>
    <row r="1811" spans="1:3">
      <c r="A1811" s="48">
        <v>18848</v>
      </c>
      <c r="B1811" s="25" t="s">
        <v>416</v>
      </c>
      <c r="C1811" s="48" t="s">
        <v>373</v>
      </c>
    </row>
    <row r="1812" spans="1:3">
      <c r="A1812" s="48">
        <v>18850</v>
      </c>
      <c r="B1812" s="25" t="s">
        <v>416</v>
      </c>
      <c r="C1812" s="48" t="s">
        <v>373</v>
      </c>
    </row>
    <row r="1813" spans="1:3">
      <c r="A1813" s="48">
        <v>18851</v>
      </c>
      <c r="B1813" s="25" t="s">
        <v>416</v>
      </c>
      <c r="C1813" s="48" t="s">
        <v>373</v>
      </c>
    </row>
    <row r="1814" spans="1:3">
      <c r="A1814" s="48">
        <v>18853</v>
      </c>
      <c r="B1814" s="25" t="s">
        <v>416</v>
      </c>
      <c r="C1814" s="48" t="s">
        <v>373</v>
      </c>
    </row>
    <row r="1815" spans="1:3">
      <c r="A1815" s="48">
        <v>18854</v>
      </c>
      <c r="B1815" s="25" t="s">
        <v>416</v>
      </c>
      <c r="C1815" s="48" t="s">
        <v>373</v>
      </c>
    </row>
    <row r="1816" spans="1:3">
      <c r="A1816" s="48">
        <v>18901</v>
      </c>
      <c r="B1816" s="25" t="s">
        <v>417</v>
      </c>
      <c r="C1816" s="48" t="s">
        <v>371</v>
      </c>
    </row>
    <row r="1817" spans="1:3">
      <c r="A1817" s="48">
        <v>18902</v>
      </c>
      <c r="B1817" s="25" t="s">
        <v>417</v>
      </c>
      <c r="C1817" s="48" t="s">
        <v>371</v>
      </c>
    </row>
    <row r="1818" spans="1:3">
      <c r="A1818" s="48">
        <v>18910</v>
      </c>
      <c r="B1818" s="25" t="s">
        <v>417</v>
      </c>
      <c r="C1818" s="48" t="s">
        <v>371</v>
      </c>
    </row>
    <row r="1819" spans="1:3">
      <c r="A1819" s="48">
        <v>18911</v>
      </c>
      <c r="B1819" s="25" t="s">
        <v>417</v>
      </c>
      <c r="C1819" s="48" t="s">
        <v>371</v>
      </c>
    </row>
    <row r="1820" spans="1:3">
      <c r="A1820" s="48">
        <v>18912</v>
      </c>
      <c r="B1820" s="25" t="s">
        <v>417</v>
      </c>
      <c r="C1820" s="48" t="s">
        <v>371</v>
      </c>
    </row>
    <row r="1821" spans="1:3">
      <c r="A1821" s="48">
        <v>18913</v>
      </c>
      <c r="B1821" s="25" t="s">
        <v>417</v>
      </c>
      <c r="C1821" s="48" t="s">
        <v>371</v>
      </c>
    </row>
    <row r="1822" spans="1:3">
      <c r="A1822" s="48">
        <v>18914</v>
      </c>
      <c r="B1822" s="25" t="s">
        <v>417</v>
      </c>
      <c r="C1822" s="48" t="s">
        <v>371</v>
      </c>
    </row>
    <row r="1823" spans="1:3">
      <c r="A1823" s="48">
        <v>18915</v>
      </c>
      <c r="B1823" s="25" t="s">
        <v>417</v>
      </c>
      <c r="C1823" s="48" t="s">
        <v>371</v>
      </c>
    </row>
    <row r="1824" spans="1:3">
      <c r="A1824" s="48">
        <v>18916</v>
      </c>
      <c r="B1824" s="25" t="s">
        <v>417</v>
      </c>
      <c r="C1824" s="48" t="s">
        <v>371</v>
      </c>
    </row>
    <row r="1825" spans="1:3">
      <c r="A1825" s="48">
        <v>18917</v>
      </c>
      <c r="B1825" s="25" t="s">
        <v>417</v>
      </c>
      <c r="C1825" s="48" t="s">
        <v>371</v>
      </c>
    </row>
    <row r="1826" spans="1:3">
      <c r="A1826" s="48">
        <v>18918</v>
      </c>
      <c r="B1826" s="25" t="s">
        <v>417</v>
      </c>
      <c r="C1826" s="48" t="s">
        <v>371</v>
      </c>
    </row>
    <row r="1827" spans="1:3">
      <c r="A1827" s="48">
        <v>18920</v>
      </c>
      <c r="B1827" s="25" t="s">
        <v>417</v>
      </c>
      <c r="C1827" s="48" t="s">
        <v>371</v>
      </c>
    </row>
    <row r="1828" spans="1:3">
      <c r="A1828" s="48">
        <v>18921</v>
      </c>
      <c r="B1828" s="25" t="s">
        <v>417</v>
      </c>
      <c r="C1828" s="48" t="s">
        <v>371</v>
      </c>
    </row>
    <row r="1829" spans="1:3">
      <c r="A1829" s="48">
        <v>18922</v>
      </c>
      <c r="B1829" s="25" t="s">
        <v>417</v>
      </c>
      <c r="C1829" s="48" t="s">
        <v>371</v>
      </c>
    </row>
    <row r="1830" spans="1:3">
      <c r="A1830" s="48">
        <v>18923</v>
      </c>
      <c r="B1830" s="25" t="s">
        <v>417</v>
      </c>
      <c r="C1830" s="48" t="s">
        <v>371</v>
      </c>
    </row>
    <row r="1831" spans="1:3">
      <c r="A1831" s="48">
        <v>18924</v>
      </c>
      <c r="B1831" s="25" t="s">
        <v>417</v>
      </c>
      <c r="C1831" s="48" t="s">
        <v>371</v>
      </c>
    </row>
    <row r="1832" spans="1:3">
      <c r="A1832" s="48">
        <v>18925</v>
      </c>
      <c r="B1832" s="25" t="s">
        <v>417</v>
      </c>
      <c r="C1832" s="48" t="s">
        <v>371</v>
      </c>
    </row>
    <row r="1833" spans="1:3">
      <c r="A1833" s="48">
        <v>18926</v>
      </c>
      <c r="B1833" s="25" t="s">
        <v>417</v>
      </c>
      <c r="C1833" s="48" t="s">
        <v>371</v>
      </c>
    </row>
    <row r="1834" spans="1:3">
      <c r="A1834" s="48">
        <v>18927</v>
      </c>
      <c r="B1834" s="25" t="s">
        <v>417</v>
      </c>
      <c r="C1834" s="48" t="s">
        <v>371</v>
      </c>
    </row>
    <row r="1835" spans="1:3">
      <c r="A1835" s="48">
        <v>18928</v>
      </c>
      <c r="B1835" s="25" t="s">
        <v>417</v>
      </c>
      <c r="C1835" s="48" t="s">
        <v>371</v>
      </c>
    </row>
    <row r="1836" spans="1:3">
      <c r="A1836" s="48">
        <v>18929</v>
      </c>
      <c r="B1836" s="25" t="s">
        <v>417</v>
      </c>
      <c r="C1836" s="48" t="s">
        <v>371</v>
      </c>
    </row>
    <row r="1837" spans="1:3">
      <c r="A1837" s="48">
        <v>18930</v>
      </c>
      <c r="B1837" s="25" t="s">
        <v>417</v>
      </c>
      <c r="C1837" s="48" t="s">
        <v>371</v>
      </c>
    </row>
    <row r="1838" spans="1:3">
      <c r="A1838" s="48">
        <v>18931</v>
      </c>
      <c r="B1838" s="25" t="s">
        <v>417</v>
      </c>
      <c r="C1838" s="48" t="s">
        <v>371</v>
      </c>
    </row>
    <row r="1839" spans="1:3">
      <c r="A1839" s="48">
        <v>18932</v>
      </c>
      <c r="B1839" s="25" t="s">
        <v>417</v>
      </c>
      <c r="C1839" s="48" t="s">
        <v>371</v>
      </c>
    </row>
    <row r="1840" spans="1:3">
      <c r="A1840" s="48">
        <v>18933</v>
      </c>
      <c r="B1840" s="25" t="s">
        <v>417</v>
      </c>
      <c r="C1840" s="48" t="s">
        <v>371</v>
      </c>
    </row>
    <row r="1841" spans="1:3">
      <c r="A1841" s="48">
        <v>18934</v>
      </c>
      <c r="B1841" s="25" t="s">
        <v>417</v>
      </c>
      <c r="C1841" s="48" t="s">
        <v>371</v>
      </c>
    </row>
    <row r="1842" spans="1:3">
      <c r="A1842" s="48">
        <v>18935</v>
      </c>
      <c r="B1842" s="25" t="s">
        <v>417</v>
      </c>
      <c r="C1842" s="48" t="s">
        <v>371</v>
      </c>
    </row>
    <row r="1843" spans="1:3">
      <c r="A1843" s="48">
        <v>18936</v>
      </c>
      <c r="B1843" s="25" t="s">
        <v>417</v>
      </c>
      <c r="C1843" s="48" t="s">
        <v>371</v>
      </c>
    </row>
    <row r="1844" spans="1:3">
      <c r="A1844" s="48">
        <v>18938</v>
      </c>
      <c r="B1844" s="25" t="s">
        <v>417</v>
      </c>
      <c r="C1844" s="48" t="s">
        <v>371</v>
      </c>
    </row>
    <row r="1845" spans="1:3">
      <c r="A1845" s="48">
        <v>18940</v>
      </c>
      <c r="B1845" s="25" t="s">
        <v>417</v>
      </c>
      <c r="C1845" s="48" t="s">
        <v>371</v>
      </c>
    </row>
    <row r="1846" spans="1:3">
      <c r="A1846" s="48">
        <v>18942</v>
      </c>
      <c r="B1846" s="25" t="s">
        <v>417</v>
      </c>
      <c r="C1846" s="48" t="s">
        <v>371</v>
      </c>
    </row>
    <row r="1847" spans="1:3">
      <c r="A1847" s="48">
        <v>18943</v>
      </c>
      <c r="B1847" s="25" t="s">
        <v>417</v>
      </c>
      <c r="C1847" s="48" t="s">
        <v>371</v>
      </c>
    </row>
    <row r="1848" spans="1:3">
      <c r="A1848" s="48">
        <v>18944</v>
      </c>
      <c r="B1848" s="25" t="s">
        <v>417</v>
      </c>
      <c r="C1848" s="48" t="s">
        <v>371</v>
      </c>
    </row>
    <row r="1849" spans="1:3">
      <c r="A1849" s="48">
        <v>18946</v>
      </c>
      <c r="B1849" s="25" t="s">
        <v>417</v>
      </c>
      <c r="C1849" s="48" t="s">
        <v>371</v>
      </c>
    </row>
    <row r="1850" spans="1:3">
      <c r="A1850" s="48">
        <v>18947</v>
      </c>
      <c r="B1850" s="25" t="s">
        <v>417</v>
      </c>
      <c r="C1850" s="48" t="s">
        <v>371</v>
      </c>
    </row>
    <row r="1851" spans="1:3">
      <c r="A1851" s="48">
        <v>18949</v>
      </c>
      <c r="B1851" s="25" t="s">
        <v>417</v>
      </c>
      <c r="C1851" s="48" t="s">
        <v>371</v>
      </c>
    </row>
    <row r="1852" spans="1:3">
      <c r="A1852" s="48">
        <v>18950</v>
      </c>
      <c r="B1852" s="25" t="s">
        <v>417</v>
      </c>
      <c r="C1852" s="48" t="s">
        <v>371</v>
      </c>
    </row>
    <row r="1853" spans="1:3">
      <c r="A1853" s="48">
        <v>18951</v>
      </c>
      <c r="B1853" s="25" t="s">
        <v>417</v>
      </c>
      <c r="C1853" s="48" t="s">
        <v>371</v>
      </c>
    </row>
    <row r="1854" spans="1:3">
      <c r="A1854" s="48">
        <v>18953</v>
      </c>
      <c r="B1854" s="25" t="s">
        <v>417</v>
      </c>
      <c r="C1854" s="48" t="s">
        <v>371</v>
      </c>
    </row>
    <row r="1855" spans="1:3">
      <c r="A1855" s="48">
        <v>18954</v>
      </c>
      <c r="B1855" s="25" t="s">
        <v>417</v>
      </c>
      <c r="C1855" s="48" t="s">
        <v>371</v>
      </c>
    </row>
    <row r="1856" spans="1:3">
      <c r="A1856" s="48">
        <v>18955</v>
      </c>
      <c r="B1856" s="25" t="s">
        <v>417</v>
      </c>
      <c r="C1856" s="48" t="s">
        <v>371</v>
      </c>
    </row>
    <row r="1857" spans="1:3">
      <c r="A1857" s="48">
        <v>18956</v>
      </c>
      <c r="B1857" s="25" t="s">
        <v>417</v>
      </c>
      <c r="C1857" s="48" t="s">
        <v>371</v>
      </c>
    </row>
    <row r="1858" spans="1:3">
      <c r="A1858" s="48">
        <v>18957</v>
      </c>
      <c r="B1858" s="25" t="s">
        <v>417</v>
      </c>
      <c r="C1858" s="48" t="s">
        <v>371</v>
      </c>
    </row>
    <row r="1859" spans="1:3">
      <c r="A1859" s="48">
        <v>18958</v>
      </c>
      <c r="B1859" s="25" t="s">
        <v>417</v>
      </c>
      <c r="C1859" s="48" t="s">
        <v>371</v>
      </c>
    </row>
    <row r="1860" spans="1:3">
      <c r="A1860" s="48">
        <v>18960</v>
      </c>
      <c r="B1860" s="25" t="s">
        <v>417</v>
      </c>
      <c r="C1860" s="48" t="s">
        <v>371</v>
      </c>
    </row>
    <row r="1861" spans="1:3">
      <c r="A1861" s="48">
        <v>18962</v>
      </c>
      <c r="B1861" s="25" t="s">
        <v>417</v>
      </c>
      <c r="C1861" s="48" t="s">
        <v>371</v>
      </c>
    </row>
    <row r="1862" spans="1:3">
      <c r="A1862" s="48">
        <v>18963</v>
      </c>
      <c r="B1862" s="25" t="s">
        <v>417</v>
      </c>
      <c r="C1862" s="48" t="s">
        <v>371</v>
      </c>
    </row>
    <row r="1863" spans="1:3">
      <c r="A1863" s="48">
        <v>18964</v>
      </c>
      <c r="B1863" s="25" t="s">
        <v>417</v>
      </c>
      <c r="C1863" s="48" t="s">
        <v>371</v>
      </c>
    </row>
    <row r="1864" spans="1:3">
      <c r="A1864" s="48">
        <v>18966</v>
      </c>
      <c r="B1864" s="25" t="s">
        <v>417</v>
      </c>
      <c r="C1864" s="48" t="s">
        <v>371</v>
      </c>
    </row>
    <row r="1865" spans="1:3">
      <c r="A1865" s="48">
        <v>18968</v>
      </c>
      <c r="B1865" s="25" t="s">
        <v>417</v>
      </c>
      <c r="C1865" s="48" t="s">
        <v>371</v>
      </c>
    </row>
    <row r="1866" spans="1:3">
      <c r="A1866" s="48">
        <v>18969</v>
      </c>
      <c r="B1866" s="25" t="s">
        <v>417</v>
      </c>
      <c r="C1866" s="48" t="s">
        <v>371</v>
      </c>
    </row>
    <row r="1867" spans="1:3">
      <c r="A1867" s="48">
        <v>18970</v>
      </c>
      <c r="B1867" s="25" t="s">
        <v>417</v>
      </c>
      <c r="C1867" s="48" t="s">
        <v>371</v>
      </c>
    </row>
    <row r="1868" spans="1:3">
      <c r="A1868" s="48">
        <v>18971</v>
      </c>
      <c r="B1868" s="25" t="s">
        <v>417</v>
      </c>
      <c r="C1868" s="48" t="s">
        <v>371</v>
      </c>
    </row>
    <row r="1869" spans="1:3">
      <c r="A1869" s="48">
        <v>18972</v>
      </c>
      <c r="B1869" s="25" t="s">
        <v>417</v>
      </c>
      <c r="C1869" s="48" t="s">
        <v>371</v>
      </c>
    </row>
    <row r="1870" spans="1:3">
      <c r="A1870" s="48">
        <v>18974</v>
      </c>
      <c r="B1870" s="25" t="s">
        <v>417</v>
      </c>
      <c r="C1870" s="48" t="s">
        <v>371</v>
      </c>
    </row>
    <row r="1871" spans="1:3">
      <c r="A1871" s="48">
        <v>18976</v>
      </c>
      <c r="B1871" s="25" t="s">
        <v>417</v>
      </c>
      <c r="C1871" s="48" t="s">
        <v>371</v>
      </c>
    </row>
    <row r="1872" spans="1:3">
      <c r="A1872" s="48">
        <v>18977</v>
      </c>
      <c r="B1872" s="25" t="s">
        <v>417</v>
      </c>
      <c r="C1872" s="48" t="s">
        <v>371</v>
      </c>
    </row>
    <row r="1873" spans="1:3">
      <c r="A1873" s="48">
        <v>18979</v>
      </c>
      <c r="B1873" s="25" t="s">
        <v>417</v>
      </c>
      <c r="C1873" s="48" t="s">
        <v>371</v>
      </c>
    </row>
    <row r="1874" spans="1:3">
      <c r="A1874" s="48">
        <v>18980</v>
      </c>
      <c r="B1874" s="25" t="s">
        <v>417</v>
      </c>
      <c r="C1874" s="48" t="s">
        <v>371</v>
      </c>
    </row>
    <row r="1875" spans="1:3">
      <c r="A1875" s="48">
        <v>18981</v>
      </c>
      <c r="B1875" s="25" t="s">
        <v>417</v>
      </c>
      <c r="C1875" s="48" t="s">
        <v>371</v>
      </c>
    </row>
    <row r="1876" spans="1:3">
      <c r="A1876" s="48">
        <v>18991</v>
      </c>
      <c r="B1876" s="25" t="s">
        <v>417</v>
      </c>
      <c r="C1876" s="48" t="s">
        <v>371</v>
      </c>
    </row>
    <row r="1877" spans="1:3">
      <c r="A1877" s="48">
        <v>19001</v>
      </c>
      <c r="B1877" s="25" t="s">
        <v>417</v>
      </c>
      <c r="C1877" s="48" t="s">
        <v>371</v>
      </c>
    </row>
    <row r="1878" spans="1:3">
      <c r="A1878" s="48">
        <v>19002</v>
      </c>
      <c r="B1878" s="25" t="s">
        <v>417</v>
      </c>
      <c r="C1878" s="48" t="s">
        <v>371</v>
      </c>
    </row>
    <row r="1879" spans="1:3">
      <c r="A1879" s="48">
        <v>19003</v>
      </c>
      <c r="B1879" s="25" t="s">
        <v>417</v>
      </c>
      <c r="C1879" s="48" t="s">
        <v>371</v>
      </c>
    </row>
    <row r="1880" spans="1:3">
      <c r="A1880" s="48">
        <v>19004</v>
      </c>
      <c r="B1880" s="25" t="s">
        <v>417</v>
      </c>
      <c r="C1880" s="48" t="s">
        <v>371</v>
      </c>
    </row>
    <row r="1881" spans="1:3">
      <c r="A1881" s="48">
        <v>19006</v>
      </c>
      <c r="B1881" s="25" t="s">
        <v>417</v>
      </c>
      <c r="C1881" s="48" t="s">
        <v>371</v>
      </c>
    </row>
    <row r="1882" spans="1:3">
      <c r="A1882" s="48">
        <v>19007</v>
      </c>
      <c r="B1882" s="25" t="s">
        <v>417</v>
      </c>
      <c r="C1882" s="48" t="s">
        <v>371</v>
      </c>
    </row>
    <row r="1883" spans="1:3">
      <c r="A1883" s="48">
        <v>19008</v>
      </c>
      <c r="B1883" s="25" t="s">
        <v>417</v>
      </c>
      <c r="C1883" s="48" t="s">
        <v>371</v>
      </c>
    </row>
    <row r="1884" spans="1:3">
      <c r="A1884" s="48">
        <v>19009</v>
      </c>
      <c r="B1884" s="25" t="s">
        <v>417</v>
      </c>
      <c r="C1884" s="48" t="s">
        <v>371</v>
      </c>
    </row>
    <row r="1885" spans="1:3">
      <c r="A1885" s="48">
        <v>19010</v>
      </c>
      <c r="B1885" s="25" t="s">
        <v>417</v>
      </c>
      <c r="C1885" s="48" t="s">
        <v>371</v>
      </c>
    </row>
    <row r="1886" spans="1:3">
      <c r="A1886" s="48">
        <v>19012</v>
      </c>
      <c r="B1886" s="25" t="s">
        <v>417</v>
      </c>
      <c r="C1886" s="48" t="s">
        <v>371</v>
      </c>
    </row>
    <row r="1887" spans="1:3">
      <c r="A1887" s="48">
        <v>19013</v>
      </c>
      <c r="B1887" s="25" t="s">
        <v>417</v>
      </c>
      <c r="C1887" s="48" t="s">
        <v>371</v>
      </c>
    </row>
    <row r="1888" spans="1:3">
      <c r="A1888" s="48">
        <v>19014</v>
      </c>
      <c r="B1888" s="25" t="s">
        <v>417</v>
      </c>
      <c r="C1888" s="48" t="s">
        <v>371</v>
      </c>
    </row>
    <row r="1889" spans="1:3">
      <c r="A1889" s="48">
        <v>19015</v>
      </c>
      <c r="B1889" s="25" t="s">
        <v>417</v>
      </c>
      <c r="C1889" s="48" t="s">
        <v>371</v>
      </c>
    </row>
    <row r="1890" spans="1:3">
      <c r="A1890" s="48">
        <v>19016</v>
      </c>
      <c r="B1890" s="25" t="s">
        <v>417</v>
      </c>
      <c r="C1890" s="48" t="s">
        <v>371</v>
      </c>
    </row>
    <row r="1891" spans="1:3">
      <c r="A1891" s="48">
        <v>19017</v>
      </c>
      <c r="B1891" s="25" t="s">
        <v>417</v>
      </c>
      <c r="C1891" s="48" t="s">
        <v>371</v>
      </c>
    </row>
    <row r="1892" spans="1:3">
      <c r="A1892" s="48">
        <v>19018</v>
      </c>
      <c r="B1892" s="25" t="s">
        <v>417</v>
      </c>
      <c r="C1892" s="48" t="s">
        <v>371</v>
      </c>
    </row>
    <row r="1893" spans="1:3">
      <c r="A1893" s="48">
        <v>19019</v>
      </c>
      <c r="B1893" s="25" t="s">
        <v>417</v>
      </c>
      <c r="C1893" s="48" t="s">
        <v>371</v>
      </c>
    </row>
    <row r="1894" spans="1:3">
      <c r="A1894" s="48">
        <v>19020</v>
      </c>
      <c r="B1894" s="25" t="s">
        <v>417</v>
      </c>
      <c r="C1894" s="48" t="s">
        <v>371</v>
      </c>
    </row>
    <row r="1895" spans="1:3">
      <c r="A1895" s="48">
        <v>19021</v>
      </c>
      <c r="B1895" s="25" t="s">
        <v>417</v>
      </c>
      <c r="C1895" s="48" t="s">
        <v>371</v>
      </c>
    </row>
    <row r="1896" spans="1:3">
      <c r="A1896" s="48">
        <v>19022</v>
      </c>
      <c r="B1896" s="25" t="s">
        <v>417</v>
      </c>
      <c r="C1896" s="48" t="s">
        <v>371</v>
      </c>
    </row>
    <row r="1897" spans="1:3">
      <c r="A1897" s="48">
        <v>19023</v>
      </c>
      <c r="B1897" s="25" t="s">
        <v>417</v>
      </c>
      <c r="C1897" s="48" t="s">
        <v>371</v>
      </c>
    </row>
    <row r="1898" spans="1:3">
      <c r="A1898" s="48">
        <v>19025</v>
      </c>
      <c r="B1898" s="25" t="s">
        <v>417</v>
      </c>
      <c r="C1898" s="48" t="s">
        <v>371</v>
      </c>
    </row>
    <row r="1899" spans="1:3">
      <c r="A1899" s="48">
        <v>19026</v>
      </c>
      <c r="B1899" s="25" t="s">
        <v>417</v>
      </c>
      <c r="C1899" s="48" t="s">
        <v>371</v>
      </c>
    </row>
    <row r="1900" spans="1:3">
      <c r="A1900" s="48">
        <v>19027</v>
      </c>
      <c r="B1900" s="25" t="s">
        <v>417</v>
      </c>
      <c r="C1900" s="48" t="s">
        <v>371</v>
      </c>
    </row>
    <row r="1901" spans="1:3">
      <c r="A1901" s="48">
        <v>19028</v>
      </c>
      <c r="B1901" s="25" t="s">
        <v>417</v>
      </c>
      <c r="C1901" s="48" t="s">
        <v>371</v>
      </c>
    </row>
    <row r="1902" spans="1:3">
      <c r="A1902" s="48">
        <v>19029</v>
      </c>
      <c r="B1902" s="25" t="s">
        <v>417</v>
      </c>
      <c r="C1902" s="48" t="s">
        <v>371</v>
      </c>
    </row>
    <row r="1903" spans="1:3">
      <c r="A1903" s="48">
        <v>19030</v>
      </c>
      <c r="B1903" s="25" t="s">
        <v>417</v>
      </c>
      <c r="C1903" s="48" t="s">
        <v>371</v>
      </c>
    </row>
    <row r="1904" spans="1:3">
      <c r="A1904" s="48">
        <v>19031</v>
      </c>
      <c r="B1904" s="25" t="s">
        <v>417</v>
      </c>
      <c r="C1904" s="48" t="s">
        <v>371</v>
      </c>
    </row>
    <row r="1905" spans="1:3">
      <c r="A1905" s="48">
        <v>19032</v>
      </c>
      <c r="B1905" s="25" t="s">
        <v>417</v>
      </c>
      <c r="C1905" s="48" t="s">
        <v>371</v>
      </c>
    </row>
    <row r="1906" spans="1:3">
      <c r="A1906" s="48">
        <v>19033</v>
      </c>
      <c r="B1906" s="25" t="s">
        <v>417</v>
      </c>
      <c r="C1906" s="48" t="s">
        <v>371</v>
      </c>
    </row>
    <row r="1907" spans="1:3">
      <c r="A1907" s="48">
        <v>19034</v>
      </c>
      <c r="B1907" s="25" t="s">
        <v>417</v>
      </c>
      <c r="C1907" s="48" t="s">
        <v>371</v>
      </c>
    </row>
    <row r="1908" spans="1:3">
      <c r="A1908" s="48">
        <v>19035</v>
      </c>
      <c r="B1908" s="25" t="s">
        <v>417</v>
      </c>
      <c r="C1908" s="48" t="s">
        <v>371</v>
      </c>
    </row>
    <row r="1909" spans="1:3">
      <c r="A1909" s="48">
        <v>19036</v>
      </c>
      <c r="B1909" s="25" t="s">
        <v>417</v>
      </c>
      <c r="C1909" s="48" t="s">
        <v>371</v>
      </c>
    </row>
    <row r="1910" spans="1:3">
      <c r="A1910" s="48">
        <v>19037</v>
      </c>
      <c r="B1910" s="25" t="s">
        <v>417</v>
      </c>
      <c r="C1910" s="48" t="s">
        <v>371</v>
      </c>
    </row>
    <row r="1911" spans="1:3">
      <c r="A1911" s="48">
        <v>19038</v>
      </c>
      <c r="B1911" s="25" t="s">
        <v>417</v>
      </c>
      <c r="C1911" s="48" t="s">
        <v>371</v>
      </c>
    </row>
    <row r="1912" spans="1:3">
      <c r="A1912" s="48">
        <v>19039</v>
      </c>
      <c r="B1912" s="25" t="s">
        <v>417</v>
      </c>
      <c r="C1912" s="48" t="s">
        <v>371</v>
      </c>
    </row>
    <row r="1913" spans="1:3">
      <c r="A1913" s="48">
        <v>19040</v>
      </c>
      <c r="B1913" s="25" t="s">
        <v>417</v>
      </c>
      <c r="C1913" s="48" t="s">
        <v>371</v>
      </c>
    </row>
    <row r="1914" spans="1:3">
      <c r="A1914" s="48">
        <v>19041</v>
      </c>
      <c r="B1914" s="25" t="s">
        <v>417</v>
      </c>
      <c r="C1914" s="48" t="s">
        <v>371</v>
      </c>
    </row>
    <row r="1915" spans="1:3">
      <c r="A1915" s="48">
        <v>19043</v>
      </c>
      <c r="B1915" s="25" t="s">
        <v>417</v>
      </c>
      <c r="C1915" s="48" t="s">
        <v>371</v>
      </c>
    </row>
    <row r="1916" spans="1:3">
      <c r="A1916" s="48">
        <v>19044</v>
      </c>
      <c r="B1916" s="25" t="s">
        <v>417</v>
      </c>
      <c r="C1916" s="48" t="s">
        <v>371</v>
      </c>
    </row>
    <row r="1917" spans="1:3">
      <c r="A1917" s="48">
        <v>19046</v>
      </c>
      <c r="B1917" s="25" t="s">
        <v>417</v>
      </c>
      <c r="C1917" s="48" t="s">
        <v>371</v>
      </c>
    </row>
    <row r="1918" spans="1:3">
      <c r="A1918" s="48">
        <v>19047</v>
      </c>
      <c r="B1918" s="25" t="s">
        <v>417</v>
      </c>
      <c r="C1918" s="48" t="s">
        <v>371</v>
      </c>
    </row>
    <row r="1919" spans="1:3">
      <c r="A1919" s="48">
        <v>19048</v>
      </c>
      <c r="B1919" s="25" t="s">
        <v>417</v>
      </c>
      <c r="C1919" s="48" t="s">
        <v>371</v>
      </c>
    </row>
    <row r="1920" spans="1:3">
      <c r="A1920" s="48">
        <v>19049</v>
      </c>
      <c r="B1920" s="25" t="s">
        <v>417</v>
      </c>
      <c r="C1920" s="48" t="s">
        <v>371</v>
      </c>
    </row>
    <row r="1921" spans="1:3">
      <c r="A1921" s="48">
        <v>19050</v>
      </c>
      <c r="B1921" s="25" t="s">
        <v>417</v>
      </c>
      <c r="C1921" s="48" t="s">
        <v>371</v>
      </c>
    </row>
    <row r="1922" spans="1:3">
      <c r="A1922" s="48">
        <v>19052</v>
      </c>
      <c r="B1922" s="25" t="s">
        <v>417</v>
      </c>
      <c r="C1922" s="48" t="s">
        <v>371</v>
      </c>
    </row>
    <row r="1923" spans="1:3">
      <c r="A1923" s="48">
        <v>19053</v>
      </c>
      <c r="B1923" s="25" t="s">
        <v>417</v>
      </c>
      <c r="C1923" s="48" t="s">
        <v>371</v>
      </c>
    </row>
    <row r="1924" spans="1:3">
      <c r="A1924" s="48">
        <v>19054</v>
      </c>
      <c r="B1924" s="25" t="s">
        <v>417</v>
      </c>
      <c r="C1924" s="48" t="s">
        <v>371</v>
      </c>
    </row>
    <row r="1925" spans="1:3">
      <c r="A1925" s="48">
        <v>19055</v>
      </c>
      <c r="B1925" s="25" t="s">
        <v>417</v>
      </c>
      <c r="C1925" s="48" t="s">
        <v>371</v>
      </c>
    </row>
    <row r="1926" spans="1:3">
      <c r="A1926" s="48">
        <v>19056</v>
      </c>
      <c r="B1926" s="25" t="s">
        <v>417</v>
      </c>
      <c r="C1926" s="48" t="s">
        <v>371</v>
      </c>
    </row>
    <row r="1927" spans="1:3">
      <c r="A1927" s="48">
        <v>19057</v>
      </c>
      <c r="B1927" s="25" t="s">
        <v>417</v>
      </c>
      <c r="C1927" s="48" t="s">
        <v>371</v>
      </c>
    </row>
    <row r="1928" spans="1:3">
      <c r="A1928" s="48">
        <v>19058</v>
      </c>
      <c r="B1928" s="25" t="s">
        <v>417</v>
      </c>
      <c r="C1928" s="48" t="s">
        <v>371</v>
      </c>
    </row>
    <row r="1929" spans="1:3">
      <c r="A1929" s="48">
        <v>19059</v>
      </c>
      <c r="B1929" s="25" t="s">
        <v>417</v>
      </c>
      <c r="C1929" s="48" t="s">
        <v>371</v>
      </c>
    </row>
    <row r="1930" spans="1:3">
      <c r="A1930" s="48">
        <v>19060</v>
      </c>
      <c r="B1930" s="25" t="s">
        <v>417</v>
      </c>
      <c r="C1930" s="48" t="s">
        <v>371</v>
      </c>
    </row>
    <row r="1931" spans="1:3">
      <c r="A1931" s="48">
        <v>19061</v>
      </c>
      <c r="B1931" s="25" t="s">
        <v>417</v>
      </c>
      <c r="C1931" s="48" t="s">
        <v>371</v>
      </c>
    </row>
    <row r="1932" spans="1:3">
      <c r="A1932" s="48">
        <v>19063</v>
      </c>
      <c r="B1932" s="25" t="s">
        <v>417</v>
      </c>
      <c r="C1932" s="48" t="s">
        <v>371</v>
      </c>
    </row>
    <row r="1933" spans="1:3">
      <c r="A1933" s="48">
        <v>19064</v>
      </c>
      <c r="B1933" s="25" t="s">
        <v>417</v>
      </c>
      <c r="C1933" s="48" t="s">
        <v>371</v>
      </c>
    </row>
    <row r="1934" spans="1:3">
      <c r="A1934" s="48">
        <v>19065</v>
      </c>
      <c r="B1934" s="25" t="s">
        <v>417</v>
      </c>
      <c r="C1934" s="48" t="s">
        <v>371</v>
      </c>
    </row>
    <row r="1935" spans="1:3">
      <c r="A1935" s="48">
        <v>19066</v>
      </c>
      <c r="B1935" s="25" t="s">
        <v>417</v>
      </c>
      <c r="C1935" s="48" t="s">
        <v>371</v>
      </c>
    </row>
    <row r="1936" spans="1:3">
      <c r="A1936" s="48">
        <v>19067</v>
      </c>
      <c r="B1936" s="25" t="s">
        <v>417</v>
      </c>
      <c r="C1936" s="48" t="s">
        <v>371</v>
      </c>
    </row>
    <row r="1937" spans="1:3">
      <c r="A1937" s="48">
        <v>19070</v>
      </c>
      <c r="B1937" s="25" t="s">
        <v>417</v>
      </c>
      <c r="C1937" s="48" t="s">
        <v>371</v>
      </c>
    </row>
    <row r="1938" spans="1:3">
      <c r="A1938" s="48">
        <v>19072</v>
      </c>
      <c r="B1938" s="25" t="s">
        <v>417</v>
      </c>
      <c r="C1938" s="48" t="s">
        <v>371</v>
      </c>
    </row>
    <row r="1939" spans="1:3">
      <c r="A1939" s="48">
        <v>19073</v>
      </c>
      <c r="B1939" s="25" t="s">
        <v>417</v>
      </c>
      <c r="C1939" s="48" t="s">
        <v>371</v>
      </c>
    </row>
    <row r="1940" spans="1:3">
      <c r="A1940" s="48">
        <v>19074</v>
      </c>
      <c r="B1940" s="25" t="s">
        <v>417</v>
      </c>
      <c r="C1940" s="48" t="s">
        <v>371</v>
      </c>
    </row>
    <row r="1941" spans="1:3">
      <c r="A1941" s="48">
        <v>19075</v>
      </c>
      <c r="B1941" s="25" t="s">
        <v>417</v>
      </c>
      <c r="C1941" s="48" t="s">
        <v>371</v>
      </c>
    </row>
    <row r="1942" spans="1:3">
      <c r="A1942" s="48">
        <v>19076</v>
      </c>
      <c r="B1942" s="25" t="s">
        <v>417</v>
      </c>
      <c r="C1942" s="48" t="s">
        <v>371</v>
      </c>
    </row>
    <row r="1943" spans="1:3">
      <c r="A1943" s="48">
        <v>19078</v>
      </c>
      <c r="B1943" s="25" t="s">
        <v>417</v>
      </c>
      <c r="C1943" s="48" t="s">
        <v>371</v>
      </c>
    </row>
    <row r="1944" spans="1:3">
      <c r="A1944" s="48">
        <v>19079</v>
      </c>
      <c r="B1944" s="25" t="s">
        <v>417</v>
      </c>
      <c r="C1944" s="48" t="s">
        <v>371</v>
      </c>
    </row>
    <row r="1945" spans="1:3">
      <c r="A1945" s="48">
        <v>19080</v>
      </c>
      <c r="B1945" s="25" t="s">
        <v>417</v>
      </c>
      <c r="C1945" s="48" t="s">
        <v>371</v>
      </c>
    </row>
    <row r="1946" spans="1:3">
      <c r="A1946" s="48">
        <v>19081</v>
      </c>
      <c r="B1946" s="25" t="s">
        <v>417</v>
      </c>
      <c r="C1946" s="48" t="s">
        <v>371</v>
      </c>
    </row>
    <row r="1947" spans="1:3">
      <c r="A1947" s="48">
        <v>19082</v>
      </c>
      <c r="B1947" s="25" t="s">
        <v>417</v>
      </c>
      <c r="C1947" s="48" t="s">
        <v>371</v>
      </c>
    </row>
    <row r="1948" spans="1:3">
      <c r="A1948" s="48">
        <v>19083</v>
      </c>
      <c r="B1948" s="25" t="s">
        <v>417</v>
      </c>
      <c r="C1948" s="48" t="s">
        <v>371</v>
      </c>
    </row>
    <row r="1949" spans="1:3">
      <c r="A1949" s="48">
        <v>19085</v>
      </c>
      <c r="B1949" s="25" t="s">
        <v>417</v>
      </c>
      <c r="C1949" s="48" t="s">
        <v>371</v>
      </c>
    </row>
    <row r="1950" spans="1:3">
      <c r="A1950" s="48">
        <v>19086</v>
      </c>
      <c r="B1950" s="25" t="s">
        <v>417</v>
      </c>
      <c r="C1950" s="48" t="s">
        <v>371</v>
      </c>
    </row>
    <row r="1951" spans="1:3">
      <c r="A1951" s="48">
        <v>19087</v>
      </c>
      <c r="B1951" s="25" t="s">
        <v>417</v>
      </c>
      <c r="C1951" s="48" t="s">
        <v>371</v>
      </c>
    </row>
    <row r="1952" spans="1:3">
      <c r="A1952" s="48">
        <v>19088</v>
      </c>
      <c r="B1952" s="25" t="s">
        <v>417</v>
      </c>
      <c r="C1952" s="48" t="s">
        <v>371</v>
      </c>
    </row>
    <row r="1953" spans="1:3">
      <c r="A1953" s="48">
        <v>19089</v>
      </c>
      <c r="B1953" s="25" t="s">
        <v>417</v>
      </c>
      <c r="C1953" s="48" t="s">
        <v>371</v>
      </c>
    </row>
    <row r="1954" spans="1:3">
      <c r="A1954" s="48">
        <v>19090</v>
      </c>
      <c r="B1954" s="25" t="s">
        <v>417</v>
      </c>
      <c r="C1954" s="48" t="s">
        <v>371</v>
      </c>
    </row>
    <row r="1955" spans="1:3">
      <c r="A1955" s="48">
        <v>19091</v>
      </c>
      <c r="B1955" s="25" t="s">
        <v>417</v>
      </c>
      <c r="C1955" s="48" t="s">
        <v>371</v>
      </c>
    </row>
    <row r="1956" spans="1:3">
      <c r="A1956" s="48">
        <v>19092</v>
      </c>
      <c r="B1956" s="25" t="s">
        <v>417</v>
      </c>
      <c r="C1956" s="48" t="s">
        <v>371</v>
      </c>
    </row>
    <row r="1957" spans="1:3">
      <c r="A1957" s="48">
        <v>19093</v>
      </c>
      <c r="B1957" s="25" t="s">
        <v>417</v>
      </c>
      <c r="C1957" s="48" t="s">
        <v>371</v>
      </c>
    </row>
    <row r="1958" spans="1:3">
      <c r="A1958" s="48">
        <v>19094</v>
      </c>
      <c r="B1958" s="25" t="s">
        <v>417</v>
      </c>
      <c r="C1958" s="48" t="s">
        <v>371</v>
      </c>
    </row>
    <row r="1959" spans="1:3">
      <c r="A1959" s="48">
        <v>19095</v>
      </c>
      <c r="B1959" s="25" t="s">
        <v>417</v>
      </c>
      <c r="C1959" s="48" t="s">
        <v>371</v>
      </c>
    </row>
    <row r="1960" spans="1:3">
      <c r="A1960" s="48">
        <v>19096</v>
      </c>
      <c r="B1960" s="25" t="s">
        <v>417</v>
      </c>
      <c r="C1960" s="48" t="s">
        <v>371</v>
      </c>
    </row>
    <row r="1961" spans="1:3">
      <c r="A1961" s="48">
        <v>19098</v>
      </c>
      <c r="B1961" s="25" t="s">
        <v>417</v>
      </c>
      <c r="C1961" s="48" t="s">
        <v>371</v>
      </c>
    </row>
    <row r="1962" spans="1:3">
      <c r="A1962" s="48">
        <v>19099</v>
      </c>
      <c r="B1962" s="25" t="s">
        <v>417</v>
      </c>
      <c r="C1962" s="48" t="s">
        <v>371</v>
      </c>
    </row>
    <row r="1963" spans="1:3">
      <c r="A1963" s="48">
        <v>19101</v>
      </c>
      <c r="B1963" s="25" t="s">
        <v>417</v>
      </c>
      <c r="C1963" s="48" t="s">
        <v>371</v>
      </c>
    </row>
    <row r="1964" spans="1:3">
      <c r="A1964" s="48">
        <v>19102</v>
      </c>
      <c r="B1964" s="25" t="s">
        <v>417</v>
      </c>
      <c r="C1964" s="48" t="s">
        <v>371</v>
      </c>
    </row>
    <row r="1965" spans="1:3">
      <c r="A1965" s="48">
        <v>19103</v>
      </c>
      <c r="B1965" s="25" t="s">
        <v>417</v>
      </c>
      <c r="C1965" s="48" t="s">
        <v>371</v>
      </c>
    </row>
    <row r="1966" spans="1:3">
      <c r="A1966" s="48">
        <v>19104</v>
      </c>
      <c r="B1966" s="25" t="s">
        <v>417</v>
      </c>
      <c r="C1966" s="48" t="s">
        <v>371</v>
      </c>
    </row>
    <row r="1967" spans="1:3">
      <c r="A1967" s="48">
        <v>19105</v>
      </c>
      <c r="B1967" s="25" t="s">
        <v>417</v>
      </c>
      <c r="C1967" s="48" t="s">
        <v>371</v>
      </c>
    </row>
    <row r="1968" spans="1:3">
      <c r="A1968" s="48">
        <v>19106</v>
      </c>
      <c r="B1968" s="25" t="s">
        <v>417</v>
      </c>
      <c r="C1968" s="48" t="s">
        <v>371</v>
      </c>
    </row>
    <row r="1969" spans="1:3">
      <c r="A1969" s="48">
        <v>19107</v>
      </c>
      <c r="B1969" s="25" t="s">
        <v>417</v>
      </c>
      <c r="C1969" s="48" t="s">
        <v>371</v>
      </c>
    </row>
    <row r="1970" spans="1:3">
      <c r="A1970" s="48">
        <v>19108</v>
      </c>
      <c r="B1970" s="25" t="s">
        <v>417</v>
      </c>
      <c r="C1970" s="48" t="s">
        <v>371</v>
      </c>
    </row>
    <row r="1971" spans="1:3">
      <c r="A1971" s="48">
        <v>19109</v>
      </c>
      <c r="B1971" s="25" t="s">
        <v>417</v>
      </c>
      <c r="C1971" s="48" t="s">
        <v>371</v>
      </c>
    </row>
    <row r="1972" spans="1:3">
      <c r="A1972" s="48">
        <v>19110</v>
      </c>
      <c r="B1972" s="25" t="s">
        <v>417</v>
      </c>
      <c r="C1972" s="48" t="s">
        <v>371</v>
      </c>
    </row>
    <row r="1973" spans="1:3">
      <c r="A1973" s="48">
        <v>19111</v>
      </c>
      <c r="B1973" s="25" t="s">
        <v>417</v>
      </c>
      <c r="C1973" s="48" t="s">
        <v>371</v>
      </c>
    </row>
    <row r="1974" spans="1:3">
      <c r="A1974" s="48">
        <v>19112</v>
      </c>
      <c r="B1974" s="25" t="s">
        <v>417</v>
      </c>
      <c r="C1974" s="48" t="s">
        <v>371</v>
      </c>
    </row>
    <row r="1975" spans="1:3">
      <c r="A1975" s="48">
        <v>19113</v>
      </c>
      <c r="B1975" s="25" t="s">
        <v>417</v>
      </c>
      <c r="C1975" s="48" t="s">
        <v>371</v>
      </c>
    </row>
    <row r="1976" spans="1:3">
      <c r="A1976" s="48">
        <v>19114</v>
      </c>
      <c r="B1976" s="25" t="s">
        <v>417</v>
      </c>
      <c r="C1976" s="48" t="s">
        <v>371</v>
      </c>
    </row>
    <row r="1977" spans="1:3">
      <c r="A1977" s="48">
        <v>19115</v>
      </c>
      <c r="B1977" s="25" t="s">
        <v>417</v>
      </c>
      <c r="C1977" s="48" t="s">
        <v>371</v>
      </c>
    </row>
    <row r="1978" spans="1:3">
      <c r="A1978" s="48">
        <v>19116</v>
      </c>
      <c r="B1978" s="25" t="s">
        <v>417</v>
      </c>
      <c r="C1978" s="48" t="s">
        <v>371</v>
      </c>
    </row>
    <row r="1979" spans="1:3">
      <c r="A1979" s="48">
        <v>19118</v>
      </c>
      <c r="B1979" s="25" t="s">
        <v>417</v>
      </c>
      <c r="C1979" s="48" t="s">
        <v>371</v>
      </c>
    </row>
    <row r="1980" spans="1:3">
      <c r="A1980" s="48">
        <v>19119</v>
      </c>
      <c r="B1980" s="25" t="s">
        <v>417</v>
      </c>
      <c r="C1980" s="48" t="s">
        <v>371</v>
      </c>
    </row>
    <row r="1981" spans="1:3">
      <c r="A1981" s="48">
        <v>19120</v>
      </c>
      <c r="B1981" s="25" t="s">
        <v>417</v>
      </c>
      <c r="C1981" s="48" t="s">
        <v>371</v>
      </c>
    </row>
    <row r="1982" spans="1:3">
      <c r="A1982" s="48">
        <v>19121</v>
      </c>
      <c r="B1982" s="25" t="s">
        <v>417</v>
      </c>
      <c r="C1982" s="48" t="s">
        <v>371</v>
      </c>
    </row>
    <row r="1983" spans="1:3">
      <c r="A1983" s="48">
        <v>19122</v>
      </c>
      <c r="B1983" s="25" t="s">
        <v>417</v>
      </c>
      <c r="C1983" s="48" t="s">
        <v>371</v>
      </c>
    </row>
    <row r="1984" spans="1:3">
      <c r="A1984" s="48">
        <v>19123</v>
      </c>
      <c r="B1984" s="25" t="s">
        <v>417</v>
      </c>
      <c r="C1984" s="48" t="s">
        <v>371</v>
      </c>
    </row>
    <row r="1985" spans="1:3">
      <c r="A1985" s="48">
        <v>19124</v>
      </c>
      <c r="B1985" s="25" t="s">
        <v>417</v>
      </c>
      <c r="C1985" s="48" t="s">
        <v>371</v>
      </c>
    </row>
    <row r="1986" spans="1:3">
      <c r="A1986" s="48">
        <v>19125</v>
      </c>
      <c r="B1986" s="25" t="s">
        <v>417</v>
      </c>
      <c r="C1986" s="48" t="s">
        <v>371</v>
      </c>
    </row>
    <row r="1987" spans="1:3">
      <c r="A1987" s="48">
        <v>19126</v>
      </c>
      <c r="B1987" s="25" t="s">
        <v>417</v>
      </c>
      <c r="C1987" s="48" t="s">
        <v>371</v>
      </c>
    </row>
    <row r="1988" spans="1:3">
      <c r="A1988" s="48">
        <v>19127</v>
      </c>
      <c r="B1988" s="25" t="s">
        <v>417</v>
      </c>
      <c r="C1988" s="48" t="s">
        <v>371</v>
      </c>
    </row>
    <row r="1989" spans="1:3">
      <c r="A1989" s="48">
        <v>19128</v>
      </c>
      <c r="B1989" s="25" t="s">
        <v>417</v>
      </c>
      <c r="C1989" s="48" t="s">
        <v>371</v>
      </c>
    </row>
    <row r="1990" spans="1:3">
      <c r="A1990" s="48">
        <v>19129</v>
      </c>
      <c r="B1990" s="25" t="s">
        <v>417</v>
      </c>
      <c r="C1990" s="48" t="s">
        <v>371</v>
      </c>
    </row>
    <row r="1991" spans="1:3">
      <c r="A1991" s="48">
        <v>19130</v>
      </c>
      <c r="B1991" s="25" t="s">
        <v>417</v>
      </c>
      <c r="C1991" s="48" t="s">
        <v>371</v>
      </c>
    </row>
    <row r="1992" spans="1:3">
      <c r="A1992" s="48">
        <v>19131</v>
      </c>
      <c r="B1992" s="25" t="s">
        <v>417</v>
      </c>
      <c r="C1992" s="48" t="s">
        <v>371</v>
      </c>
    </row>
    <row r="1993" spans="1:3">
      <c r="A1993" s="48">
        <v>19132</v>
      </c>
      <c r="B1993" s="25" t="s">
        <v>417</v>
      </c>
      <c r="C1993" s="48" t="s">
        <v>371</v>
      </c>
    </row>
    <row r="1994" spans="1:3">
      <c r="A1994" s="48">
        <v>19133</v>
      </c>
      <c r="B1994" s="25" t="s">
        <v>417</v>
      </c>
      <c r="C1994" s="48" t="s">
        <v>371</v>
      </c>
    </row>
    <row r="1995" spans="1:3">
      <c r="A1995" s="48">
        <v>19134</v>
      </c>
      <c r="B1995" s="25" t="s">
        <v>417</v>
      </c>
      <c r="C1995" s="48" t="s">
        <v>371</v>
      </c>
    </row>
    <row r="1996" spans="1:3">
      <c r="A1996" s="48">
        <v>19135</v>
      </c>
      <c r="B1996" s="25" t="s">
        <v>417</v>
      </c>
      <c r="C1996" s="48" t="s">
        <v>371</v>
      </c>
    </row>
    <row r="1997" spans="1:3">
      <c r="A1997" s="48">
        <v>19136</v>
      </c>
      <c r="B1997" s="25" t="s">
        <v>417</v>
      </c>
      <c r="C1997" s="48" t="s">
        <v>371</v>
      </c>
    </row>
    <row r="1998" spans="1:3">
      <c r="A1998" s="48">
        <v>19137</v>
      </c>
      <c r="B1998" s="25" t="s">
        <v>417</v>
      </c>
      <c r="C1998" s="48" t="s">
        <v>371</v>
      </c>
    </row>
    <row r="1999" spans="1:3">
      <c r="A1999" s="48">
        <v>19138</v>
      </c>
      <c r="B1999" s="25" t="s">
        <v>417</v>
      </c>
      <c r="C1999" s="48" t="s">
        <v>371</v>
      </c>
    </row>
    <row r="2000" spans="1:3">
      <c r="A2000" s="48">
        <v>19139</v>
      </c>
      <c r="B2000" s="25" t="s">
        <v>417</v>
      </c>
      <c r="C2000" s="48" t="s">
        <v>371</v>
      </c>
    </row>
    <row r="2001" spans="1:3">
      <c r="A2001" s="48">
        <v>19140</v>
      </c>
      <c r="B2001" s="25" t="s">
        <v>417</v>
      </c>
      <c r="C2001" s="48" t="s">
        <v>371</v>
      </c>
    </row>
    <row r="2002" spans="1:3">
      <c r="A2002" s="48">
        <v>19141</v>
      </c>
      <c r="B2002" s="25" t="s">
        <v>417</v>
      </c>
      <c r="C2002" s="48" t="s">
        <v>371</v>
      </c>
    </row>
    <row r="2003" spans="1:3">
      <c r="A2003" s="48">
        <v>19142</v>
      </c>
      <c r="B2003" s="25" t="s">
        <v>417</v>
      </c>
      <c r="C2003" s="48" t="s">
        <v>371</v>
      </c>
    </row>
    <row r="2004" spans="1:3">
      <c r="A2004" s="48">
        <v>19143</v>
      </c>
      <c r="B2004" s="25" t="s">
        <v>417</v>
      </c>
      <c r="C2004" s="48" t="s">
        <v>371</v>
      </c>
    </row>
    <row r="2005" spans="1:3">
      <c r="A2005" s="48">
        <v>19144</v>
      </c>
      <c r="B2005" s="25" t="s">
        <v>417</v>
      </c>
      <c r="C2005" s="48" t="s">
        <v>371</v>
      </c>
    </row>
    <row r="2006" spans="1:3">
      <c r="A2006" s="48">
        <v>19145</v>
      </c>
      <c r="B2006" s="25" t="s">
        <v>417</v>
      </c>
      <c r="C2006" s="48" t="s">
        <v>371</v>
      </c>
    </row>
    <row r="2007" spans="1:3">
      <c r="A2007" s="48">
        <v>19146</v>
      </c>
      <c r="B2007" s="25" t="s">
        <v>417</v>
      </c>
      <c r="C2007" s="48" t="s">
        <v>371</v>
      </c>
    </row>
    <row r="2008" spans="1:3">
      <c r="A2008" s="48">
        <v>19147</v>
      </c>
      <c r="B2008" s="25" t="s">
        <v>417</v>
      </c>
      <c r="C2008" s="48" t="s">
        <v>371</v>
      </c>
    </row>
    <row r="2009" spans="1:3">
      <c r="A2009" s="48">
        <v>19148</v>
      </c>
      <c r="B2009" s="25" t="s">
        <v>417</v>
      </c>
      <c r="C2009" s="48" t="s">
        <v>371</v>
      </c>
    </row>
    <row r="2010" spans="1:3">
      <c r="A2010" s="48">
        <v>19149</v>
      </c>
      <c r="B2010" s="25" t="s">
        <v>417</v>
      </c>
      <c r="C2010" s="48" t="s">
        <v>371</v>
      </c>
    </row>
    <row r="2011" spans="1:3">
      <c r="A2011" s="48">
        <v>19150</v>
      </c>
      <c r="B2011" s="25" t="s">
        <v>417</v>
      </c>
      <c r="C2011" s="48" t="s">
        <v>371</v>
      </c>
    </row>
    <row r="2012" spans="1:3">
      <c r="A2012" s="48">
        <v>19151</v>
      </c>
      <c r="B2012" s="25" t="s">
        <v>417</v>
      </c>
      <c r="C2012" s="48" t="s">
        <v>371</v>
      </c>
    </row>
    <row r="2013" spans="1:3">
      <c r="A2013" s="48">
        <v>19152</v>
      </c>
      <c r="B2013" s="25" t="s">
        <v>417</v>
      </c>
      <c r="C2013" s="48" t="s">
        <v>371</v>
      </c>
    </row>
    <row r="2014" spans="1:3">
      <c r="A2014" s="48">
        <v>19153</v>
      </c>
      <c r="B2014" s="25" t="s">
        <v>417</v>
      </c>
      <c r="C2014" s="48" t="s">
        <v>371</v>
      </c>
    </row>
    <row r="2015" spans="1:3">
      <c r="A2015" s="48">
        <v>19154</v>
      </c>
      <c r="B2015" s="25" t="s">
        <v>417</v>
      </c>
      <c r="C2015" s="48" t="s">
        <v>371</v>
      </c>
    </row>
    <row r="2016" spans="1:3">
      <c r="A2016" s="48">
        <v>19155</v>
      </c>
      <c r="B2016" s="25" t="s">
        <v>417</v>
      </c>
      <c r="C2016" s="48" t="s">
        <v>371</v>
      </c>
    </row>
    <row r="2017" spans="1:3">
      <c r="A2017" s="48">
        <v>19160</v>
      </c>
      <c r="B2017" s="25" t="s">
        <v>417</v>
      </c>
      <c r="C2017" s="48" t="s">
        <v>371</v>
      </c>
    </row>
    <row r="2018" spans="1:3">
      <c r="A2018" s="48">
        <v>19161</v>
      </c>
      <c r="B2018" s="25" t="s">
        <v>417</v>
      </c>
      <c r="C2018" s="48" t="s">
        <v>371</v>
      </c>
    </row>
    <row r="2019" spans="1:3">
      <c r="A2019" s="48">
        <v>19162</v>
      </c>
      <c r="B2019" s="25" t="s">
        <v>417</v>
      </c>
      <c r="C2019" s="48" t="s">
        <v>371</v>
      </c>
    </row>
    <row r="2020" spans="1:3">
      <c r="A2020" s="48">
        <v>19170</v>
      </c>
      <c r="B2020" s="25" t="s">
        <v>417</v>
      </c>
      <c r="C2020" s="48" t="s">
        <v>371</v>
      </c>
    </row>
    <row r="2021" spans="1:3">
      <c r="A2021" s="48">
        <v>19171</v>
      </c>
      <c r="B2021" s="25" t="s">
        <v>417</v>
      </c>
      <c r="C2021" s="48" t="s">
        <v>371</v>
      </c>
    </row>
    <row r="2022" spans="1:3">
      <c r="A2022" s="48">
        <v>19172</v>
      </c>
      <c r="B2022" s="25" t="s">
        <v>417</v>
      </c>
      <c r="C2022" s="48" t="s">
        <v>371</v>
      </c>
    </row>
    <row r="2023" spans="1:3">
      <c r="A2023" s="48">
        <v>19173</v>
      </c>
      <c r="B2023" s="25" t="s">
        <v>417</v>
      </c>
      <c r="C2023" s="48" t="s">
        <v>371</v>
      </c>
    </row>
    <row r="2024" spans="1:3">
      <c r="A2024" s="48">
        <v>19175</v>
      </c>
      <c r="B2024" s="25" t="s">
        <v>417</v>
      </c>
      <c r="C2024" s="48" t="s">
        <v>371</v>
      </c>
    </row>
    <row r="2025" spans="1:3">
      <c r="A2025" s="48">
        <v>19176</v>
      </c>
      <c r="B2025" s="25" t="s">
        <v>417</v>
      </c>
      <c r="C2025" s="48" t="s">
        <v>371</v>
      </c>
    </row>
    <row r="2026" spans="1:3">
      <c r="A2026" s="48">
        <v>19177</v>
      </c>
      <c r="B2026" s="25" t="s">
        <v>417</v>
      </c>
      <c r="C2026" s="48" t="s">
        <v>371</v>
      </c>
    </row>
    <row r="2027" spans="1:3">
      <c r="A2027" s="48">
        <v>19178</v>
      </c>
      <c r="B2027" s="25" t="s">
        <v>417</v>
      </c>
      <c r="C2027" s="48" t="s">
        <v>371</v>
      </c>
    </row>
    <row r="2028" spans="1:3">
      <c r="A2028" s="48">
        <v>19179</v>
      </c>
      <c r="B2028" s="25" t="s">
        <v>417</v>
      </c>
      <c r="C2028" s="48" t="s">
        <v>371</v>
      </c>
    </row>
    <row r="2029" spans="1:3">
      <c r="A2029" s="48">
        <v>19181</v>
      </c>
      <c r="B2029" s="25" t="s">
        <v>417</v>
      </c>
      <c r="C2029" s="48" t="s">
        <v>371</v>
      </c>
    </row>
    <row r="2030" spans="1:3">
      <c r="A2030" s="48">
        <v>19182</v>
      </c>
      <c r="B2030" s="25" t="s">
        <v>417</v>
      </c>
      <c r="C2030" s="48" t="s">
        <v>371</v>
      </c>
    </row>
    <row r="2031" spans="1:3">
      <c r="A2031" s="48">
        <v>19183</v>
      </c>
      <c r="B2031" s="25" t="s">
        <v>417</v>
      </c>
      <c r="C2031" s="48" t="s">
        <v>371</v>
      </c>
    </row>
    <row r="2032" spans="1:3">
      <c r="A2032" s="48">
        <v>19184</v>
      </c>
      <c r="B2032" s="25" t="s">
        <v>417</v>
      </c>
      <c r="C2032" s="48" t="s">
        <v>371</v>
      </c>
    </row>
    <row r="2033" spans="1:3">
      <c r="A2033" s="48">
        <v>19185</v>
      </c>
      <c r="B2033" s="25" t="s">
        <v>417</v>
      </c>
      <c r="C2033" s="48" t="s">
        <v>371</v>
      </c>
    </row>
    <row r="2034" spans="1:3">
      <c r="A2034" s="48">
        <v>19187</v>
      </c>
      <c r="B2034" s="25" t="s">
        <v>417</v>
      </c>
      <c r="C2034" s="48" t="s">
        <v>371</v>
      </c>
    </row>
    <row r="2035" spans="1:3">
      <c r="A2035" s="48">
        <v>19188</v>
      </c>
      <c r="B2035" s="25" t="s">
        <v>417</v>
      </c>
      <c r="C2035" s="48" t="s">
        <v>371</v>
      </c>
    </row>
    <row r="2036" spans="1:3">
      <c r="A2036" s="48">
        <v>19190</v>
      </c>
      <c r="B2036" s="25" t="s">
        <v>417</v>
      </c>
      <c r="C2036" s="48" t="s">
        <v>371</v>
      </c>
    </row>
    <row r="2037" spans="1:3">
      <c r="A2037" s="48">
        <v>19191</v>
      </c>
      <c r="B2037" s="25" t="s">
        <v>417</v>
      </c>
      <c r="C2037" s="48" t="s">
        <v>371</v>
      </c>
    </row>
    <row r="2038" spans="1:3">
      <c r="A2038" s="48">
        <v>19192</v>
      </c>
      <c r="B2038" s="25" t="s">
        <v>417</v>
      </c>
      <c r="C2038" s="48" t="s">
        <v>371</v>
      </c>
    </row>
    <row r="2039" spans="1:3">
      <c r="A2039" s="48">
        <v>19193</v>
      </c>
      <c r="B2039" s="25" t="s">
        <v>417</v>
      </c>
      <c r="C2039" s="48" t="s">
        <v>371</v>
      </c>
    </row>
    <row r="2040" spans="1:3">
      <c r="A2040" s="48">
        <v>19194</v>
      </c>
      <c r="B2040" s="25" t="s">
        <v>417</v>
      </c>
      <c r="C2040" s="48" t="s">
        <v>371</v>
      </c>
    </row>
    <row r="2041" spans="1:3">
      <c r="A2041" s="48">
        <v>19195</v>
      </c>
      <c r="B2041" s="25" t="s">
        <v>417</v>
      </c>
      <c r="C2041" s="48" t="s">
        <v>371</v>
      </c>
    </row>
    <row r="2042" spans="1:3">
      <c r="A2042" s="48">
        <v>19196</v>
      </c>
      <c r="B2042" s="25" t="s">
        <v>417</v>
      </c>
      <c r="C2042" s="48" t="s">
        <v>371</v>
      </c>
    </row>
    <row r="2043" spans="1:3">
      <c r="A2043" s="48">
        <v>19197</v>
      </c>
      <c r="B2043" s="25" t="s">
        <v>417</v>
      </c>
      <c r="C2043" s="48" t="s">
        <v>371</v>
      </c>
    </row>
    <row r="2044" spans="1:3">
      <c r="A2044" s="48">
        <v>19244</v>
      </c>
      <c r="B2044" s="25" t="s">
        <v>417</v>
      </c>
      <c r="C2044" s="48" t="s">
        <v>371</v>
      </c>
    </row>
    <row r="2045" spans="1:3">
      <c r="A2045" s="48">
        <v>19255</v>
      </c>
      <c r="B2045" s="25" t="s">
        <v>417</v>
      </c>
      <c r="C2045" s="48" t="s">
        <v>371</v>
      </c>
    </row>
    <row r="2046" spans="1:3">
      <c r="A2046" s="48">
        <v>19301</v>
      </c>
      <c r="B2046" s="25" t="s">
        <v>417</v>
      </c>
      <c r="C2046" s="48" t="s">
        <v>371</v>
      </c>
    </row>
    <row r="2047" spans="1:3">
      <c r="A2047" s="48">
        <v>19310</v>
      </c>
      <c r="B2047" s="25" t="s">
        <v>417</v>
      </c>
      <c r="C2047" s="48" t="s">
        <v>371</v>
      </c>
    </row>
    <row r="2048" spans="1:3">
      <c r="A2048" s="48">
        <v>19311</v>
      </c>
      <c r="B2048" s="25" t="s">
        <v>417</v>
      </c>
      <c r="C2048" s="48" t="s">
        <v>371</v>
      </c>
    </row>
    <row r="2049" spans="1:3">
      <c r="A2049" s="48">
        <v>19312</v>
      </c>
      <c r="B2049" s="25" t="s">
        <v>417</v>
      </c>
      <c r="C2049" s="48" t="s">
        <v>371</v>
      </c>
    </row>
    <row r="2050" spans="1:3">
      <c r="A2050" s="48">
        <v>19316</v>
      </c>
      <c r="B2050" s="25" t="s">
        <v>417</v>
      </c>
      <c r="C2050" s="48" t="s">
        <v>371</v>
      </c>
    </row>
    <row r="2051" spans="1:3">
      <c r="A2051" s="48">
        <v>19317</v>
      </c>
      <c r="B2051" s="25" t="s">
        <v>417</v>
      </c>
      <c r="C2051" s="48" t="s">
        <v>371</v>
      </c>
    </row>
    <row r="2052" spans="1:3">
      <c r="A2052" s="48">
        <v>19318</v>
      </c>
      <c r="B2052" s="25" t="s">
        <v>417</v>
      </c>
      <c r="C2052" s="48" t="s">
        <v>371</v>
      </c>
    </row>
    <row r="2053" spans="1:3">
      <c r="A2053" s="48">
        <v>19319</v>
      </c>
      <c r="B2053" s="25" t="s">
        <v>417</v>
      </c>
      <c r="C2053" s="48" t="s">
        <v>371</v>
      </c>
    </row>
    <row r="2054" spans="1:3">
      <c r="A2054" s="48">
        <v>19320</v>
      </c>
      <c r="B2054" s="25" t="s">
        <v>417</v>
      </c>
      <c r="C2054" s="48" t="s">
        <v>371</v>
      </c>
    </row>
    <row r="2055" spans="1:3">
      <c r="A2055" s="48">
        <v>19330</v>
      </c>
      <c r="B2055" s="25" t="s">
        <v>417</v>
      </c>
      <c r="C2055" s="48" t="s">
        <v>371</v>
      </c>
    </row>
    <row r="2056" spans="1:3">
      <c r="A2056" s="48">
        <v>19331</v>
      </c>
      <c r="B2056" s="25" t="s">
        <v>417</v>
      </c>
      <c r="C2056" s="48" t="s">
        <v>371</v>
      </c>
    </row>
    <row r="2057" spans="1:3">
      <c r="A2057" s="48">
        <v>19333</v>
      </c>
      <c r="B2057" s="25" t="s">
        <v>417</v>
      </c>
      <c r="C2057" s="48" t="s">
        <v>371</v>
      </c>
    </row>
    <row r="2058" spans="1:3">
      <c r="A2058" s="48">
        <v>19335</v>
      </c>
      <c r="B2058" s="25" t="s">
        <v>417</v>
      </c>
      <c r="C2058" s="48" t="s">
        <v>371</v>
      </c>
    </row>
    <row r="2059" spans="1:3">
      <c r="A2059" s="48">
        <v>19339</v>
      </c>
      <c r="B2059" s="25" t="s">
        <v>417</v>
      </c>
      <c r="C2059" s="48" t="s">
        <v>371</v>
      </c>
    </row>
    <row r="2060" spans="1:3">
      <c r="A2060" s="48">
        <v>19340</v>
      </c>
      <c r="B2060" s="25" t="s">
        <v>417</v>
      </c>
      <c r="C2060" s="48" t="s">
        <v>371</v>
      </c>
    </row>
    <row r="2061" spans="1:3">
      <c r="A2061" s="48">
        <v>19341</v>
      </c>
      <c r="B2061" s="25" t="s">
        <v>417</v>
      </c>
      <c r="C2061" s="48" t="s">
        <v>371</v>
      </c>
    </row>
    <row r="2062" spans="1:3">
      <c r="A2062" s="48">
        <v>19342</v>
      </c>
      <c r="B2062" s="25" t="s">
        <v>417</v>
      </c>
      <c r="C2062" s="48" t="s">
        <v>371</v>
      </c>
    </row>
    <row r="2063" spans="1:3">
      <c r="A2063" s="48">
        <v>19343</v>
      </c>
      <c r="B2063" s="25" t="s">
        <v>417</v>
      </c>
      <c r="C2063" s="48" t="s">
        <v>371</v>
      </c>
    </row>
    <row r="2064" spans="1:3">
      <c r="A2064" s="48">
        <v>19344</v>
      </c>
      <c r="B2064" s="25" t="s">
        <v>417</v>
      </c>
      <c r="C2064" s="48" t="s">
        <v>371</v>
      </c>
    </row>
    <row r="2065" spans="1:3">
      <c r="A2065" s="48">
        <v>19345</v>
      </c>
      <c r="B2065" s="25" t="s">
        <v>417</v>
      </c>
      <c r="C2065" s="48" t="s">
        <v>371</v>
      </c>
    </row>
    <row r="2066" spans="1:3">
      <c r="A2066" s="48">
        <v>19346</v>
      </c>
      <c r="B2066" s="25" t="s">
        <v>417</v>
      </c>
      <c r="C2066" s="48" t="s">
        <v>371</v>
      </c>
    </row>
    <row r="2067" spans="1:3">
      <c r="A2067" s="48">
        <v>19347</v>
      </c>
      <c r="B2067" s="25" t="s">
        <v>417</v>
      </c>
      <c r="C2067" s="48" t="s">
        <v>371</v>
      </c>
    </row>
    <row r="2068" spans="1:3">
      <c r="A2068" s="48">
        <v>19348</v>
      </c>
      <c r="B2068" s="25" t="s">
        <v>417</v>
      </c>
      <c r="C2068" s="48" t="s">
        <v>371</v>
      </c>
    </row>
    <row r="2069" spans="1:3">
      <c r="A2069" s="48">
        <v>19350</v>
      </c>
      <c r="B2069" s="25" t="s">
        <v>417</v>
      </c>
      <c r="C2069" s="48" t="s">
        <v>371</v>
      </c>
    </row>
    <row r="2070" spans="1:3">
      <c r="A2070" s="48">
        <v>19351</v>
      </c>
      <c r="B2070" s="25" t="s">
        <v>417</v>
      </c>
      <c r="C2070" s="48" t="s">
        <v>371</v>
      </c>
    </row>
    <row r="2071" spans="1:3">
      <c r="A2071" s="48">
        <v>19352</v>
      </c>
      <c r="B2071" s="25" t="s">
        <v>417</v>
      </c>
      <c r="C2071" s="48" t="s">
        <v>371</v>
      </c>
    </row>
    <row r="2072" spans="1:3">
      <c r="A2072" s="48">
        <v>19353</v>
      </c>
      <c r="B2072" s="25" t="s">
        <v>417</v>
      </c>
      <c r="C2072" s="48" t="s">
        <v>371</v>
      </c>
    </row>
    <row r="2073" spans="1:3">
      <c r="A2073" s="48">
        <v>19354</v>
      </c>
      <c r="B2073" s="25" t="s">
        <v>417</v>
      </c>
      <c r="C2073" s="48" t="s">
        <v>371</v>
      </c>
    </row>
    <row r="2074" spans="1:3">
      <c r="A2074" s="48">
        <v>19355</v>
      </c>
      <c r="B2074" s="25" t="s">
        <v>417</v>
      </c>
      <c r="C2074" s="48" t="s">
        <v>371</v>
      </c>
    </row>
    <row r="2075" spans="1:3">
      <c r="A2075" s="48">
        <v>19357</v>
      </c>
      <c r="B2075" s="25" t="s">
        <v>417</v>
      </c>
      <c r="C2075" s="48" t="s">
        <v>371</v>
      </c>
    </row>
    <row r="2076" spans="1:3">
      <c r="A2076" s="48">
        <v>19358</v>
      </c>
      <c r="B2076" s="25" t="s">
        <v>417</v>
      </c>
      <c r="C2076" s="48" t="s">
        <v>371</v>
      </c>
    </row>
    <row r="2077" spans="1:3">
      <c r="A2077" s="48">
        <v>19360</v>
      </c>
      <c r="B2077" s="25" t="s">
        <v>417</v>
      </c>
      <c r="C2077" s="48" t="s">
        <v>371</v>
      </c>
    </row>
    <row r="2078" spans="1:3">
      <c r="A2078" s="48">
        <v>19362</v>
      </c>
      <c r="B2078" s="25" t="s">
        <v>417</v>
      </c>
      <c r="C2078" s="48" t="s">
        <v>371</v>
      </c>
    </row>
    <row r="2079" spans="1:3">
      <c r="A2079" s="48">
        <v>19363</v>
      </c>
      <c r="B2079" s="25" t="s">
        <v>417</v>
      </c>
      <c r="C2079" s="48" t="s">
        <v>371</v>
      </c>
    </row>
    <row r="2080" spans="1:3">
      <c r="A2080" s="48">
        <v>19365</v>
      </c>
      <c r="B2080" s="25" t="s">
        <v>417</v>
      </c>
      <c r="C2080" s="48" t="s">
        <v>371</v>
      </c>
    </row>
    <row r="2081" spans="1:3">
      <c r="A2081" s="48">
        <v>19366</v>
      </c>
      <c r="B2081" s="25" t="s">
        <v>417</v>
      </c>
      <c r="C2081" s="48" t="s">
        <v>371</v>
      </c>
    </row>
    <row r="2082" spans="1:3">
      <c r="A2082" s="48">
        <v>19367</v>
      </c>
      <c r="B2082" s="25" t="s">
        <v>417</v>
      </c>
      <c r="C2082" s="48" t="s">
        <v>371</v>
      </c>
    </row>
    <row r="2083" spans="1:3">
      <c r="A2083" s="48">
        <v>19369</v>
      </c>
      <c r="B2083" s="25" t="s">
        <v>417</v>
      </c>
      <c r="C2083" s="48" t="s">
        <v>371</v>
      </c>
    </row>
    <row r="2084" spans="1:3">
      <c r="A2084" s="48">
        <v>19371</v>
      </c>
      <c r="B2084" s="25" t="s">
        <v>417</v>
      </c>
      <c r="C2084" s="48" t="s">
        <v>371</v>
      </c>
    </row>
    <row r="2085" spans="1:3">
      <c r="A2085" s="48">
        <v>19372</v>
      </c>
      <c r="B2085" s="25" t="s">
        <v>417</v>
      </c>
      <c r="C2085" s="48" t="s">
        <v>371</v>
      </c>
    </row>
    <row r="2086" spans="1:3">
      <c r="A2086" s="48">
        <v>19373</v>
      </c>
      <c r="B2086" s="25" t="s">
        <v>417</v>
      </c>
      <c r="C2086" s="48" t="s">
        <v>371</v>
      </c>
    </row>
    <row r="2087" spans="1:3">
      <c r="A2087" s="48">
        <v>19374</v>
      </c>
      <c r="B2087" s="25" t="s">
        <v>417</v>
      </c>
      <c r="C2087" s="48" t="s">
        <v>371</v>
      </c>
    </row>
    <row r="2088" spans="1:3">
      <c r="A2088" s="48">
        <v>19375</v>
      </c>
      <c r="B2088" s="25" t="s">
        <v>417</v>
      </c>
      <c r="C2088" s="48" t="s">
        <v>371</v>
      </c>
    </row>
    <row r="2089" spans="1:3">
      <c r="A2089" s="48">
        <v>19376</v>
      </c>
      <c r="B2089" s="25" t="s">
        <v>417</v>
      </c>
      <c r="C2089" s="48" t="s">
        <v>371</v>
      </c>
    </row>
    <row r="2090" spans="1:3">
      <c r="A2090" s="48">
        <v>19380</v>
      </c>
      <c r="B2090" s="25" t="s">
        <v>417</v>
      </c>
      <c r="C2090" s="48" t="s">
        <v>371</v>
      </c>
    </row>
    <row r="2091" spans="1:3">
      <c r="A2091" s="48">
        <v>19381</v>
      </c>
      <c r="B2091" s="25" t="s">
        <v>417</v>
      </c>
      <c r="C2091" s="48" t="s">
        <v>371</v>
      </c>
    </row>
    <row r="2092" spans="1:3">
      <c r="A2092" s="48">
        <v>19382</v>
      </c>
      <c r="B2092" s="25" t="s">
        <v>417</v>
      </c>
      <c r="C2092" s="48" t="s">
        <v>371</v>
      </c>
    </row>
    <row r="2093" spans="1:3">
      <c r="A2093" s="48">
        <v>19383</v>
      </c>
      <c r="B2093" s="25" t="s">
        <v>417</v>
      </c>
      <c r="C2093" s="48" t="s">
        <v>371</v>
      </c>
    </row>
    <row r="2094" spans="1:3">
      <c r="A2094" s="48">
        <v>19388</v>
      </c>
      <c r="B2094" s="25" t="s">
        <v>417</v>
      </c>
      <c r="C2094" s="48" t="s">
        <v>371</v>
      </c>
    </row>
    <row r="2095" spans="1:3">
      <c r="A2095" s="48">
        <v>19390</v>
      </c>
      <c r="B2095" s="25" t="s">
        <v>417</v>
      </c>
      <c r="C2095" s="48" t="s">
        <v>371</v>
      </c>
    </row>
    <row r="2096" spans="1:3">
      <c r="A2096" s="48">
        <v>19395</v>
      </c>
      <c r="B2096" s="25" t="s">
        <v>417</v>
      </c>
      <c r="C2096" s="48" t="s">
        <v>371</v>
      </c>
    </row>
    <row r="2097" spans="1:3">
      <c r="A2097" s="48">
        <v>19397</v>
      </c>
      <c r="B2097" s="25" t="s">
        <v>417</v>
      </c>
      <c r="C2097" s="48" t="s">
        <v>371</v>
      </c>
    </row>
    <row r="2098" spans="1:3">
      <c r="A2098" s="48">
        <v>19398</v>
      </c>
      <c r="B2098" s="25" t="s">
        <v>417</v>
      </c>
      <c r="C2098" s="48" t="s">
        <v>371</v>
      </c>
    </row>
    <row r="2099" spans="1:3">
      <c r="A2099" s="48">
        <v>19399</v>
      </c>
      <c r="B2099" s="25" t="s">
        <v>417</v>
      </c>
      <c r="C2099" s="48" t="s">
        <v>371</v>
      </c>
    </row>
    <row r="2100" spans="1:3">
      <c r="A2100" s="48">
        <v>19401</v>
      </c>
      <c r="B2100" s="25" t="s">
        <v>417</v>
      </c>
      <c r="C2100" s="48" t="s">
        <v>371</v>
      </c>
    </row>
    <row r="2101" spans="1:3">
      <c r="A2101" s="48">
        <v>19403</v>
      </c>
      <c r="B2101" s="25" t="s">
        <v>417</v>
      </c>
      <c r="C2101" s="48" t="s">
        <v>371</v>
      </c>
    </row>
    <row r="2102" spans="1:3">
      <c r="A2102" s="48">
        <v>19404</v>
      </c>
      <c r="B2102" s="25" t="s">
        <v>417</v>
      </c>
      <c r="C2102" s="48" t="s">
        <v>371</v>
      </c>
    </row>
    <row r="2103" spans="1:3">
      <c r="A2103" s="48">
        <v>19405</v>
      </c>
      <c r="B2103" s="25" t="s">
        <v>417</v>
      </c>
      <c r="C2103" s="48" t="s">
        <v>371</v>
      </c>
    </row>
    <row r="2104" spans="1:3">
      <c r="A2104" s="48">
        <v>19406</v>
      </c>
      <c r="B2104" s="25" t="s">
        <v>417</v>
      </c>
      <c r="C2104" s="48" t="s">
        <v>371</v>
      </c>
    </row>
    <row r="2105" spans="1:3">
      <c r="A2105" s="48">
        <v>19407</v>
      </c>
      <c r="B2105" s="25" t="s">
        <v>417</v>
      </c>
      <c r="C2105" s="48" t="s">
        <v>371</v>
      </c>
    </row>
    <row r="2106" spans="1:3">
      <c r="A2106" s="48">
        <v>19408</v>
      </c>
      <c r="B2106" s="25" t="s">
        <v>417</v>
      </c>
      <c r="C2106" s="48" t="s">
        <v>371</v>
      </c>
    </row>
    <row r="2107" spans="1:3">
      <c r="A2107" s="48">
        <v>19409</v>
      </c>
      <c r="B2107" s="25" t="s">
        <v>417</v>
      </c>
      <c r="C2107" s="48" t="s">
        <v>371</v>
      </c>
    </row>
    <row r="2108" spans="1:3">
      <c r="A2108" s="48">
        <v>19415</v>
      </c>
      <c r="B2108" s="25" t="s">
        <v>417</v>
      </c>
      <c r="C2108" s="48" t="s">
        <v>371</v>
      </c>
    </row>
    <row r="2109" spans="1:3">
      <c r="A2109" s="48">
        <v>19420</v>
      </c>
      <c r="B2109" s="25" t="s">
        <v>417</v>
      </c>
      <c r="C2109" s="48" t="s">
        <v>371</v>
      </c>
    </row>
    <row r="2110" spans="1:3">
      <c r="A2110" s="48">
        <v>19421</v>
      </c>
      <c r="B2110" s="25" t="s">
        <v>417</v>
      </c>
      <c r="C2110" s="48" t="s">
        <v>371</v>
      </c>
    </row>
    <row r="2111" spans="1:3">
      <c r="A2111" s="48">
        <v>19422</v>
      </c>
      <c r="B2111" s="25" t="s">
        <v>417</v>
      </c>
      <c r="C2111" s="48" t="s">
        <v>371</v>
      </c>
    </row>
    <row r="2112" spans="1:3">
      <c r="A2112" s="48">
        <v>19423</v>
      </c>
      <c r="B2112" s="25" t="s">
        <v>417</v>
      </c>
      <c r="C2112" s="48" t="s">
        <v>371</v>
      </c>
    </row>
    <row r="2113" spans="1:3">
      <c r="A2113" s="48">
        <v>19424</v>
      </c>
      <c r="B2113" s="25" t="s">
        <v>417</v>
      </c>
      <c r="C2113" s="48" t="s">
        <v>371</v>
      </c>
    </row>
    <row r="2114" spans="1:3">
      <c r="A2114" s="48">
        <v>19425</v>
      </c>
      <c r="B2114" s="25" t="s">
        <v>417</v>
      </c>
      <c r="C2114" s="48" t="s">
        <v>371</v>
      </c>
    </row>
    <row r="2115" spans="1:3">
      <c r="A2115" s="48">
        <v>19426</v>
      </c>
      <c r="B2115" s="25" t="s">
        <v>417</v>
      </c>
      <c r="C2115" s="48" t="s">
        <v>371</v>
      </c>
    </row>
    <row r="2116" spans="1:3">
      <c r="A2116" s="48">
        <v>19428</v>
      </c>
      <c r="B2116" s="25" t="s">
        <v>417</v>
      </c>
      <c r="C2116" s="48" t="s">
        <v>371</v>
      </c>
    </row>
    <row r="2117" spans="1:3">
      <c r="A2117" s="48">
        <v>19429</v>
      </c>
      <c r="B2117" s="25" t="s">
        <v>417</v>
      </c>
      <c r="C2117" s="48" t="s">
        <v>371</v>
      </c>
    </row>
    <row r="2118" spans="1:3">
      <c r="A2118" s="48">
        <v>19430</v>
      </c>
      <c r="B2118" s="25" t="s">
        <v>417</v>
      </c>
      <c r="C2118" s="48" t="s">
        <v>371</v>
      </c>
    </row>
    <row r="2119" spans="1:3">
      <c r="A2119" s="48">
        <v>19432</v>
      </c>
      <c r="B2119" s="25" t="s">
        <v>417</v>
      </c>
      <c r="C2119" s="48" t="s">
        <v>371</v>
      </c>
    </row>
    <row r="2120" spans="1:3">
      <c r="A2120" s="48">
        <v>19435</v>
      </c>
      <c r="B2120" s="25" t="s">
        <v>417</v>
      </c>
      <c r="C2120" s="48" t="s">
        <v>371</v>
      </c>
    </row>
    <row r="2121" spans="1:3">
      <c r="A2121" s="48">
        <v>19436</v>
      </c>
      <c r="B2121" s="25" t="s">
        <v>417</v>
      </c>
      <c r="C2121" s="48" t="s">
        <v>371</v>
      </c>
    </row>
    <row r="2122" spans="1:3">
      <c r="A2122" s="48">
        <v>19437</v>
      </c>
      <c r="B2122" s="25" t="s">
        <v>417</v>
      </c>
      <c r="C2122" s="48" t="s">
        <v>371</v>
      </c>
    </row>
    <row r="2123" spans="1:3">
      <c r="A2123" s="48">
        <v>19438</v>
      </c>
      <c r="B2123" s="25" t="s">
        <v>417</v>
      </c>
      <c r="C2123" s="48" t="s">
        <v>371</v>
      </c>
    </row>
    <row r="2124" spans="1:3">
      <c r="A2124" s="48">
        <v>19440</v>
      </c>
      <c r="B2124" s="25" t="s">
        <v>417</v>
      </c>
      <c r="C2124" s="48" t="s">
        <v>371</v>
      </c>
    </row>
    <row r="2125" spans="1:3">
      <c r="A2125" s="48">
        <v>19441</v>
      </c>
      <c r="B2125" s="25" t="s">
        <v>417</v>
      </c>
      <c r="C2125" s="48" t="s">
        <v>371</v>
      </c>
    </row>
    <row r="2126" spans="1:3">
      <c r="A2126" s="48">
        <v>19442</v>
      </c>
      <c r="B2126" s="25" t="s">
        <v>417</v>
      </c>
      <c r="C2126" s="48" t="s">
        <v>371</v>
      </c>
    </row>
    <row r="2127" spans="1:3">
      <c r="A2127" s="48">
        <v>19443</v>
      </c>
      <c r="B2127" s="25" t="s">
        <v>417</v>
      </c>
      <c r="C2127" s="48" t="s">
        <v>371</v>
      </c>
    </row>
    <row r="2128" spans="1:3">
      <c r="A2128" s="48">
        <v>19444</v>
      </c>
      <c r="B2128" s="25" t="s">
        <v>417</v>
      </c>
      <c r="C2128" s="48" t="s">
        <v>371</v>
      </c>
    </row>
    <row r="2129" spans="1:3">
      <c r="A2129" s="48">
        <v>19446</v>
      </c>
      <c r="B2129" s="25" t="s">
        <v>417</v>
      </c>
      <c r="C2129" s="48" t="s">
        <v>371</v>
      </c>
    </row>
    <row r="2130" spans="1:3">
      <c r="A2130" s="48">
        <v>19450</v>
      </c>
      <c r="B2130" s="25" t="s">
        <v>417</v>
      </c>
      <c r="C2130" s="48" t="s">
        <v>371</v>
      </c>
    </row>
    <row r="2131" spans="1:3">
      <c r="A2131" s="48">
        <v>19451</v>
      </c>
      <c r="B2131" s="25" t="s">
        <v>417</v>
      </c>
      <c r="C2131" s="48" t="s">
        <v>371</v>
      </c>
    </row>
    <row r="2132" spans="1:3">
      <c r="A2132" s="48">
        <v>19453</v>
      </c>
      <c r="B2132" s="25" t="s">
        <v>417</v>
      </c>
      <c r="C2132" s="48" t="s">
        <v>371</v>
      </c>
    </row>
    <row r="2133" spans="1:3">
      <c r="A2133" s="48">
        <v>19454</v>
      </c>
      <c r="B2133" s="25" t="s">
        <v>417</v>
      </c>
      <c r="C2133" s="48" t="s">
        <v>371</v>
      </c>
    </row>
    <row r="2134" spans="1:3">
      <c r="A2134" s="48">
        <v>19455</v>
      </c>
      <c r="B2134" s="25" t="s">
        <v>417</v>
      </c>
      <c r="C2134" s="48" t="s">
        <v>371</v>
      </c>
    </row>
    <row r="2135" spans="1:3">
      <c r="A2135" s="48">
        <v>19456</v>
      </c>
      <c r="B2135" s="25" t="s">
        <v>417</v>
      </c>
      <c r="C2135" s="48" t="s">
        <v>371</v>
      </c>
    </row>
    <row r="2136" spans="1:3">
      <c r="A2136" s="48">
        <v>19457</v>
      </c>
      <c r="B2136" s="25" t="s">
        <v>417</v>
      </c>
      <c r="C2136" s="48" t="s">
        <v>371</v>
      </c>
    </row>
    <row r="2137" spans="1:3">
      <c r="A2137" s="48">
        <v>19460</v>
      </c>
      <c r="B2137" s="25" t="s">
        <v>417</v>
      </c>
      <c r="C2137" s="48" t="s">
        <v>371</v>
      </c>
    </row>
    <row r="2138" spans="1:3">
      <c r="A2138" s="48">
        <v>19462</v>
      </c>
      <c r="B2138" s="25" t="s">
        <v>417</v>
      </c>
      <c r="C2138" s="48" t="s">
        <v>371</v>
      </c>
    </row>
    <row r="2139" spans="1:3">
      <c r="A2139" s="48">
        <v>19464</v>
      </c>
      <c r="B2139" s="25" t="s">
        <v>417</v>
      </c>
      <c r="C2139" s="48" t="s">
        <v>371</v>
      </c>
    </row>
    <row r="2140" spans="1:3">
      <c r="A2140" s="48">
        <v>19465</v>
      </c>
      <c r="B2140" s="25" t="s">
        <v>417</v>
      </c>
      <c r="C2140" s="48" t="s">
        <v>371</v>
      </c>
    </row>
    <row r="2141" spans="1:3">
      <c r="A2141" s="48">
        <v>19468</v>
      </c>
      <c r="B2141" s="25" t="s">
        <v>417</v>
      </c>
      <c r="C2141" s="48" t="s">
        <v>371</v>
      </c>
    </row>
    <row r="2142" spans="1:3">
      <c r="A2142" s="48">
        <v>19470</v>
      </c>
      <c r="B2142" s="25" t="s">
        <v>417</v>
      </c>
      <c r="C2142" s="48" t="s">
        <v>371</v>
      </c>
    </row>
    <row r="2143" spans="1:3">
      <c r="A2143" s="48">
        <v>19472</v>
      </c>
      <c r="B2143" s="25" t="s">
        <v>417</v>
      </c>
      <c r="C2143" s="48" t="s">
        <v>371</v>
      </c>
    </row>
    <row r="2144" spans="1:3">
      <c r="A2144" s="48">
        <v>19473</v>
      </c>
      <c r="B2144" s="25" t="s">
        <v>417</v>
      </c>
      <c r="C2144" s="48" t="s">
        <v>371</v>
      </c>
    </row>
    <row r="2145" spans="1:3">
      <c r="A2145" s="48">
        <v>19474</v>
      </c>
      <c r="B2145" s="25" t="s">
        <v>417</v>
      </c>
      <c r="C2145" s="48" t="s">
        <v>371</v>
      </c>
    </row>
    <row r="2146" spans="1:3">
      <c r="A2146" s="48">
        <v>19475</v>
      </c>
      <c r="B2146" s="25" t="s">
        <v>417</v>
      </c>
      <c r="C2146" s="48" t="s">
        <v>371</v>
      </c>
    </row>
    <row r="2147" spans="1:3">
      <c r="A2147" s="48">
        <v>19477</v>
      </c>
      <c r="B2147" s="25" t="s">
        <v>417</v>
      </c>
      <c r="C2147" s="48" t="s">
        <v>371</v>
      </c>
    </row>
    <row r="2148" spans="1:3">
      <c r="A2148" s="48">
        <v>19478</v>
      </c>
      <c r="B2148" s="25" t="s">
        <v>417</v>
      </c>
      <c r="C2148" s="48" t="s">
        <v>371</v>
      </c>
    </row>
    <row r="2149" spans="1:3">
      <c r="A2149" s="48">
        <v>19480</v>
      </c>
      <c r="B2149" s="25" t="s">
        <v>417</v>
      </c>
      <c r="C2149" s="48" t="s">
        <v>371</v>
      </c>
    </row>
    <row r="2150" spans="1:3">
      <c r="A2150" s="48">
        <v>19481</v>
      </c>
      <c r="B2150" s="25" t="s">
        <v>417</v>
      </c>
      <c r="C2150" s="48" t="s">
        <v>371</v>
      </c>
    </row>
    <row r="2151" spans="1:3">
      <c r="A2151" s="48">
        <v>19482</v>
      </c>
      <c r="B2151" s="25" t="s">
        <v>417</v>
      </c>
      <c r="C2151" s="48" t="s">
        <v>371</v>
      </c>
    </row>
    <row r="2152" spans="1:3">
      <c r="A2152" s="48">
        <v>19483</v>
      </c>
      <c r="B2152" s="25" t="s">
        <v>417</v>
      </c>
      <c r="C2152" s="48" t="s">
        <v>371</v>
      </c>
    </row>
    <row r="2153" spans="1:3">
      <c r="A2153" s="48">
        <v>19484</v>
      </c>
      <c r="B2153" s="25" t="s">
        <v>417</v>
      </c>
      <c r="C2153" s="48" t="s">
        <v>371</v>
      </c>
    </row>
    <row r="2154" spans="1:3">
      <c r="A2154" s="48">
        <v>19485</v>
      </c>
      <c r="B2154" s="25" t="s">
        <v>417</v>
      </c>
      <c r="C2154" s="48" t="s">
        <v>371</v>
      </c>
    </row>
    <row r="2155" spans="1:3">
      <c r="A2155" s="48">
        <v>19486</v>
      </c>
      <c r="B2155" s="25" t="s">
        <v>417</v>
      </c>
      <c r="C2155" s="48" t="s">
        <v>371</v>
      </c>
    </row>
    <row r="2156" spans="1:3">
      <c r="A2156" s="48">
        <v>19487</v>
      </c>
      <c r="B2156" s="25" t="s">
        <v>417</v>
      </c>
      <c r="C2156" s="48" t="s">
        <v>371</v>
      </c>
    </row>
    <row r="2157" spans="1:3">
      <c r="A2157" s="48">
        <v>19488</v>
      </c>
      <c r="B2157" s="25" t="s">
        <v>417</v>
      </c>
      <c r="C2157" s="48" t="s">
        <v>371</v>
      </c>
    </row>
    <row r="2158" spans="1:3">
      <c r="A2158" s="48">
        <v>19489</v>
      </c>
      <c r="B2158" s="25" t="s">
        <v>417</v>
      </c>
      <c r="C2158" s="48" t="s">
        <v>371</v>
      </c>
    </row>
    <row r="2159" spans="1:3">
      <c r="A2159" s="48">
        <v>19490</v>
      </c>
      <c r="B2159" s="25" t="s">
        <v>417</v>
      </c>
      <c r="C2159" s="48" t="s">
        <v>371</v>
      </c>
    </row>
    <row r="2160" spans="1:3">
      <c r="A2160" s="48">
        <v>19492</v>
      </c>
      <c r="B2160" s="25" t="s">
        <v>417</v>
      </c>
      <c r="C2160" s="48" t="s">
        <v>371</v>
      </c>
    </row>
    <row r="2161" spans="1:3">
      <c r="A2161" s="48">
        <v>19493</v>
      </c>
      <c r="B2161" s="25" t="s">
        <v>417</v>
      </c>
      <c r="C2161" s="48" t="s">
        <v>371</v>
      </c>
    </row>
    <row r="2162" spans="1:3">
      <c r="A2162" s="48">
        <v>19494</v>
      </c>
      <c r="B2162" s="25" t="s">
        <v>417</v>
      </c>
      <c r="C2162" s="48" t="s">
        <v>371</v>
      </c>
    </row>
    <row r="2163" spans="1:3">
      <c r="A2163" s="48">
        <v>19495</v>
      </c>
      <c r="B2163" s="25" t="s">
        <v>417</v>
      </c>
      <c r="C2163" s="48" t="s">
        <v>371</v>
      </c>
    </row>
    <row r="2164" spans="1:3">
      <c r="A2164" s="48">
        <v>19496</v>
      </c>
      <c r="B2164" s="25" t="s">
        <v>417</v>
      </c>
      <c r="C2164" s="48" t="s">
        <v>371</v>
      </c>
    </row>
    <row r="2165" spans="1:3">
      <c r="A2165" s="48">
        <v>19501</v>
      </c>
      <c r="B2165" s="25" t="s">
        <v>417</v>
      </c>
      <c r="C2165" s="48" t="s">
        <v>371</v>
      </c>
    </row>
    <row r="2166" spans="1:3">
      <c r="A2166" s="48">
        <v>19503</v>
      </c>
      <c r="B2166" s="25" t="s">
        <v>417</v>
      </c>
      <c r="C2166" s="48" t="s">
        <v>371</v>
      </c>
    </row>
    <row r="2167" spans="1:3">
      <c r="A2167" s="48">
        <v>19504</v>
      </c>
      <c r="B2167" s="25" t="s">
        <v>417</v>
      </c>
      <c r="C2167" s="48" t="s">
        <v>371</v>
      </c>
    </row>
    <row r="2168" spans="1:3">
      <c r="A2168" s="48">
        <v>19505</v>
      </c>
      <c r="B2168" s="25" t="s">
        <v>417</v>
      </c>
      <c r="C2168" s="48" t="s">
        <v>371</v>
      </c>
    </row>
    <row r="2169" spans="1:3">
      <c r="A2169" s="48">
        <v>19506</v>
      </c>
      <c r="B2169" s="25" t="s">
        <v>417</v>
      </c>
      <c r="C2169" s="48" t="s">
        <v>371</v>
      </c>
    </row>
    <row r="2170" spans="1:3">
      <c r="A2170" s="48">
        <v>19507</v>
      </c>
      <c r="B2170" s="25" t="s">
        <v>417</v>
      </c>
      <c r="C2170" s="48" t="s">
        <v>371</v>
      </c>
    </row>
    <row r="2171" spans="1:3">
      <c r="A2171" s="48">
        <v>19508</v>
      </c>
      <c r="B2171" s="25" t="s">
        <v>417</v>
      </c>
      <c r="C2171" s="48" t="s">
        <v>371</v>
      </c>
    </row>
    <row r="2172" spans="1:3">
      <c r="A2172" s="48">
        <v>19510</v>
      </c>
      <c r="B2172" s="25" t="s">
        <v>417</v>
      </c>
      <c r="C2172" s="48" t="s">
        <v>371</v>
      </c>
    </row>
    <row r="2173" spans="1:3">
      <c r="A2173" s="48">
        <v>19511</v>
      </c>
      <c r="B2173" s="25" t="s">
        <v>417</v>
      </c>
      <c r="C2173" s="48" t="s">
        <v>371</v>
      </c>
    </row>
    <row r="2174" spans="1:3">
      <c r="A2174" s="48">
        <v>19512</v>
      </c>
      <c r="B2174" s="25" t="s">
        <v>417</v>
      </c>
      <c r="C2174" s="48" t="s">
        <v>371</v>
      </c>
    </row>
    <row r="2175" spans="1:3">
      <c r="A2175" s="48">
        <v>19516</v>
      </c>
      <c r="B2175" s="25" t="s">
        <v>417</v>
      </c>
      <c r="C2175" s="48" t="s">
        <v>371</v>
      </c>
    </row>
    <row r="2176" spans="1:3">
      <c r="A2176" s="48">
        <v>19518</v>
      </c>
      <c r="B2176" s="25" t="s">
        <v>417</v>
      </c>
      <c r="C2176" s="48" t="s">
        <v>371</v>
      </c>
    </row>
    <row r="2177" spans="1:3">
      <c r="A2177" s="48">
        <v>19519</v>
      </c>
      <c r="B2177" s="25" t="s">
        <v>417</v>
      </c>
      <c r="C2177" s="48" t="s">
        <v>371</v>
      </c>
    </row>
    <row r="2178" spans="1:3">
      <c r="A2178" s="48">
        <v>19520</v>
      </c>
      <c r="B2178" s="25" t="s">
        <v>417</v>
      </c>
      <c r="C2178" s="48" t="s">
        <v>371</v>
      </c>
    </row>
    <row r="2179" spans="1:3">
      <c r="A2179" s="48">
        <v>19522</v>
      </c>
      <c r="B2179" s="25" t="s">
        <v>417</v>
      </c>
      <c r="C2179" s="48" t="s">
        <v>371</v>
      </c>
    </row>
    <row r="2180" spans="1:3">
      <c r="A2180" s="48">
        <v>19523</v>
      </c>
      <c r="B2180" s="25" t="s">
        <v>417</v>
      </c>
      <c r="C2180" s="48" t="s">
        <v>371</v>
      </c>
    </row>
    <row r="2181" spans="1:3">
      <c r="A2181" s="48">
        <v>19525</v>
      </c>
      <c r="B2181" s="25" t="s">
        <v>417</v>
      </c>
      <c r="C2181" s="48" t="s">
        <v>371</v>
      </c>
    </row>
    <row r="2182" spans="1:3">
      <c r="A2182" s="48">
        <v>19526</v>
      </c>
      <c r="B2182" s="25" t="s">
        <v>417</v>
      </c>
      <c r="C2182" s="48" t="s">
        <v>371</v>
      </c>
    </row>
    <row r="2183" spans="1:3">
      <c r="A2183" s="48">
        <v>19529</v>
      </c>
      <c r="B2183" s="25" t="s">
        <v>417</v>
      </c>
      <c r="C2183" s="48" t="s">
        <v>371</v>
      </c>
    </row>
    <row r="2184" spans="1:3">
      <c r="A2184" s="48">
        <v>19530</v>
      </c>
      <c r="B2184" s="25" t="s">
        <v>417</v>
      </c>
      <c r="C2184" s="48" t="s">
        <v>371</v>
      </c>
    </row>
    <row r="2185" spans="1:3">
      <c r="A2185" s="48">
        <v>19533</v>
      </c>
      <c r="B2185" s="25" t="s">
        <v>417</v>
      </c>
      <c r="C2185" s="48" t="s">
        <v>371</v>
      </c>
    </row>
    <row r="2186" spans="1:3">
      <c r="A2186" s="48">
        <v>19534</v>
      </c>
      <c r="B2186" s="25" t="s">
        <v>417</v>
      </c>
      <c r="C2186" s="48" t="s">
        <v>371</v>
      </c>
    </row>
    <row r="2187" spans="1:3">
      <c r="A2187" s="48">
        <v>19535</v>
      </c>
      <c r="B2187" s="25" t="s">
        <v>417</v>
      </c>
      <c r="C2187" s="48" t="s">
        <v>371</v>
      </c>
    </row>
    <row r="2188" spans="1:3">
      <c r="A2188" s="48">
        <v>19536</v>
      </c>
      <c r="B2188" s="25" t="s">
        <v>417</v>
      </c>
      <c r="C2188" s="48" t="s">
        <v>371</v>
      </c>
    </row>
    <row r="2189" spans="1:3">
      <c r="A2189" s="48">
        <v>19538</v>
      </c>
      <c r="B2189" s="25" t="s">
        <v>417</v>
      </c>
      <c r="C2189" s="48" t="s">
        <v>371</v>
      </c>
    </row>
    <row r="2190" spans="1:3">
      <c r="A2190" s="48">
        <v>19539</v>
      </c>
      <c r="B2190" s="25" t="s">
        <v>417</v>
      </c>
      <c r="C2190" s="48" t="s">
        <v>371</v>
      </c>
    </row>
    <row r="2191" spans="1:3">
      <c r="A2191" s="48">
        <v>19540</v>
      </c>
      <c r="B2191" s="25" t="s">
        <v>417</v>
      </c>
      <c r="C2191" s="48" t="s">
        <v>371</v>
      </c>
    </row>
    <row r="2192" spans="1:3">
      <c r="A2192" s="48">
        <v>19541</v>
      </c>
      <c r="B2192" s="25" t="s">
        <v>417</v>
      </c>
      <c r="C2192" s="48" t="s">
        <v>371</v>
      </c>
    </row>
    <row r="2193" spans="1:3">
      <c r="A2193" s="48">
        <v>19542</v>
      </c>
      <c r="B2193" s="25" t="s">
        <v>417</v>
      </c>
      <c r="C2193" s="48" t="s">
        <v>371</v>
      </c>
    </row>
    <row r="2194" spans="1:3">
      <c r="A2194" s="48">
        <v>19543</v>
      </c>
      <c r="B2194" s="25" t="s">
        <v>417</v>
      </c>
      <c r="C2194" s="48" t="s">
        <v>371</v>
      </c>
    </row>
    <row r="2195" spans="1:3">
      <c r="A2195" s="48">
        <v>19544</v>
      </c>
      <c r="B2195" s="25" t="s">
        <v>417</v>
      </c>
      <c r="C2195" s="48" t="s">
        <v>371</v>
      </c>
    </row>
    <row r="2196" spans="1:3">
      <c r="A2196" s="48">
        <v>19545</v>
      </c>
      <c r="B2196" s="25" t="s">
        <v>417</v>
      </c>
      <c r="C2196" s="48" t="s">
        <v>371</v>
      </c>
    </row>
    <row r="2197" spans="1:3">
      <c r="A2197" s="48">
        <v>19547</v>
      </c>
      <c r="B2197" s="25" t="s">
        <v>417</v>
      </c>
      <c r="C2197" s="48" t="s">
        <v>371</v>
      </c>
    </row>
    <row r="2198" spans="1:3">
      <c r="A2198" s="48">
        <v>19548</v>
      </c>
      <c r="B2198" s="25" t="s">
        <v>417</v>
      </c>
      <c r="C2198" s="48" t="s">
        <v>371</v>
      </c>
    </row>
    <row r="2199" spans="1:3">
      <c r="A2199" s="48">
        <v>19549</v>
      </c>
      <c r="B2199" s="25" t="s">
        <v>418</v>
      </c>
      <c r="C2199" s="48" t="s">
        <v>366</v>
      </c>
    </row>
    <row r="2200" spans="1:3">
      <c r="A2200" s="48">
        <v>19550</v>
      </c>
      <c r="B2200" s="25" t="s">
        <v>417</v>
      </c>
      <c r="C2200" s="48" t="s">
        <v>371</v>
      </c>
    </row>
    <row r="2201" spans="1:3">
      <c r="A2201" s="48">
        <v>19551</v>
      </c>
      <c r="B2201" s="25" t="s">
        <v>417</v>
      </c>
      <c r="C2201" s="48" t="s">
        <v>371</v>
      </c>
    </row>
    <row r="2202" spans="1:3">
      <c r="A2202" s="48">
        <v>19554</v>
      </c>
      <c r="B2202" s="25" t="s">
        <v>417</v>
      </c>
      <c r="C2202" s="48" t="s">
        <v>371</v>
      </c>
    </row>
    <row r="2203" spans="1:3">
      <c r="A2203" s="48">
        <v>19555</v>
      </c>
      <c r="B2203" s="25" t="s">
        <v>417</v>
      </c>
      <c r="C2203" s="48" t="s">
        <v>371</v>
      </c>
    </row>
    <row r="2204" spans="1:3">
      <c r="A2204" s="48">
        <v>19557</v>
      </c>
      <c r="B2204" s="25" t="s">
        <v>417</v>
      </c>
      <c r="C2204" s="48" t="s">
        <v>371</v>
      </c>
    </row>
    <row r="2205" spans="1:3">
      <c r="A2205" s="48">
        <v>19559</v>
      </c>
      <c r="B2205" s="25" t="s">
        <v>417</v>
      </c>
      <c r="C2205" s="48" t="s">
        <v>371</v>
      </c>
    </row>
    <row r="2206" spans="1:3">
      <c r="A2206" s="48">
        <v>19560</v>
      </c>
      <c r="B2206" s="25" t="s">
        <v>417</v>
      </c>
      <c r="C2206" s="48" t="s">
        <v>371</v>
      </c>
    </row>
    <row r="2207" spans="1:3">
      <c r="A2207" s="48">
        <v>19562</v>
      </c>
      <c r="B2207" s="25" t="s">
        <v>417</v>
      </c>
      <c r="C2207" s="48" t="s">
        <v>371</v>
      </c>
    </row>
    <row r="2208" spans="1:3">
      <c r="A2208" s="48">
        <v>19564</v>
      </c>
      <c r="B2208" s="25" t="s">
        <v>417</v>
      </c>
      <c r="C2208" s="48" t="s">
        <v>371</v>
      </c>
    </row>
    <row r="2209" spans="1:3">
      <c r="A2209" s="48">
        <v>19565</v>
      </c>
      <c r="B2209" s="25" t="s">
        <v>417</v>
      </c>
      <c r="C2209" s="48" t="s">
        <v>371</v>
      </c>
    </row>
    <row r="2210" spans="1:3">
      <c r="A2210" s="48">
        <v>19567</v>
      </c>
      <c r="B2210" s="25" t="s">
        <v>417</v>
      </c>
      <c r="C2210" s="48" t="s">
        <v>371</v>
      </c>
    </row>
    <row r="2211" spans="1:3">
      <c r="A2211" s="48">
        <v>19601</v>
      </c>
      <c r="B2211" s="25" t="s">
        <v>417</v>
      </c>
      <c r="C2211" s="48" t="s">
        <v>371</v>
      </c>
    </row>
    <row r="2212" spans="1:3">
      <c r="A2212" s="48">
        <v>19602</v>
      </c>
      <c r="B2212" s="25" t="s">
        <v>417</v>
      </c>
      <c r="C2212" s="48" t="s">
        <v>371</v>
      </c>
    </row>
    <row r="2213" spans="1:3">
      <c r="A2213" s="48">
        <v>19603</v>
      </c>
      <c r="B2213" s="25" t="s">
        <v>417</v>
      </c>
      <c r="C2213" s="48" t="s">
        <v>371</v>
      </c>
    </row>
    <row r="2214" spans="1:3">
      <c r="A2214" s="48">
        <v>19604</v>
      </c>
      <c r="B2214" s="25" t="s">
        <v>417</v>
      </c>
      <c r="C2214" s="48" t="s">
        <v>371</v>
      </c>
    </row>
    <row r="2215" spans="1:3">
      <c r="A2215" s="48">
        <v>19605</v>
      </c>
      <c r="B2215" s="25" t="s">
        <v>417</v>
      </c>
      <c r="C2215" s="48" t="s">
        <v>371</v>
      </c>
    </row>
    <row r="2216" spans="1:3">
      <c r="A2216" s="48">
        <v>19606</v>
      </c>
      <c r="B2216" s="25" t="s">
        <v>417</v>
      </c>
      <c r="C2216" s="48" t="s">
        <v>371</v>
      </c>
    </row>
    <row r="2217" spans="1:3">
      <c r="A2217" s="48">
        <v>19607</v>
      </c>
      <c r="B2217" s="25" t="s">
        <v>417</v>
      </c>
      <c r="C2217" s="48" t="s">
        <v>371</v>
      </c>
    </row>
    <row r="2218" spans="1:3">
      <c r="A2218" s="48">
        <v>19608</v>
      </c>
      <c r="B2218" s="25" t="s">
        <v>417</v>
      </c>
      <c r="C2218" s="48" t="s">
        <v>371</v>
      </c>
    </row>
    <row r="2219" spans="1:3">
      <c r="A2219" s="48">
        <v>19609</v>
      </c>
      <c r="B2219" s="25" t="s">
        <v>417</v>
      </c>
      <c r="C2219" s="48" t="s">
        <v>371</v>
      </c>
    </row>
    <row r="2220" spans="1:3">
      <c r="A2220" s="48">
        <v>19610</v>
      </c>
      <c r="B2220" s="25" t="s">
        <v>417</v>
      </c>
      <c r="C2220" s="48" t="s">
        <v>371</v>
      </c>
    </row>
    <row r="2221" spans="1:3">
      <c r="A2221" s="48">
        <v>19611</v>
      </c>
      <c r="B2221" s="25" t="s">
        <v>417</v>
      </c>
      <c r="C2221" s="48" t="s">
        <v>371</v>
      </c>
    </row>
    <row r="2222" spans="1:3">
      <c r="A2222" s="48">
        <v>19612</v>
      </c>
      <c r="B2222" s="25" t="s">
        <v>417</v>
      </c>
      <c r="C2222" s="48" t="s">
        <v>371</v>
      </c>
    </row>
    <row r="2223" spans="1:3">
      <c r="A2223" s="48">
        <v>19640</v>
      </c>
      <c r="B2223" s="25" t="s">
        <v>417</v>
      </c>
      <c r="C2223" s="48" t="s">
        <v>371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F912FBBFC2614E93178D43E62ED17B" ma:contentTypeVersion="" ma:contentTypeDescription="Create a new document." ma:contentTypeScope="" ma:versionID="10f22629883bab63e7425ab3cc37c3e0">
  <xsd:schema xmlns:xsd="http://www.w3.org/2001/XMLSchema" xmlns:xs="http://www.w3.org/2001/XMLSchema" xmlns:p="http://schemas.microsoft.com/office/2006/metadata/properties" xmlns:ns2="f10523b9-4ad1-4ffe-b1f7-9fba4c9e70d2" xmlns:ns3="2f67128d-2aca-45c2-84bc-d83c659981e2" xmlns:ns4="92005a5e-b873-4d56-90cc-bf1faaca0594" targetNamespace="http://schemas.microsoft.com/office/2006/metadata/properties" ma:root="true" ma:fieldsID="9e7ddd711ef7352ba7bce87c647fe64a" ns2:_="" ns3:_="" ns4:_="">
    <xsd:import namespace="f10523b9-4ad1-4ffe-b1f7-9fba4c9e70d2"/>
    <xsd:import namespace="2f67128d-2aca-45c2-84bc-d83c659981e2"/>
    <xsd:import namespace="92005a5e-b873-4d56-90cc-bf1faaca059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0523b9-4ad1-4ffe-b1f7-9fba4c9e7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4661a3f4-1e69-4502-bd87-7abe80dc30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f67128d-2aca-45c2-84bc-d83c659981e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005a5e-b873-4d56-90cc-bf1faaca0594"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BD4FB1C-21CE-4BAC-A5F2-874CEEC89BA5}" ma:internalName="TaxCatchAll" ma:showField="CatchAllData" ma:web="{3dad34dd-4303-413c-a67b-6b465affee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005a5e-b873-4d56-90cc-bf1faaca0594" xsi:nil="true"/>
    <lcf76f155ced4ddcb4097134ff3c332f xmlns="f10523b9-4ad1-4ffe-b1f7-9fba4c9e70d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A628A92-CB57-4225-9DC3-46A5506DF8D1}"/>
</file>

<file path=customXml/itemProps2.xml><?xml version="1.0" encoding="utf-8"?>
<ds:datastoreItem xmlns:ds="http://schemas.openxmlformats.org/officeDocument/2006/customXml" ds:itemID="{CDA6A0B7-95DD-4BCD-A152-8814422EC7ED}"/>
</file>

<file path=customXml/itemProps3.xml><?xml version="1.0" encoding="utf-8"?>
<ds:datastoreItem xmlns:ds="http://schemas.openxmlformats.org/officeDocument/2006/customXml" ds:itemID="{02DD27C5-9B56-4552-890C-DEB24491A33D}"/>
</file>

<file path=docProps/app.xml><?xml version="1.0" encoding="utf-8"?>
<Properties xmlns="http://schemas.openxmlformats.org/officeDocument/2006/extended-properties" xmlns:vt="http://schemas.openxmlformats.org/officeDocument/2006/docPropsVTypes">
  <Application>Microsoft Excel Online</Application>
  <Manager/>
  <Company>Roth Bros. Inc. a Sodexo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C. Hall</dc:creator>
  <cp:keywords/>
  <dc:description/>
  <cp:lastModifiedBy>Ashley Faircloth</cp:lastModifiedBy>
  <cp:revision/>
  <dcterms:created xsi:type="dcterms:W3CDTF">2016-02-22T18:06:02Z</dcterms:created>
  <dcterms:modified xsi:type="dcterms:W3CDTF">2022-06-03T18:34:30Z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0x010100FAF912FBBFC2614E93178D43E62ED17B</vt:lpwstr>
  </property>
  <property fmtid="{D5CDD505-2E9C-101B-9397-08002B2CF9AE}" pid="3" name="MediaServiceImageTags">
    <vt:lpwstr/>
  </property>
</Properties>
</file>